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filterPrivacy="1" codeName="ThisWorkbook" defaultThemeVersion="124226"/>
  <xr:revisionPtr revIDLastSave="0" documentId="13_ncr:1_{0492E9F0-347E-4DE7-8840-660FA5C6F797}" xr6:coauthVersionLast="47" xr6:coauthVersionMax="47" xr10:uidLastSave="{00000000-0000-0000-0000-000000000000}"/>
  <bookViews>
    <workbookView xWindow="-120" yWindow="-120" windowWidth="29040" windowHeight="15720" tabRatio="797" xr2:uid="{00000000-000D-0000-FFFF-FFFF00000000}"/>
  </bookViews>
  <sheets>
    <sheet name="Cover" sheetId="170" r:id="rId1"/>
    <sheet name="Summary" sheetId="155" r:id="rId2"/>
    <sheet name="IS" sheetId="94" r:id="rId3"/>
    <sheet name="BS" sheetId="65" r:id="rId4"/>
    <sheet name="CF" sheetId="46" r:id="rId5"/>
    <sheet name="WC" sheetId="50" r:id="rId6"/>
    <sheet name="Equity" sheetId="159" r:id="rId7"/>
    <sheet name="Debt" sheetId="47" r:id="rId8"/>
    <sheet name="Segments+SG&amp;A" sheetId="52" r:id="rId9"/>
    <sheet name="Sale-Leaseback+Valuation" sheetId="160" r:id="rId10"/>
    <sheet name="Holders" sheetId="169" r:id="rId11"/>
    <sheet name="Returns" sheetId="166" r:id="rId12"/>
    <sheet name="Comp Sheet" sheetId="167" r:id="rId13"/>
  </sheets>
  <externalReferences>
    <externalReference r:id="rId14"/>
    <externalReference r:id="rId15"/>
  </externalReferences>
  <definedNames>
    <definedName name="____wrn1" hidden="1">{"Annual",#N/A,FALSE,"Sales &amp; Market";"Quarterly",#N/A,FALSE,"Sales &amp; Market"}</definedName>
    <definedName name="____wrn2" hidden="1">{"client cfbs",#N/A,FALSE,"Client"}</definedName>
    <definedName name="____wrn3" hidden="1">{"client is",#N/A,FALSE,"Client"}</definedName>
    <definedName name="____wrn4" hidden="1">{"client stats",#N/A,FALSE,"Client"}</definedName>
    <definedName name="____wrn5" hidden="1">{"internal is",#N/A,FALSE,"Model"}</definedName>
    <definedName name="____wrn6" hidden="1">{"portrait letter is",#N/A,FALSE,"Model"}</definedName>
    <definedName name="____wrn7" hidden="1">{#N/A,#N/A,FALSE,"Financial";#N/A,#N/A,FALSE,"Balance Sheet";#N/A,#N/A,FALSE,"Income stmt";#N/A,#N/A,FALSE,"Ratio"}</definedName>
    <definedName name="__123Graph_A" localSheetId="6" hidden="1">#REF!</definedName>
    <definedName name="__123Graph_A" hidden="1">#REF!</definedName>
    <definedName name="__123Graph_X" localSheetId="6" hidden="1">#REF!</definedName>
    <definedName name="__123Graph_X" hidden="1">#REF!</definedName>
    <definedName name="__FDS_HYPERLINK_TOGGLE_STATE__" hidden="1">"ON"</definedName>
    <definedName name="__FDS_UNIQUE_RANGE_ID_GENERATOR_COUNTER" hidden="1">34</definedName>
    <definedName name="__wrn1" hidden="1">{"Annual",#N/A,FALSE,"Sales &amp; Market";"Quarterly",#N/A,FALSE,"Sales &amp; Market"}</definedName>
    <definedName name="__wrn2" hidden="1">{"client cfbs",#N/A,FALSE,"Client"}</definedName>
    <definedName name="__wrn3" hidden="1">{"client is",#N/A,FALSE,"Client"}</definedName>
    <definedName name="__wrn4" hidden="1">{"client stats",#N/A,FALSE,"Client"}</definedName>
    <definedName name="__wrn5" hidden="1">{"internal is",#N/A,FALSE,"Model"}</definedName>
    <definedName name="__wrn6" hidden="1">{"portrait letter is",#N/A,FALSE,"Model"}</definedName>
    <definedName name="__wrn7" hidden="1">{#N/A,#N/A,FALSE,"Financial";#N/A,#N/A,FALSE,"Balance Sheet";#N/A,#N/A,FALSE,"Income stmt";#N/A,#N/A,FALSE,"Ratio"}</definedName>
    <definedName name="_1__123Graph_ACHART_4" localSheetId="6" hidden="1">#REF!</definedName>
    <definedName name="_1__123Graph_ACHART_4" hidden="1">#REF!</definedName>
    <definedName name="_1__FDSAUDITLINK__" hidden="1">{"fdsup://IBCentral/FAT Viewer?action=UPDATE&amp;creator=factset&amp;DOC_NAME=fat:reuters_annual_pshs_src_window.fat&amp;display_string=Audit&amp;DYN_ARGS=TRUE&amp;VAR:ID1=78118210&amp;VAR:RCODE=FDSEPS&amp;VAR:SDATE=20070599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0__FDSAUDITLINK__" hidden="1">{"fdsup://IBCentral/FAT Viewer?action=UPDATE&amp;creator=factset&amp;DOC_NAME=fat:reuters_annual_pshs_src_window.fat&amp;display_string=Audit&amp;DYN_ARGS=TRUE&amp;VAR:ID1=35874810&amp;VAR:RCODE=FDSEPS&amp;VAR:SDATE=20070599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1__FDSAUDITLINK__" hidden="1">{"fdsup://IBCentral/FAT Viewer?action=UPDATE&amp;creator=factset&amp;DOC_NAME=fat:reuters_annual_pshs_src_window.fat&amp;display_string=Audit&amp;DYN_ARGS=TRUE&amp;VAR:ID1=12513710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2__FDSAUDITLINK__" hidden="1">{"fdsup://IBCentral/FAT Viewer?action=UPDATE&amp;creator=factset&amp;DOC_NAME=fat:reuters_annual_pshs_src_window.fat&amp;display_string=Audit&amp;DYN_ARGS=TRUE&amp;VAR:ID1=78118210&amp;VAR:RCODE=FDSEPS&amp;VAR:SDATE=20070599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3__FDSAUDITLINK__" hidden="1">{"fdsup://IBCentral/FAT Viewer?action=UPDATE&amp;creator=factset&amp;DOC_NAME=fat:reuters_annual_pshs_src_window.fat&amp;display_string=Audit&amp;DYN_ARGS=TRUE&amp;VAR:ID1=12513710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4__FDSAUDITLINK__" hidden="1">{"fdsup://IBCentral/FAT Viewer?action=UPDATE&amp;creator=factset&amp;DOC_NAME=fat:reuters_annual_pshs_src_window.fat&amp;display_string=Audit&amp;DYN_ARGS=TRUE&amp;VAR:ID1=25442310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5__FDSAUDITLINK__" hidden="1">{"fdsup://IBCentral/FAT Viewer?action=UPDATE&amp;creator=factset&amp;DOC_NAME=fat:reuters_annual_pshs_src_window.fat&amp;display_string=Audit&amp;DYN_ARGS=TRUE&amp;VAR:ID1=24869P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6__FDSAUDITLINK__" hidden="1">{"fdsup://IBCentral/FAT Viewer?action=UPDATE&amp;creator=factset&amp;DOC_NAME=fat:reuters_annual_pshs_src_window.fat&amp;display_string=Audit&amp;DYN_ARGS=TRUE&amp;VAR:ID1=12489V10&amp;VAR:RCODE=FDSEPS&amp;VAR:SDATE=20070799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7__FDSAUDITLINK__" hidden="1">{"fdsup://IBCentral/FAT Viewer?action=UPDATE&amp;creator=factset&amp;DOC_NAME=fat:reuters_annual_pshs_src_window.fat&amp;display_string=Audit&amp;DYN_ARGS=TRUE&amp;VAR:ID1=23719410&amp;VAR:RCODE=FDSEPS&amp;VAR:SDATE=20080599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8__FDSAUDITLINK__" hidden="1">{"fdsup://IBCentral/FAT Viewer?action=UPDATE&amp;creator=factset&amp;DOC_NAME=fat:reuters_annual_pshs_src_window.fat&amp;display_string=Audit&amp;DYN_ARGS=TRUE&amp;VAR:ID1=69840W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19__FDSAUDITLINK__" hidden="1">{"fdsup://IBCentral/FAT Viewer?action=UPDATE&amp;creator=factset&amp;DOC_NAME=fat:reuters_annual_pshs_src_window.fat&amp;display_string=Audit&amp;DYN_ARGS=TRUE&amp;VAR:ID1=75689M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__123Graph_XCHART_3" localSheetId="6" hidden="1">#REF!</definedName>
    <definedName name="_2__123Graph_XCHART_3" hidden="1">#REF!</definedName>
    <definedName name="_2__FDSAUDITLINK__" hidden="1">{"fdsup://IBCentral/FAT Viewer?action=UPDATE&amp;creator=factset&amp;DOC_NAME=fat:reuters_annual_pshs_src_window.fat&amp;display_string=Audit&amp;DYN_ARGS=TRUE&amp;VAR:ID1=12513710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0__FDSAUDITLINK__" hidden="1">{"fdsup://IBCentral/FAT Viewer?action=UPDATE&amp;creator=factset&amp;DOC_NAME=fat:reuters_annual_pshs_src_window.fat&amp;display_string=Audit&amp;DYN_ARGS=TRUE&amp;VAR:ID1=54928210&amp;VAR:RCODE=FDSEPS&amp;VAR:SDATE=20070899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1__FDSAUDITLINK__" hidden="1">{"fdsup://IBCentral/FAT Viewer?action=UPDATE&amp;creator=factset&amp;DOC_NAME=fat:reuters_annual_pshs_src_window.fat&amp;display_string=Audit&amp;DYN_ARGS=TRUE&amp;VAR:ID1=35874810&amp;VAR:RCODE=FDSEPS&amp;VAR:SDATE=20070599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2__FDSAUDITLINK__" hidden="1">{"fdsup://IBCentral/FAT Viewer?action=UPDATE&amp;creator=factset&amp;DOC_NAME=fat:reuters_annual_pshs_src_window.fat&amp;display_string=Audit&amp;DYN_ARGS=TRUE&amp;VAR:ID1=12513710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3__FDSAUDITLINK__" hidden="1">{"fdsup://IBCentral/FAT Viewer?action=UPDATE&amp;creator=factset&amp;DOC_NAME=fat:reuters_annual_pshs_src_window.fat&amp;display_string=Audit&amp;DYN_ARGS=TRUE&amp;VAR:ID1=78118210&amp;VAR:RCODE=FDSEPS&amp;VAR:SDATE=20070599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4__FDSAUDITLINK__" hidden="1">{"fdsup://IBCentral/FAT Viewer?action=UPDATE&amp;creator=factset&amp;DOC_NAME=fat:reuters_annual_pshs_src_window.fat&amp;display_string=Audit&amp;DYN_ARGS=TRUE&amp;VAR:ID1=12513710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5__FDSAUDITLINK__" hidden="1">{"fdsup://IBCentral/FAT Viewer?action=UPDATE&amp;creator=factset&amp;DOC_NAME=fat:reuters_annual_pshs_src_window.fat&amp;display_string=Audit&amp;DYN_ARGS=TRUE&amp;VAR:ID1=25442310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6__FDSAUDITLINK__" hidden="1">{"fdsup://IBCentral/FAT Viewer?action=UPDATE&amp;creator=factset&amp;DOC_NAME=fat:reuters_annual_pshs_src_window.fat&amp;display_string=Audit&amp;DYN_ARGS=TRUE&amp;VAR:ID1=24869P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7__FDSAUDITLINK__" hidden="1">{"fdsup://IBCentral/FAT Viewer?action=UPDATE&amp;creator=factset&amp;DOC_NAME=fat:reuters_annual_pshs_src_window.fat&amp;display_string=Audit&amp;DYN_ARGS=TRUE&amp;VAR:ID1=12489V10&amp;VAR:RCODE=FDSEPS&amp;VAR:SDATE=20070799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8__FDSAUDITLINK__" hidden="1">{"fdsup://IBCentral/FAT Viewer?action=UPDATE&amp;creator=factset&amp;DOC_NAME=fat:reuters_annual_pshs_src_window.fat&amp;display_string=Audit&amp;DYN_ARGS=TRUE&amp;VAR:ID1=23719410&amp;VAR:RCODE=FDSEPS&amp;VAR:SDATE=20080599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29__FDSAUDITLINK__" hidden="1">{"fdsup://IBCentral/FAT Viewer?action=UPDATE&amp;creator=factset&amp;DOC_NAME=fat:reuters_annual_pshs_src_window.fat&amp;display_string=Audit&amp;DYN_ARGS=TRUE&amp;VAR:ID1=69840W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__123Graph_XCHART_4" localSheetId="6" hidden="1">#REF!</definedName>
    <definedName name="_3__123Graph_XCHART_4" hidden="1">#REF!</definedName>
    <definedName name="_3__FDSAUDITLINK__" hidden="1">{"fdsup://IBCentral/FAT Viewer?action=UPDATE&amp;creator=factset&amp;DOC_NAME=fat:reuters_annual_pshs_src_window.fat&amp;display_string=Audit&amp;DYN_ARGS=TRUE&amp;VAR:ID1=25442310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0__FDSAUDITLINK__" hidden="1">{"fdsup://IBCentral/FAT Viewer?action=UPDATE&amp;creator=factset&amp;DOC_NAME=fat:reuters_annual_pshs_src_window.fat&amp;display_string=Audit&amp;DYN_ARGS=TRUE&amp;VAR:ID1=75689M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1__FDSAUDITLINK__" hidden="1">{"fdsup://IBCentral/FAT Viewer?action=UPDATE&amp;creator=factset&amp;DOC_NAME=fat:reuters_annual_pshs_src_window.fat&amp;display_string=Audit&amp;DYN_ARGS=TRUE&amp;VAR:ID1=54928210&amp;VAR:RCODE=FDSEPS&amp;VAR:SDATE=20070899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2__FDSAUDITLINK__" hidden="1">{"fdsup://IBCentral/FAT Viewer?action=UPDATE&amp;creator=factset&amp;DOC_NAME=fat:reuters_annual_pshs_src_window.fat&amp;display_string=Audit&amp;DYN_ARGS=TRUE&amp;VAR:ID1=35874810&amp;VAR:RCODE=FDSEPS&amp;VAR:SDATE=20070599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3__FDSAUDITLINK__" hidden="1">{"fdsup://IBCentral/FAT Viewer?action=UPDATE&amp;creator=factset&amp;DOC_NAME=fat:reuters_annual_pshs_src_window.fat&amp;display_string=Audit&amp;DYN_ARGS=TRUE&amp;VAR:ID1=12513710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4__FDSAUDITLINK__" hidden="1">{"fdsup://IBCentral/FAT Viewer?action=UPDATE&amp;creator=factset&amp;DOC_NAME=fat:reuters_qtrly_pshs_src_window.fat&amp;display_string=Audit&amp;DYN_ARGS=TRUE&amp;VAR:ID1=16307210&amp;VAR:RCODE=FDSEPS&amp;VAR:SDATE=20080399&amp;VAR:FREQ=Quarterly&amp;VAR:RELITEM=RP&amp;VAR:CURRENCY=&amp;VAR:CURRSOURC","E=EXSHARE&amp;VAR:NATFREQ=QUARTERLY&amp;VAR:RFIELD=FINALIZED&amp;VAR:DB_TYPE=&amp;VAR:UNITS=M&amp;window=popup&amp;width=450&amp;height=300&amp;START_MAXIMIZED=FALSE"}</definedName>
    <definedName name="_35__FDSAUDITLINK__" hidden="1">{"fdsup://IBCentral/FAT Viewer?action=UPDATE&amp;creator=factset&amp;DOC_NAME=fat:reuters_qtrly_pshs_src_window.fat&amp;display_string=Audit&amp;DYN_ARGS=TRUE&amp;VAR:ID1=16307210&amp;VAR:RCODE=FDSEPS&amp;VAR:SDATE=20080699&amp;VAR:FREQ=Quarterly&amp;VAR:RELITEM=RP&amp;VAR:CURRENCY=&amp;VAR:CURRSOURC","E=EXSHARE&amp;VAR:NATFREQ=QUARTERLY&amp;VAR:RFIELD=FINALIZED&amp;VAR:DB_TYPE=&amp;VAR:UNITS=M&amp;window=popup&amp;width=450&amp;height=300&amp;START_MAXIMIZED=FALSE"}</definedName>
    <definedName name="_36__FDSAUDITLINK__" hidden="1">{"fdsup://IBCentral/FAT Viewer?action=UPDATE&amp;creator=factset&amp;DOC_NAME=fat:reuters_qtrly_pshs_src_window.fat&amp;display_string=Audit&amp;DYN_ARGS=TRUE&amp;VAR:ID1=16307210&amp;VAR:RCODE=FDSEPS&amp;VAR:SDATE=20080999&amp;VAR:FREQ=Quarterly&amp;VAR:RELITEM=RP&amp;VAR:CURRENCY=&amp;VAR:CURRSOURC","E=EXSHARE&amp;VAR:NATFREQ=QUARTERLY&amp;VAR:RFIELD=FINALIZED&amp;VAR:DB_TYPE=&amp;VAR:UNITS=M&amp;window=popup&amp;width=450&amp;height=300&amp;START_MAXIMIZED=FALSE"}</definedName>
    <definedName name="_37__FDSAUDITLINK__" hidden="1">{"fdsup://IBCentral/FAT Viewer?action=UPDATE&amp;creator=factset&amp;DOC_NAME=fat:reuters_annual_pshs_src_window.fat&amp;display_string=Audit&amp;DYN_ARGS=TRUE&amp;VAR:ID1=78118210&amp;VAR:RCODE=FDSEPS&amp;VAR:SDATE=20080599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8__FDSAUDITLINK__" hidden="1">{"fdsup://IBCentral/FAT Viewer?action=UPDATE&amp;creator=factset&amp;DOC_NAME=fat:reuters_annual_pshs_src_window.fat&amp;display_string=Audit&amp;DYN_ARGS=TRUE&amp;VAR:ID1=12561E10&amp;VAR:RCODE=FDSEPS&amp;VAR:SDATE=20090199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39__FDSAUDITLINK__" hidden="1">{"fdsup://IBCentral/FAT Viewer?action=UPDATE&amp;creator=factset&amp;DOC_NAME=fat:reuters_annual_pshs_src_window.fat&amp;display_string=Audit&amp;DYN_ARGS=TRUE&amp;VAR:ID1=10964110&amp;VAR:RCODE=FDSEPS&amp;VAR:SDATE=20080699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4__FDSAUDITLINK__" hidden="1">{"fdsup://IBCentral/FAT Viewer?action=UPDATE&amp;creator=factset&amp;DOC_NAME=fat:reuters_annual_pshs_src_window.fat&amp;display_string=Audit&amp;DYN_ARGS=TRUE&amp;VAR:ID1=24869P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40__FDSAUDITLINK__" hidden="1">{"fdsup://IBCentral/FAT Viewer?action=UPDATE&amp;creator=factset&amp;DOC_NAME=fat:reuters_annual_pshs_src_window.fat&amp;display_string=Audit&amp;DYN_ARGS=TRUE&amp;VAR:ID1=13054D10&amp;VAR:RCODE=FDSEPS&amp;VAR:SDATE=20081299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41__FDSAUDITLINK__" hidden="1">{"fdsup://IBCentral/FAT Viewer?action=UPDATE&amp;creator=factset&amp;DOC_NAME=fat:reuters_annual_pshs_src_window.fat&amp;display_string=Audit&amp;DYN_ARGS=TRUE&amp;VAR:ID1=11984810&amp;VAR:RCODE=FDSEPS&amp;VAR:SDATE=20081299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42__FDSAUDITLINK__" hidden="1">{"fdsup://IBCentral/FAT Viewer?action=UPDATE&amp;creator=factset&amp;DOC_NAME=fat:reuters_annual_pshs_src_window.fat&amp;display_string=Audit&amp;DYN_ARGS=TRUE&amp;VAR:ID1=25442310&amp;VAR:RCODE=FDSEPS&amp;VAR:SDATE=20081299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43__FDSAUDITLINK__" hidden="1">{"fdsup://IBCentral/FAT Viewer?action=UPDATE&amp;creator=factset&amp;DOC_NAME=fat:reuters_annual_pshs_src_window.fat&amp;display_string=Audit&amp;DYN_ARGS=TRUE&amp;VAR:ID1=13054D10&amp;VAR:RCODE=FDSEPS&amp;VAR:SDATE=20081299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44__FDSAUDITLINK__" hidden="1">{"fdsup://IBCentral/FAT Viewer?action=UPDATE&amp;creator=factset&amp;DOC_NAME=fat:reuters_annual_pshs_src_window.fat&amp;display_string=Audit&amp;DYN_ARGS=TRUE&amp;VAR:ID1=75689M10&amp;VAR:RCODE=FDSEPS&amp;VAR:SDATE=20081299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5__FDSAUDITLINK__" hidden="1">{"fdsup://IBCentral/FAT Viewer?action=UPDATE&amp;creator=factset&amp;DOC_NAME=fat:reuters_annual_pshs_src_window.fat&amp;display_string=Audit&amp;DYN_ARGS=TRUE&amp;VAR:ID1=12489V10&amp;VAR:RCODE=FDSEPS&amp;VAR:SDATE=20070799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6__FDSAUDITLINK__" hidden="1">{"fdsup://IBCentral/FAT Viewer?action=UPDATE&amp;creator=factset&amp;DOC_NAME=fat:reuters_annual_pshs_src_window.fat&amp;display_string=Audit&amp;DYN_ARGS=TRUE&amp;VAR:ID1=23719410&amp;VAR:RCODE=FDSEPS&amp;VAR:SDATE=20080599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7__FDSAUDITLINK__" hidden="1">{"fdsup://IBCentral/FAT Viewer?action=UPDATE&amp;creator=factset&amp;DOC_NAME=fat:reuters_annual_pshs_src_window.fat&amp;display_string=Audit&amp;DYN_ARGS=TRUE&amp;VAR:ID1=69840W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8__FDSAUDITLINK__" hidden="1">{"fdsup://IBCentral/FAT Viewer?action=UPDATE&amp;creator=factset&amp;DOC_NAME=fat:reuters_annual_pshs_src_window.fat&amp;display_string=Audit&amp;DYN_ARGS=TRUE&amp;VAR:ID1=75689M10&amp;VAR:RCODE=FDSEPS&amp;VAR:SDATE=20071299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9__FDSAUDITLINK__" hidden="1">{"fdsup://IBCentral/FAT Viewer?action=UPDATE&amp;creator=factset&amp;DOC_NAME=fat:reuters_annual_pshs_src_window.fat&amp;display_string=Audit&amp;DYN_ARGS=TRUE&amp;VAR:ID1=54928210&amp;VAR:RCODE=FDSEPS&amp;VAR:SDATE=20070899&amp;VAR:FREQ=FISCAL_YEARLY&amp;VAR:RELITEM=RP&amp;VAR:CURRENCY=NOAUDIT&amp;V","AR:CURRSOURCE=EXSHARE&amp;VAR:NATFREQ=ANNUAL&amp;VAR:RFIELD=FINALIZED&amp;VAR:DB_TYPE=&amp;VAR:UNITS=M&amp;window=popup&amp;width=450&amp;height=300&amp;START_MAXIMIZED=FALSE"}</definedName>
    <definedName name="_bdm.22586AEBD8294A58BCFD5F49C9F38EB4.edm" localSheetId="6" hidden="1">#REF!</definedName>
    <definedName name="_bdm.22586AEBD8294A58BCFD5F49C9F38EB4.edm" hidden="1">#REF!</definedName>
    <definedName name="_bdm.55443EF1C58B486A9CB3072A6E45A3DE.edm" localSheetId="6" hidden="1">#REF!</definedName>
    <definedName name="_bdm.55443EF1C58B486A9CB3072A6E45A3DE.edm" hidden="1">#REF!</definedName>
    <definedName name="_bdm.5C9D6D868A084BD2911279E3EB4BAE94.edm" localSheetId="6" hidden="1">#REF!</definedName>
    <definedName name="_bdm.5C9D6D868A084BD2911279E3EB4BAE94.edm" hidden="1">#REF!</definedName>
    <definedName name="_bdm.977AC9ADBC4145E693BC5855C50B25CC.edm" localSheetId="6" hidden="1">#REF!</definedName>
    <definedName name="_bdm.977AC9ADBC4145E693BC5855C50B25CC.edm" hidden="1">#REF!</definedName>
    <definedName name="_bdm.E80EC95FDB8A492699C1C4D22BA755AA.edm" localSheetId="6" hidden="1">#REF!</definedName>
    <definedName name="_bdm.E80EC95FDB8A492699C1C4D22BA755AA.edm" hidden="1">#REF!</definedName>
    <definedName name="_ddd1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_xlnm._FilterDatabase" localSheetId="6" hidden="1">#REF!</definedName>
    <definedName name="_xlnm._FilterDatabase" hidden="1">#REF!</definedName>
    <definedName name="_Order1" hidden="1">255</definedName>
    <definedName name="_Order2" hidden="1">255</definedName>
    <definedName name="_Regression_Int" hidden="1">1</definedName>
    <definedName name="_Table1_In1" localSheetId="6" hidden="1">#REF!</definedName>
    <definedName name="_Table1_In1" hidden="1">#REF!</definedName>
    <definedName name="_Table1_Out" localSheetId="6" hidden="1">#REF!</definedName>
    <definedName name="_Table1_Out" hidden="1">#REF!</definedName>
    <definedName name="_Table2_In1" localSheetId="6" hidden="1">#REF!</definedName>
    <definedName name="_Table2_In1" hidden="1">#REF!</definedName>
    <definedName name="_Table2_In2" localSheetId="6" hidden="1">#REF!</definedName>
    <definedName name="_Table2_In2" hidden="1">#REF!</definedName>
    <definedName name="_Table2_Out" localSheetId="6" hidden="1">#REF!</definedName>
    <definedName name="_Table2_Out" hidden="1">#REF!</definedName>
    <definedName name="á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aaaa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aaaaa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aaaaaaaaaaaaa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aaaaaaaaaaaaaa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Access_Button" hidden="1">"FIGBUS_FIGBUS_List"</definedName>
    <definedName name="AccessDatabase" hidden="1">"C:\Documents and Settings\Stassovsky\My Documents\MF\Current\2001 PROJECT N_1.mdb"</definedName>
    <definedName name="adsfg" hidden="1">{"client cfbs",#N/A,FALSE,"Client"}</definedName>
    <definedName name="adsfh" hidden="1">{"client cfbs",#N/A,FALSE,"Client"}</definedName>
    <definedName name="anscount" hidden="1">1</definedName>
    <definedName name="AS2DocOpenMode" hidden="1">"AS2DocumentBrowse"</definedName>
    <definedName name="AS2NamedRange" hidden="1">5</definedName>
    <definedName name="asd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asdh" hidden="1">{"client cfbs",#N/A,FALSE,"Client"}</definedName>
    <definedName name="asfas" hidden="1">{0,0,"",0}</definedName>
    <definedName name="b" hidden="1">{"glc1",#N/A,FALSE,"GLC";"glc2",#N/A,FALSE,"GLC";"glc3",#N/A,FALSE,"GLC";"glc4",#N/A,FALSE,"GLC";"glc5",#N/A,FALSE,"GLC"}</definedName>
    <definedName name="BLPH1" localSheetId="6" hidden="1">'[1]Share Price 2002'!#REF!</definedName>
    <definedName name="BLPH1" hidden="1">'[1]Share Price 2002'!#REF!</definedName>
    <definedName name="BLPH2" localSheetId="6" hidden="1">'[1]Share Price 2002'!#REF!</definedName>
    <definedName name="BLPH2" hidden="1">'[1]Share Price 2002'!#REF!</definedName>
    <definedName name="central_rozdil" hidden="1">{#N/A,#N/A,FALSE,"Aging Summary";#N/A,#N/A,FALSE,"Ratio Analysis";#N/A,#N/A,FALSE,"Test 120 Day Accts";#N/A,#N/A,FALSE,"Tickmarks"}</definedName>
    <definedName name="CIQWBGuid" hidden="1">"108fb342-ecde-4735-8181-9c0c08d62c9a"</definedName>
    <definedName name="Data" hidden="1">{#N/A,#N/A,FALSE,"Sales"}</definedName>
    <definedName name="data1" hidden="1">{#N/A,#N/A,FALSE,"Sales"}</definedName>
    <definedName name="ddd" localSheetId="6" hidden="1">[2]Assumptions!#REF!</definedName>
    <definedName name="ddd" hidden="1">[2]Assumptions!#REF!</definedName>
    <definedName name="ddddd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ddddddd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ddddddddd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é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ee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eee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eeeeeeee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eeeeeeeeee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eeeeeeeeeeeeeeee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Erase" hidden="1">{"summary report",#N/A,FALSE,"SUMMARY REPORT";"salary model ytd",#N/A,FALSE,"SALARY MODEL - YTD";"salary model mtd",#N/A,FALSE,"SALARY MODEL - MTD";"detail 311",#N/A,FALSE,"311 ACTUAL"}</definedName>
    <definedName name="f" hidden="1">{#N/A,#N/A,FALSE,"Титул_ОСН";#N/A,#N/A,FALSE,"Итоги";#N/A,#N/A,FALSE,"Источники";#N/A,#N/A,FALSE,"ПрочПродажи";#N/A,#N/A,FALSE,"ЗП";#N/A,#N/A,FALSE,"Налоги";#N/A,#N/A,FALSE,"Энерго";#N/A,#N/A,FALSE,"Сырьё";#N/A,#N/A,FALSE,"Снабжение";#N/A,#N/A,FALSE,"Оборудование";#N/A,#N/A,FALSE,"Транспорт";#N/A,#N/A,FALSE,"Коммерция";#N/A,#N/A,FALSE,"ТЕК_РЕМ";#N/A,#N/A,FALSE,"КАП_РЕМ";#N/A,#N/A,FALSE,"КАП_СТР";#N/A,#N/A,FALSE,"НИОКР";#N/A,#N/A,FALSE,"Кадры";#N/A,#N/A,FALSE,"СОЦ";#N/A,#N/A,FALSE,"НепромПр";#N/A,#N/A,FALSE,"ФИНАНСЫ";#N/A,#N/A,FALSE,"Прочие";#N/A,#N/A,FALSE,"Гаш_кредит";#N/A,#N/A,FALSE,"ФП"}</definedName>
    <definedName name="fd" hidden="1">{#N/A,#N/A,FALSE,"Sales"}</definedName>
    <definedName name="ff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fff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ffffff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fffffff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fffffffffff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fffffffffffffff" hidden="1">{"Страница 1",#N/A,FALSE,"Модель Интенсивника";"Страница 3",#N/A,FALSE,"Модель Интенсивника"}</definedName>
    <definedName name="ffffffffffffffff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fffffffffffffffff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fhjgh" hidden="1">{"glc1",#N/A,FALSE,"GLC";"glc2",#N/A,FALSE,"GLC";"glc3",#N/A,FALSE,"GLC";"glc4",#N/A,FALSE,"GLC";"glc5",#N/A,FALSE,"GLC"}</definedName>
    <definedName name="h" hidden="1">{"glc1",#N/A,FALSE,"GLC";"glc2",#N/A,FALSE,"GLC";"glc3",#N/A,FALSE,"GLC";"glc4",#N/A,FALSE,"GLC";"glc5",#N/A,FALSE,"GLC"}</definedName>
    <definedName name="HTML1_1" hidden="1">"'[Financials V2.01 Sub Sales Excite 4.xls]Income Statement'!$B$1:$AA$38"</definedName>
    <definedName name="HTML1_10" hidden="1">""</definedName>
    <definedName name="HTML1_11" hidden="1">1</definedName>
    <definedName name="HTML1_12" hidden="1">"C:\My Documents\Financials_01.htm"</definedName>
    <definedName name="HTML1_13" hidden="1">#N/A</definedName>
    <definedName name="HTML1_14" hidden="1">#N/A</definedName>
    <definedName name="HTML1_15" hidden="1">#N/A</definedName>
    <definedName name="HTML1_2" hidden="1">1</definedName>
    <definedName name="HTML1_3" hidden="1">"Financials V.1.0.2"</definedName>
    <definedName name="HTML1_4" hidden="1">"Income Statement"</definedName>
    <definedName name="HTML1_5" hidden="1">""</definedName>
    <definedName name="HTML1_6" hidden="1">-4146</definedName>
    <definedName name="HTML1_7" hidden="1">-4146</definedName>
    <definedName name="HTML1_8" hidden="1">"8/22/98"</definedName>
    <definedName name="HTML1_9" hidden="1">"Bill Nguyen"</definedName>
    <definedName name="HTML2_1" hidden="1">"'[Financials V2.01 Sub Sales Excite 4.xls]Income Statement'!$B$10:$AA$38"</definedName>
    <definedName name="HTML2_10" hidden="1">""</definedName>
    <definedName name="HTML2_11" hidden="1">1</definedName>
    <definedName name="HTML2_12" hidden="1">"C:\My Documents\financials.html"</definedName>
    <definedName name="HTML2_13" hidden="1">#N/A</definedName>
    <definedName name="HTML2_14" hidden="1">#N/A</definedName>
    <definedName name="HTML2_15" hidden="1">#N/A</definedName>
    <definedName name="HTML2_2" hidden="1">1</definedName>
    <definedName name="HTML2_3" hidden="1">"Financials"</definedName>
    <definedName name="HTML2_4" hidden="1">"Income Statement"</definedName>
    <definedName name="HTML2_5" hidden="1">""</definedName>
    <definedName name="HTML2_6" hidden="1">-4146</definedName>
    <definedName name="HTML2_7" hidden="1">1</definedName>
    <definedName name="HTML2_8" hidden="1">"8/22/98"</definedName>
    <definedName name="HTML2_9" hidden="1">"Bill Nguyen"</definedName>
    <definedName name="HTMLCount" hidden="1">2</definedName>
    <definedName name="ii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iokjhj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ONDRATING_FITCH" hidden="1">"IQ_BONDRATING_FITCH"</definedName>
    <definedName name="IQ_BONDRATING_SP" hidden="1">"IQ_BONDRATING_SP"</definedName>
    <definedName name="IQ_BOOK_VALUE" hidden="1">"IQ_BOOK_VALUE"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"c1630"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INTEREST" hidden="1">"c120"</definedName>
    <definedName name="IQ_CASH_INTEREST_FINAN" hidden="1">"c6295"</definedName>
    <definedName name="IQ_CASH_INTEREST_INVEST" hidden="1">"c6294"</definedName>
    <definedName name="IQ_CASH_INTEREST_OPER" hidden="1">"c6293"</definedName>
    <definedName name="IQ_CASH_INVEST" hidden="1">"c121"</definedName>
    <definedName name="IQ_CASH_OPER" hidden="1">"c122"</definedName>
    <definedName name="IQ_CASH_OPER_ACT_OR_EST" hidden="1">"c4164"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ASH_TAXES_FINAN" hidden="1">"c6292"</definedName>
    <definedName name="IQ_CASH_TAXES_INVEST" hidden="1">"c6291"</definedName>
    <definedName name="IQ_CASH_TAXES_OPER" hidden="1">"c6290"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FPS_ACT_OR_EST" hidden="1">"c2217"</definedName>
    <definedName name="IQ_CFPS_EST" hidden="1">"c1667"</definedName>
    <definedName name="IQ_CFPS_HIGH_EST" hidden="1">"c1669"</definedName>
    <definedName name="IQ_CFPS_LOW_EST" hidden="1">"c1670"</definedName>
    <definedName name="IQ_CFPS_MEDIAN_EST" hidden="1">"c1668"</definedName>
    <definedName name="IQ_CFPS_NUM_EST" hidden="1">"c1671"</definedName>
    <definedName name="IQ_CFPS_STDDEV_EST" hidden="1">"c1672"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TRACTS_OTHER_COMMODITIES_EQUITIES._FDIC" hidden="1">"c6522"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USIP" hidden="1">"c2245"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NTM" hidden="1">700000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PS_ACT_OR_EST" hidden="1">"c2218"</definedName>
    <definedName name="IQ_DPS_EST" hidden="1">"c1674"</definedName>
    <definedName name="IQ_DPS_HIGH_EST" hidden="1">"c1676"</definedName>
    <definedName name="IQ_DPS_LOW_EST" hidden="1">"c1677"</definedName>
    <definedName name="IQ_DPS_MEDIAN_EST" hidden="1">"c1675"</definedName>
    <definedName name="IQ_DPS_NUM_EST" hidden="1">"c1678"</definedName>
    <definedName name="IQ_DPS_STDDEV_EST" hidden="1">"c1679"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K" hidden="1">"IQ_EBIT_10K"</definedName>
    <definedName name="IQ_EBIT_10Q" hidden="1">"IQ_EBIT_10Q"</definedName>
    <definedName name="IQ_EBIT_10Q1" hidden="1">"IQ_EBIT_10Q1"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ACT_OR_EST" hidden="1">"c2219"</definedName>
    <definedName name="IQ_EBIT_EQ_INC" hidden="1">"c3498"</definedName>
    <definedName name="IQ_EBIT_EQ_INC_EXCL_SBC" hidden="1">"c3502"</definedName>
    <definedName name="IQ_EBIT_EST" hidden="1">"c1681"</definedName>
    <definedName name="IQ_EBIT_EXCL_SBC" hidden="1">"c3082"</definedName>
    <definedName name="IQ_EBIT_GROWTH_1" hidden="1">"IQ_EBIT_GROWTH_1"</definedName>
    <definedName name="IQ_EBIT_GROWTH_2" hidden="1">"IQ_EBIT_GROWTH_2"</definedName>
    <definedName name="IQ_EBIT_GW_ACT_OR_EST" hidden="1">"c4306"</definedName>
    <definedName name="IQ_EBIT_HIGH_EST" hidden="1">"c1683"</definedName>
    <definedName name="IQ_EBIT_INT" hidden="1">"c360"</definedName>
    <definedName name="IQ_EBIT_LOW_EST" hidden="1">"c1684"</definedName>
    <definedName name="IQ_EBIT_MARGIN" hidden="1">"c359"</definedName>
    <definedName name="IQ_EBIT_MEDIAN_EST" hidden="1">"c1682"</definedName>
    <definedName name="IQ_EBIT_NUM_EST" hidden="1">"c1685"</definedName>
    <definedName name="IQ_EBIT_OVER_IE" hidden="1">"c1369"</definedName>
    <definedName name="IQ_EBIT_SBC_ACT_OR_EST" hidden="1">"c4316"</definedName>
    <definedName name="IQ_EBIT_SBC_GW_ACT_OR_EST" hidden="1">"c4320"</definedName>
    <definedName name="IQ_EBIT_STDDEV_EST" hidden="1">"c1686"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K" hidden="1">"IQ_EBITDA_10K"</definedName>
    <definedName name="IQ_EBITDA_10Q" hidden="1">"IQ_EBITDA_10Q"</definedName>
    <definedName name="IQ_EBITDA_10Q1" hidden="1">"IQ_EBITDA_10Q1"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ACT_OR_EST" hidden="1">"c2215"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ROWTH_1" hidden="1">"IQ_EBITDA_GROWTH_1"</definedName>
    <definedName name="IQ_EBITDA_GROWTH_2" hidden="1">"IQ_EBITDA_GROWTH_2"</definedName>
    <definedName name="IQ_EBITDA_HIGH_EST" hidden="1">"c370"</definedName>
    <definedName name="IQ_EBITDA_HIGH_EST_REUT" hidden="1">"c3642"</definedName>
    <definedName name="IQ_EBITDA_INT" hidden="1">"c373"</definedName>
    <definedName name="IQ_EBITDA_LOW_EST" hidden="1">"c371"</definedName>
    <definedName name="IQ_EBITDA_LOW_EST_REUT" hidden="1">"c3643"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" hidden="1">"c6215"</definedName>
    <definedName name="IQ_EBT_REIT" hidden="1">"c389"</definedName>
    <definedName name="IQ_EBT_SBC_ACT_OR_EST" hidden="1">"c4350"</definedName>
    <definedName name="IQ_EBT_SBC_GW_ACT_OR_EST" hidden="1">"c4354"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" hidden="1">"IQ_EPS"</definedName>
    <definedName name="IQ_EPS_10K" hidden="1">"IQ_EPS_10K"</definedName>
    <definedName name="IQ_EPS_10Q" hidden="1">"IQ_EPS_10Q"</definedName>
    <definedName name="IQ_EPS_10Q1" hidden="1">"IQ_EPS_10Q1"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EST" hidden="1">"c399"</definedName>
    <definedName name="IQ_EPS_EST_1" hidden="1">"IQ_EPS_EST_1"</definedName>
    <definedName name="IQ_EPS_EST_REUT" hidden="1">"c5453"</definedName>
    <definedName name="IQ_EPS_GW_ACT_OR_EST" hidden="1">"c2223"</definedName>
    <definedName name="IQ_EPS_GW_EST" hidden="1">"c1737"</definedName>
    <definedName name="IQ_EPS_GW_EST_REUT" hidden="1">"c5389"</definedName>
    <definedName name="IQ_EPS_GW_HIGH_EST" hidden="1">"c1739"</definedName>
    <definedName name="IQ_EPS_GW_HIGH_EST_REUT" hidden="1">"c5391"</definedName>
    <definedName name="IQ_EPS_GW_LOW_EST" hidden="1">"c1740"</definedName>
    <definedName name="IQ_EPS_GW_LOW_EST_REUT" hidden="1">"c5392"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ED_EST" hidden="1">"c1744"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GW_ACT_OR_EST" hidden="1">"c4380"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CFPS" hidden="1">"c1673"</definedName>
    <definedName name="IQ_EST_ACT_DPS" hidden="1">"c1680"</definedName>
    <definedName name="IQ_EST_ACT_EBIT" hidden="1">"c1687"</definedName>
    <definedName name="IQ_EST_ACT_EBITDA" hidden="1">"c1664"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FFO" hidden="1">"c1666"</definedName>
    <definedName name="IQ_EST_ACT_NAV" hidden="1">"c1757"</definedName>
    <definedName name="IQ_EST_ACT_NI" hidden="1">"c1722"</definedName>
    <definedName name="IQ_EST_ACT_NI_GW" hidden="1">"c1729"</definedName>
    <definedName name="IQ_EST_ACT_NI_REPORTED" hidden="1">"c1736"</definedName>
    <definedName name="IQ_EST_ACT_OPER_INC" hidden="1">"c1694"</definedName>
    <definedName name="IQ_EST_ACT_PRETAX_GW_INC" hidden="1">"c1708"</definedName>
    <definedName name="IQ_EST_ACT_PRETAX_INC" hidden="1">"c1701"</definedName>
    <definedName name="IQ_EST_ACT_PRETAX_REPORT_INC" hidden="1">"c1715"</definedName>
    <definedName name="IQ_EST_ACT_REV" hidden="1">"c2113"</definedName>
    <definedName name="IQ_EST_CFPS_DIFF" hidden="1">"c1871"</definedName>
    <definedName name="IQ_EST_CFPS_GROWTH_1YR" hidden="1">"c1774"</definedName>
    <definedName name="IQ_EST_CFPS_GROWTH_2YR" hidden="1">"c1775"</definedName>
    <definedName name="IQ_EST_CFPS_GROWTH_Q_1YR" hidden="1">"c1776"</definedName>
    <definedName name="IQ_EST_CFPS_SEQ_GROWTH_Q" hidden="1">"c1777"</definedName>
    <definedName name="IQ_EST_CFPS_SURPRISE_PERCENT" hidden="1">"c1872"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PS_DIFF" hidden="1">"c1873"</definedName>
    <definedName name="IQ_EST_DPS_GROWTH_1YR" hidden="1">"c1778"</definedName>
    <definedName name="IQ_EST_DPS_GROWTH_2YR" hidden="1">"c1779"</definedName>
    <definedName name="IQ_EST_DPS_GROWTH_Q_1YR" hidden="1">"c1780"</definedName>
    <definedName name="IQ_EST_DPS_SEQ_GROWTH_Q" hidden="1">"c1781"</definedName>
    <definedName name="IQ_EST_DPS_SURPRISE_PERCENT" hidden="1">"c1874"</definedName>
    <definedName name="IQ_EST_EBIT_DIFF" hidden="1">"c1875"</definedName>
    <definedName name="IQ_EST_EBIT_SURPRISE_PERCENT" hidden="1">"c1876"</definedName>
    <definedName name="IQ_EST_EBITDA_DIFF" hidden="1">"c1867"</definedName>
    <definedName name="IQ_EST_EBITDA_GROWTH_1YR" hidden="1">"c1766"</definedName>
    <definedName name="IQ_EST_EBITDA_GROWTH_2YR" hidden="1">"c1767"</definedName>
    <definedName name="IQ_EST_EBITDA_GROWTH_Q_1YR" hidden="1">"c1768"</definedName>
    <definedName name="IQ_EST_EBITDA_SEQ_GROWTH_Q" hidden="1">"c1769"</definedName>
    <definedName name="IQ_EST_EBITDA_SURPRISE_PERCENT" hidden="1">"c1868"</definedName>
    <definedName name="IQ_EST_EPS_DIFF" hidden="1">"c1864"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5YR" hidden="1">"c1655"</definedName>
    <definedName name="IQ_EST_EPS_GROWTH_5YR_HIGH" hidden="1">"c1657"</definedName>
    <definedName name="IQ_EST_EPS_GROWTH_5YR_LOW" hidden="1">"c1658"</definedName>
    <definedName name="IQ_EST_EPS_GROWTH_5YR_MEDIAN" hidden="1">"c1656"</definedName>
    <definedName name="IQ_EST_EPS_GROWTH_5YR_NUM" hidden="1">"c1659"</definedName>
    <definedName name="IQ_EST_EPS_GROWTH_5YR_REUT" hidden="1">"c3633"</definedName>
    <definedName name="IQ_EST_EPS_GROWTH_5YR_STDDEV" hidden="1">"c1660"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EQ_GROWTH_Q" hidden="1">"c1764"</definedName>
    <definedName name="IQ_EST_EPS_SURPRISE" hidden="1">"c1635"</definedName>
    <definedName name="IQ_EST_EPS_SURPRISE_PERCENT" hidden="1">"c1635"</definedName>
    <definedName name="IQ_EST_FFO_DIFF" hidden="1">"c1869"</definedName>
    <definedName name="IQ_EST_FFO_GROWTH_1YR" hidden="1">"c1770"</definedName>
    <definedName name="IQ_EST_FFO_GROWTH_2YR" hidden="1">"c1771"</definedName>
    <definedName name="IQ_EST_FFO_GROWTH_Q_1YR" hidden="1">"c1772"</definedName>
    <definedName name="IQ_EST_FFO_SEQ_GROWTH_Q" hidden="1">"c1773"</definedName>
    <definedName name="IQ_EST_FFO_SURPRISE_PERCENT" hidden="1">"c1870"</definedName>
    <definedName name="IQ_EST_NAV_DIFF" hidden="1">"c1895"</definedName>
    <definedName name="IQ_EST_NAV_SURPRISE_PERCENT" hidden="1">"c1896"</definedName>
    <definedName name="IQ_EST_NI_DIFF" hidden="1">"c1885"</definedName>
    <definedName name="IQ_EST_NI_GW_DIFF" hidden="1">"c1887"</definedName>
    <definedName name="IQ_EST_NI_GW_SURPRISE_PERCENT" hidden="1">"c1888"</definedName>
    <definedName name="IQ_EST_NI_REPORT_DIFF" hidden="1">"c1889"</definedName>
    <definedName name="IQ_EST_NI_REPORT_SURPRISE_PERCENT" hidden="1">"c1890"</definedName>
    <definedName name="IQ_EST_NI_SURPRISE_PERCENT" hidden="1">"c1886"</definedName>
    <definedName name="IQ_EST_NUM_BUY" hidden="1">"c1759"</definedName>
    <definedName name="IQ_EST_NUM_HOLD" hidden="1">"c1761"</definedName>
    <definedName name="IQ_EST_NUM_NO_OPINION" hidden="1">"c1758"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SURPRISE_PERCENT" hidden="1">"c1878"</definedName>
    <definedName name="IQ_EST_PRE_TAX_DIFF" hidden="1">"c1879"</definedName>
    <definedName name="IQ_EST_PRE_TAX_GW_DIFF" hidden="1">"c1881"</definedName>
    <definedName name="IQ_EST_PRE_TAX_GW_SURPRISE_PERCENT" hidden="1">"c1882"</definedName>
    <definedName name="IQ_EST_PRE_TAX_REPORT_DIFF" hidden="1">"c1883"</definedName>
    <definedName name="IQ_EST_PRE_TAX_REPORT_SURPRISE_PERCENT" hidden="1">"c1884"</definedName>
    <definedName name="IQ_EST_PRE_TAX_SURPRISE_PERCENT" hidden="1">"c1880"</definedName>
    <definedName name="IQ_EST_REV_DIFF" hidden="1">"c1865"</definedName>
    <definedName name="IQ_EST_REV_GROWTH_1YR" hidden="1">"c1638"</definedName>
    <definedName name="IQ_EST_REV_GROWTH_2YR" hidden="1">"c1639"</definedName>
    <definedName name="IQ_EST_REV_GROWTH_Q_1YR" hidden="1">"c1640"</definedName>
    <definedName name="IQ_EST_REV_SEQ_GROWTH_Q" hidden="1">"c1765"</definedName>
    <definedName name="IQ_EST_REV_SURPRISE_PERCENT" hidden="1">"c1866"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_OVER_REVENUE_EST" hidden="1">"IQ_EV_OVER_REVENUE_EST"</definedName>
    <definedName name="IQ_EV_OVER_REVENUE_EST_1" hidden="1">"IQ_EV_OVER_REVENUE_EST_1"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EST" hidden="1">"c418"</definedName>
    <definedName name="IQ_FFO_HIGH_EST" hidden="1">"c419"</definedName>
    <definedName name="IQ_FFO_LOW_EST" hidden="1">"c420"</definedName>
    <definedName name="IQ_FFO_MEDIAN_EST" hidden="1">"c1665"</definedName>
    <definedName name="IQ_FFO_NUM_EST" hidden="1">"c421"</definedName>
    <definedName name="IQ_FFO_PAYOUT_RATIO" hidden="1">"c3492"</definedName>
    <definedName name="IQ_FFO_SHARE_ACT_OR_EST" hidden="1">"c4446"</definedName>
    <definedName name="IQ_FFO_STDDEV_EST" hidden="1">"c422"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ASH_EQUIV" hidden="1">"c6289"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_DIV_ST_INVEST" hidden="1">"c6288"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BRANCHES_U.S._BANKS_LOANS_FDIC" hidden="1">"c6438"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X" hidden="1">"c451"</definedName>
    <definedName name="IQ_FY" hidden="1">1000</definedName>
    <definedName name="IQ_FY_DATE" hidden="1">"IQ_FY_DATE"</definedName>
    <definedName name="IQ_GA_EXP" hidden="1">"c2241"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" hidden="1">"c6225"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10K" hidden="1">"IQ_INTEREST_INC_10K"</definedName>
    <definedName name="IQ_INTEREST_INC_10Q" hidden="1">"IQ_INTEREST_INC_10Q"</definedName>
    <definedName name="IQ_INTEREST_INC_10Q1" hidden="1">"IQ_INTEREST_INC_10Q1"</definedName>
    <definedName name="IQ_INTEREST_INC_NON" hidden="1">"c1384"</definedName>
    <definedName name="IQ_INTEREST_INVEST_INC" hidden="1">"c619"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EBIT_MARGIN" hidden="1">"IQ_LAST_EBIT_MARGIN"</definedName>
    <definedName name="IQ_LAST_EBITDA_MARGIN" hidden="1">"IQ_LAST_EBITDA_MARGIN"</definedName>
    <definedName name="IQ_LAST_GROSS_MARGIN" hidden="1">"IQ_LAST_GROSS_MARGIN"</definedName>
    <definedName name="IQ_LAST_NET_INC_MARGIN" hidden="1">"IQ_LAST_NET_INC_MARGIN"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" hidden="1">"1"</definedName>
    <definedName name="IQ_LATESTK" hidden="1">1000</definedName>
    <definedName name="IQ_LATESTKFR" hidden="1">"100"</definedName>
    <definedName name="IQ_LATESTQ" hidden="1">500</definedName>
    <definedName name="IQ_LATESTQFR" hidden="1">"50"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DATE" hidden="1">"IQ_LTM_DATE"</definedName>
    <definedName name="IQ_LTM_REVENUE_OVER_EMPLOYEES" hidden="1">"c1437"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MTD" hidden="1">800000</definedName>
    <definedName name="IQ_NAMES_REVISION_DATE_" hidden="1">41612.7446296296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10K" hidden="1">"IQ_NET_INC_10K"</definedName>
    <definedName name="IQ_NET_INC_10Q" hidden="1">"IQ_NET_INC_10Q"</definedName>
    <definedName name="IQ_NET_INC_10Q1" hidden="1">"IQ_NET_INC_10Q1"</definedName>
    <definedName name="IQ_NET_INC_BEFORE" hidden="1">"c1368"</definedName>
    <definedName name="IQ_NET_INC_CF" hidden="1">"c1397"</definedName>
    <definedName name="IQ_NET_INC_GROWTH_1" hidden="1">"IQ_NET_INC_GROWTH_1"</definedName>
    <definedName name="IQ_NET_INC_GROWTH_2" hidden="1">"IQ_NET_INC_GROWTH_2"</definedName>
    <definedName name="IQ_NET_INC_MARGIN" hidden="1">"c1398"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CT_OR_EST" hidden="1">"c2222"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GW_EST" hidden="1">"c1723"</definedName>
    <definedName name="IQ_NI_GW_HIGH_EST" hidden="1">"c1725"</definedName>
    <definedName name="IQ_NI_GW_LOW_EST" hidden="1">"c1726"</definedName>
    <definedName name="IQ_NI_GW_MEDIAN_EST" hidden="1">"c1724"</definedName>
    <definedName name="IQ_NI_GW_NUM_EST" hidden="1">"c1727"</definedName>
    <definedName name="IQ_NI_GW_STDDEV_EST" hidden="1">"c1728"</definedName>
    <definedName name="IQ_NI_HIGH_EST" hidden="1">"c1718"</definedName>
    <definedName name="IQ_NI_LOW_EST" hidden="1">"c1719"</definedName>
    <definedName name="IQ_NI_MARGIN" hidden="1">"c794"</definedName>
    <definedName name="IQ_NI_MEDIAN_EST" hidden="1">"c1717"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NUM_EST" hidden="1">"c1720"</definedName>
    <definedName name="IQ_NI_REPORTED_EST" hidden="1">"c1730"</definedName>
    <definedName name="IQ_NI_REPORTED_HIGH_EST" hidden="1">"c1732"</definedName>
    <definedName name="IQ_NI_REPORTED_LOW_EST" hidden="1">"c1733"</definedName>
    <definedName name="IQ_NI_REPORTED_MEDIAN_EST" hidden="1">"c1731"</definedName>
    <definedName name="IQ_NI_REPORTED_NUM_EST" hidden="1">"c1734"</definedName>
    <definedName name="IQ_NI_REPORTED_STDDEV_EST" hidden="1">"c1735"</definedName>
    <definedName name="IQ_NI_SBC_ACT_OR_EST" hidden="1">"c4474"</definedName>
    <definedName name="IQ_NI_SBC_GW_ACT_OR_EST" hidden="1">"c4478"</definedName>
    <definedName name="IQ_NI_SFAS" hidden="1">"c795"</definedName>
    <definedName name="IQ_NI_STDDEV_EST" hidden="1">"c1721"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BR" hidden="1">"c850"</definedName>
    <definedName name="IQ_OPER_INC_EST" hidden="1">"c1688"</definedName>
    <definedName name="IQ_OPER_INC_FIN" hidden="1">"c851"</definedName>
    <definedName name="IQ_OPER_INC_HIGH_EST" hidden="1">"c1690"</definedName>
    <definedName name="IQ_OPER_INC_INS" hidden="1">"c852"</definedName>
    <definedName name="IQ_OPER_INC_LOW_EST" hidden="1">"c1691"</definedName>
    <definedName name="IQ_OPER_INC_MARGIN" hidden="1">"c1448"</definedName>
    <definedName name="IQ_OPER_INC_MEDIAN_EST" hidden="1">"c1689"</definedName>
    <definedName name="IQ_OPER_INC_NUM_EST" hidden="1">"c1692"</definedName>
    <definedName name="IQ_OPER_INC_RE" hidden="1">"c6240"</definedName>
    <definedName name="IQ_OPER_INC_REIT" hidden="1">"c853"</definedName>
    <definedName name="IQ_OPER_INC_STDDEV_EST" hidden="1">"c1693"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"c2127"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8MONTHS" hidden="1">"c1853"</definedName>
    <definedName name="IQ_PERCENT_CHANGE_EST_5YR_GROWTH_RATE_3MONTHS" hidden="1">"c1849"</definedName>
    <definedName name="IQ_PERCENT_CHANGE_EST_5YR_GROWTH_RATE_6MONTHS" hidden="1">"c1850"</definedName>
    <definedName name="IQ_PERCENT_CHANGE_EST_5YR_GROWTH_RATE_9MONTHS" hidden="1">"c1851"</definedName>
    <definedName name="IQ_PERCENT_CHANGE_EST_5YR_GROWTH_RATE_DAY" hidden="1">"c1846"</definedName>
    <definedName name="IQ_PERCENT_CHANGE_EST_5YR_GROWTH_RATE_MONTH" hidden="1">"c1848"</definedName>
    <definedName name="IQ_PERCENT_CHANGE_EST_5YR_GROWTH_RATE_WEEK" hidden="1">"c1847"</definedName>
    <definedName name="IQ_PERCENT_CHANGE_EST_CFPS_12MONTHS" hidden="1">"c1812"</definedName>
    <definedName name="IQ_PERCENT_CHANGE_EST_CFPS_18MONTHS" hidden="1">"c1813"</definedName>
    <definedName name="IQ_PERCENT_CHANGE_EST_CFPS_3MONTHS" hidden="1">"c1809"</definedName>
    <definedName name="IQ_PERCENT_CHANGE_EST_CFPS_6MONTHS" hidden="1">"c1810"</definedName>
    <definedName name="IQ_PERCENT_CHANGE_EST_CFPS_9MONTHS" hidden="1">"c1811"</definedName>
    <definedName name="IQ_PERCENT_CHANGE_EST_CFPS_DAY" hidden="1">"c1806"</definedName>
    <definedName name="IQ_PERCENT_CHANGE_EST_CFPS_MONTH" hidden="1">"c1808"</definedName>
    <definedName name="IQ_PERCENT_CHANGE_EST_CFPS_WEEK" hidden="1">"c1807"</definedName>
    <definedName name="IQ_PERCENT_CHANGE_EST_DPS_12MONTHS" hidden="1">"c1820"</definedName>
    <definedName name="IQ_PERCENT_CHANGE_EST_DPS_18MONTHS" hidden="1">"c1821"</definedName>
    <definedName name="IQ_PERCENT_CHANGE_EST_DPS_3MONTHS" hidden="1">"c1817"</definedName>
    <definedName name="IQ_PERCENT_CHANGE_EST_DPS_6MONTHS" hidden="1">"c1818"</definedName>
    <definedName name="IQ_PERCENT_CHANGE_EST_DPS_9MONTHS" hidden="1">"c1819"</definedName>
    <definedName name="IQ_PERCENT_CHANGE_EST_DPS_DAY" hidden="1">"c1814"</definedName>
    <definedName name="IQ_PERCENT_CHANGE_EST_DPS_MONTH" hidden="1">"c1816"</definedName>
    <definedName name="IQ_PERCENT_CHANGE_EST_DPS_WEEK" hidden="1">"c1815"</definedName>
    <definedName name="IQ_PERCENT_CHANGE_EST_EBITDA_12MONTHS" hidden="1">"c1804"</definedName>
    <definedName name="IQ_PERCENT_CHANGE_EST_EBITDA_18MONTHS" hidden="1">"c1805"</definedName>
    <definedName name="IQ_PERCENT_CHANGE_EST_EBITDA_3MONTHS" hidden="1">"c1801"</definedName>
    <definedName name="IQ_PERCENT_CHANGE_EST_EBITDA_6MONTHS" hidden="1">"c1802"</definedName>
    <definedName name="IQ_PERCENT_CHANGE_EST_EBITDA_9MONTHS" hidden="1">"c1803"</definedName>
    <definedName name="IQ_PERCENT_CHANGE_EST_EBITDA_DAY" hidden="1">"c1798"</definedName>
    <definedName name="IQ_PERCENT_CHANGE_EST_EBITDA_MONTH" hidden="1">"c1800"</definedName>
    <definedName name="IQ_PERCENT_CHANGE_EST_EBITDA_WEEK" hidden="1">"c1799"</definedName>
    <definedName name="IQ_PERCENT_CHANGE_EST_EPS_12MONTHS" hidden="1">"c1788"</definedName>
    <definedName name="IQ_PERCENT_CHANGE_EST_EPS_18MONTHS" hidden="1">"c1789"</definedName>
    <definedName name="IQ_PERCENT_CHANGE_EST_EPS_3MONTHS" hidden="1">"c1785"</definedName>
    <definedName name="IQ_PERCENT_CHANGE_EST_EPS_6MONTHS" hidden="1">"c1786"</definedName>
    <definedName name="IQ_PERCENT_CHANGE_EST_EPS_9MONTHS" hidden="1">"c1787"</definedName>
    <definedName name="IQ_PERCENT_CHANGE_EST_EPS_DAY" hidden="1">"c1782"</definedName>
    <definedName name="IQ_PERCENT_CHANGE_EST_EPS_MONTH" hidden="1">"c1784"</definedName>
    <definedName name="IQ_PERCENT_CHANGE_EST_EPS_WEEK" hidden="1">"c1783"</definedName>
    <definedName name="IQ_PERCENT_CHANGE_EST_FFO_12MONTHS" hidden="1">"c1828"</definedName>
    <definedName name="IQ_PERCENT_CHANGE_EST_FFO_18MONTHS" hidden="1">"c1829"</definedName>
    <definedName name="IQ_PERCENT_CHANGE_EST_FFO_3MONTHS" hidden="1">"c1825"</definedName>
    <definedName name="IQ_PERCENT_CHANGE_EST_FFO_6MONTHS" hidden="1">"c1826"</definedName>
    <definedName name="IQ_PERCENT_CHANGE_EST_FFO_9MONTHS" hidden="1">"c1827"</definedName>
    <definedName name="IQ_PERCENT_CHANGE_EST_FFO_DAY" hidden="1">"c1822"</definedName>
    <definedName name="IQ_PERCENT_CHANGE_EST_FFO_MONTH" hidden="1">"c1824"</definedName>
    <definedName name="IQ_PERCENT_CHANGE_EST_FFO_WEEK" hidden="1">"c1823"</definedName>
    <definedName name="IQ_PERCENT_CHANGE_EST_PRICE_TARGET_12MONTHS" hidden="1">"c1844"</definedName>
    <definedName name="IQ_PERCENT_CHANGE_EST_PRICE_TARGET_18MONTHS" hidden="1">"c1845"</definedName>
    <definedName name="IQ_PERCENT_CHANGE_EST_PRICE_TARGET_3MONTHS" hidden="1">"c1841"</definedName>
    <definedName name="IQ_PERCENT_CHANGE_EST_PRICE_TARGET_6MONTHS" hidden="1">"c1842"</definedName>
    <definedName name="IQ_PERCENT_CHANGE_EST_PRICE_TARGET_9MONTHS" hidden="1">"c1843"</definedName>
    <definedName name="IQ_PERCENT_CHANGE_EST_PRICE_TARGET_DAY" hidden="1">"c1838"</definedName>
    <definedName name="IQ_PERCENT_CHANGE_EST_PRICE_TARGET_MONTH" hidden="1">"c1840"</definedName>
    <definedName name="IQ_PERCENT_CHANGE_EST_PRICE_TARGET_WEEK" hidden="1">"c1839"</definedName>
    <definedName name="IQ_PERCENT_CHANGE_EST_RECO_12MONTHS" hidden="1">"c1836"</definedName>
    <definedName name="IQ_PERCENT_CHANGE_EST_RECO_18MONTHS" hidden="1">"c1837"</definedName>
    <definedName name="IQ_PERCENT_CHANGE_EST_RECO_3MONTHS" hidden="1">"c1833"</definedName>
    <definedName name="IQ_PERCENT_CHANGE_EST_RECO_6MONTHS" hidden="1">"c1834"</definedName>
    <definedName name="IQ_PERCENT_CHANGE_EST_RECO_9MONTHS" hidden="1">"c1835"</definedName>
    <definedName name="IQ_PERCENT_CHANGE_EST_RECO_DAY" hidden="1">"c1830"</definedName>
    <definedName name="IQ_PERCENT_CHANGE_EST_RECO_MONTH" hidden="1">"c1832"</definedName>
    <definedName name="IQ_PERCENT_CHANGE_EST_RECO_WEEK" hidden="1">"c1831"</definedName>
    <definedName name="IQ_PERCENT_CHANGE_EST_REV_12MONTHS" hidden="1">"c1796"</definedName>
    <definedName name="IQ_PERCENT_CHANGE_EST_REV_18MONTHS" hidden="1">"c1797"</definedName>
    <definedName name="IQ_PERCENT_CHANGE_EST_REV_3MONTHS" hidden="1">"c1793"</definedName>
    <definedName name="IQ_PERCENT_CHANGE_EST_REV_6MONTHS" hidden="1">"c1794"</definedName>
    <definedName name="IQ_PERCENT_CHANGE_EST_REV_9MONTHS" hidden="1">"c1795"</definedName>
    <definedName name="IQ_PERCENT_CHANGE_EST_REV_DAY" hidden="1">"c1790"</definedName>
    <definedName name="IQ_PERCENT_CHANGE_EST_REV_MONTH" hidden="1">"c1792"</definedName>
    <definedName name="IQ_PERCENT_CHANGE_EST_REV_WEEK" hidden="1">"c1791"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RE_OPEN_COST" hidden="1">"c1040"</definedName>
    <definedName name="IQ_PRE_TAX_ACT_OR_EST" hidden="1">"c2221"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GW_INC_EST" hidden="1">"c1702"</definedName>
    <definedName name="IQ_PRETAX_GW_INC_HIGH_EST" hidden="1">"c1704"</definedName>
    <definedName name="IQ_PRETAX_GW_INC_LOW_EST" hidden="1">"c1705"</definedName>
    <definedName name="IQ_PRETAX_GW_INC_MEDIAN_EST" hidden="1">"c1703"</definedName>
    <definedName name="IQ_PRETAX_GW_INC_NUM_EST" hidden="1">"c1706"</definedName>
    <definedName name="IQ_PRETAX_GW_INC_STDDEV_EST" hidden="1">"c1707"</definedName>
    <definedName name="IQ_PRETAX_INC" hidden="1">"IQ_PRETAX_INC"</definedName>
    <definedName name="IQ_PRETAX_INC_10K" hidden="1">"IQ_PRETAX_INC_10K"</definedName>
    <definedName name="IQ_PRETAX_INC_10Q" hidden="1">"IQ_PRETAX_INC_10Q"</definedName>
    <definedName name="IQ_PRETAX_INC_10Q1" hidden="1">"IQ_PRETAX_INC_10Q1"</definedName>
    <definedName name="IQ_PRETAX_INC_EST" hidden="1">"c1695"</definedName>
    <definedName name="IQ_PRETAX_INC_HIGH_EST" hidden="1">"c1697"</definedName>
    <definedName name="IQ_PRETAX_INC_LOW_EST" hidden="1">"c1698"</definedName>
    <definedName name="IQ_PRETAX_INC_MEDIAN_EST" hidden="1">"c1696"</definedName>
    <definedName name="IQ_PRETAX_INC_NUM_EST" hidden="1">"c1699"</definedName>
    <definedName name="IQ_PRETAX_INC_STDDEV_EST" hidden="1">"c1700"</definedName>
    <definedName name="IQ_PRETAX_REPORT_INC_EST" hidden="1">"c1709"</definedName>
    <definedName name="IQ_PRETAX_REPORT_INC_HIGH_EST" hidden="1">"c1711"</definedName>
    <definedName name="IQ_PRETAX_REPORT_INC_LOW_EST" hidden="1">"c1712"</definedName>
    <definedName name="IQ_PRETAX_REPORT_INC_MEDIAN_EST" hidden="1">"c1710"</definedName>
    <definedName name="IQ_PRETAX_REPORT_INC_NUM_EST" hidden="1">"c1713"</definedName>
    <definedName name="IQ_PRETAX_REPORT_INC_STDDEV_EST" hidden="1">"c1714"</definedName>
    <definedName name="IQ_PRICE_CFPS_FWD" hidden="1">"c2237"</definedName>
    <definedName name="IQ_PRICE_OVER_BVPS" hidden="1">"c1412"</definedName>
    <definedName name="IQ_PRICE_OVER_EPS_EST" hidden="1">"IQ_PRICE_OVER_EPS_EST"</definedName>
    <definedName name="IQ_PRICE_OVER_EPS_EST_1" hidden="1">"IQ_PRICE_OVER_EPS_EST_1"</definedName>
    <definedName name="IQ_PRICE_OVER_LTM_EPS" hidden="1">"c1413"</definedName>
    <definedName name="IQ_PRICE_TARGET" hidden="1">"c82"</definedName>
    <definedName name="IQ_PRICE_TARGET_REUT" hidden="1">"c3631"</definedName>
    <definedName name="IQ_PRICEDATE" hidden="1">"c1069"</definedName>
    <definedName name="IQ_PRICEDATETIME" hidden="1">"IQ_PRICEDATETIME"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TD" hidden="1">750000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SHARE_ACT_OR_EST" hidden="1">"c4508"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"c2903"</definedName>
    <definedName name="IQ_RETAIL_ACQUIRED_OWNED_STORES" hidden="1">"c2895"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10K" hidden="1">"IQ_REVENUE_10K"</definedName>
    <definedName name="IQ_REVENUE_10Q" hidden="1">"IQ_REVENUE_10Q"</definedName>
    <definedName name="IQ_REVENUE_10Q1" hidden="1">"IQ_REVENUE_10Q1"</definedName>
    <definedName name="IQ_REVENUE_ACT_OR_EST" hidden="1">"c2214"</definedName>
    <definedName name="IQ_REVENUE_EST" hidden="1">"c1126"</definedName>
    <definedName name="IQ_REVENUE_EST_1" hidden="1">"IQ_REVENUE_EST_1"</definedName>
    <definedName name="IQ_REVENUE_EST_REUT" hidden="1">"c3634"</definedName>
    <definedName name="IQ_REVENUE_GROWTH_1" hidden="1">"IQ_REVENUE_GROWTH_1"</definedName>
    <definedName name="IQ_REVENUE_GROWTH_2" hidden="1">"IQ_REVENUE_GROWTH_2"</definedName>
    <definedName name="IQ_REVENUE_HIGH_EST" hidden="1">"c1127"</definedName>
    <definedName name="IQ_REVENUE_HIGH_EST_REUT" hidden="1">"c3636"</definedName>
    <definedName name="IQ_REVENUE_LOW_EST" hidden="1">"c1128"</definedName>
    <definedName name="IQ_REVENUE_LOW_EST_REUT" hidden="1">"c3637"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38944.634837963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BANK" hidden="1">"c2637"</definedName>
    <definedName name="IQ_SP_BANK_ACTION" hidden="1">"c2636"</definedName>
    <definedName name="IQ_SP_BANK_DATE" hidden="1">"c2635"</definedName>
    <definedName name="IQ_SP_DATE" hidden="1">"c2172"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jim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jksdf" hidden="1">{"client cfbs",#N/A,FALSE,"Client"}</definedName>
    <definedName name="jny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K2_WBEVMODE" hidden="1">-1</definedName>
    <definedName name="kamil" hidden="1">{"glc1",#N/A,FALSE,"GLC";"glc2",#N/A,FALSE,"GLC";"glc3",#N/A,FALSE,"GLC";"glc4",#N/A,FALSE,"GLC";"glc5",#N/A,FALSE,"GLC"}</definedName>
    <definedName name="KFP" hidden="1">{"glc1",#N/A,FALSE,"GLC";"glc2",#N/A,FALSE,"GLC";"glc3",#N/A,FALSE,"GLC";"glc4",#N/A,FALSE,"GLC";"glc5",#N/A,FALSE,"GLC"}</definedName>
    <definedName name="kop" hidden="1">{#N/A,#N/A,FALSE,"Aging Summary";#N/A,#N/A,FALSE,"Ratio Analysis";#N/A,#N/A,FALSE,"Test 120 Day Accts";#N/A,#N/A,FALSE,"Tickmarks"}</definedName>
    <definedName name="limcount" hidden="1">1</definedName>
    <definedName name="ll" hidden="1">{#N/A,#N/A,FALSE,"Aging Summary";#N/A,#N/A,FALSE,"Ratio Analysis";#N/A,#N/A,FALSE,"Test 120 Day Accts";#N/A,#N/A,FALSE,"Tickmarks"}</definedName>
    <definedName name="mistake" hidden="1">{#N/A,#N/A,FALSE,"Sales"}</definedName>
    <definedName name="mmm" hidden="1">{#N/A,#N/A,FALSE,"DCF";#N/A,#N/A,FALSE,"WACC";#N/A,#N/A,FALSE,"Sales_EBIT";#N/A,#N/A,FALSE,"Capex_Depreciation";#N/A,#N/A,FALSE,"WC";#N/A,#N/A,FALSE,"Interest";#N/A,#N/A,FALSE,"Assumptions"}</definedName>
    <definedName name="mmmm" hidden="1">{#N/A,#N/A,FALSE,"Inc. Statement-DCF";#N/A,#N/A,FALSE,"Assumptions";#N/A,#N/A,FALSE,"Inputs - Sales (KFF)";#N/A,#N/A,FALSE,"Inputs - Margins %";#N/A,#N/A,FALSE,"Inputs - Units";#N/A,#N/A,FALSE,"Output - Prices";#N/A,#N/A,FALSE,"Outputs - Margins (KFF)";#N/A,#N/A,FALSE,"Outputs - Costs";#N/A,#N/A,FALSE,"Outputs - Costs % ";#N/A,#N/A,FALSE,"Output - Units % Inc.";#N/A,#N/A,FALSE,"Output - Sales % Inc";#N/A,#N/A,FALSE,"Output - Prices % Inc.";#N/A,#N/A,FALSE,"WACC"}</definedName>
    <definedName name="mmmmm" hidden="1">{"Valuation_Common",#N/A,FALSE,"Valuation"}</definedName>
    <definedName name="mmmmmm" hidden="1">{"Страница 1",#N/A,FALSE,"Модель Интенсивника";"Страница 2",#N/A,FALSE,"Модель Интенсивника";"Страница 3",#N/A,FALSE,"Модель Интенсивника"}</definedName>
    <definedName name="mmmmmmmm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mmmmmmmmm" hidden="1">{#N/A,#N/A,TRUE,"Лист2"}</definedName>
    <definedName name="naa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new" hidden="1">{"summary report",#N/A,FALSE,"SUMMARY REPORT";"salary model ytd",#N/A,FALSE,"SALARY MODEL - YTD";"salary model mtd",#N/A,FALSE,"SALARY MODEL - MTD";"detail 311",#N/A,FALSE,"311 ACTUAL"}</definedName>
    <definedName name="nnnnnnnnnnnnn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nnnnnnnnnnnnnnn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nnnnnnnnnnnnnnnnnn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oo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ooo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oooooo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pp" hidden="1">{#N/A,#N/A,FALSE,"Aging Summary";#N/A,#N/A,FALSE,"Ratio Analysis";#N/A,#N/A,FALSE,"Test 120 Day Accts";#N/A,#N/A,FALSE,"Tickmarks"}</definedName>
    <definedName name="příjmy" hidden="1">{"glc1",#N/A,FALSE,"GLC";"glc2",#N/A,FALSE,"GLC";"glc3",#N/A,FALSE,"GLC";"glc4",#N/A,FALSE,"GLC";"glc5",#N/A,FALSE,"GLC"}</definedName>
    <definedName name="_xlnm.Print_Area" localSheetId="3">BS!$B$2:$J$47</definedName>
    <definedName name="_xlnm.Print_Area" localSheetId="4">CF!$B$2:$J$31</definedName>
    <definedName name="_xlnm.Print_Area" localSheetId="12">'Comp Sheet'!$B$2:$L$28</definedName>
    <definedName name="_xlnm.Print_Area" localSheetId="0">Cover!$B$2:$L$3</definedName>
    <definedName name="_xlnm.Print_Area" localSheetId="7">Debt!$B$2:$E$28</definedName>
    <definedName name="_xlnm.Print_Area" localSheetId="6">Equity!$B$2:$E$19</definedName>
    <definedName name="_xlnm.Print_Area" localSheetId="10">Holders!$B$2:$H$27</definedName>
    <definedName name="_xlnm.Print_Area" localSheetId="2">IS!$B$2:$J$47</definedName>
    <definedName name="_xlnm.Print_Area" localSheetId="11">Returns!$B$2:$J$47</definedName>
    <definedName name="_xlnm.Print_Area" localSheetId="9">'Sale-Leaseback+Valuation'!$B$2:$G$36,'Sale-Leaseback+Valuation'!$I$2:$L$46</definedName>
    <definedName name="_xlnm.Print_Area" localSheetId="8">'Segments+SG&amp;A'!$B$2:$J$59,'Segments+SG&amp;A'!$L$2:$Q$32</definedName>
    <definedName name="_xlnm.Print_Area" localSheetId="1">Summary!$B$2:$O$19</definedName>
    <definedName name="_xlnm.Print_Area" localSheetId="5">WC!$B$2:$J$29</definedName>
    <definedName name="qe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qq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qqq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Quarterly" hidden="1">{"Annual",#N/A,FALSE,"Sales &amp; Market";"Quarterly",#N/A,FALSE,"Sales &amp; Market"}</definedName>
    <definedName name="quarterly1" hidden="1">{"Annual",#N/A,FALSE,"Sales &amp; Market";"Quarterly",#N/A,FALSE,"Sales &amp; Market"}</definedName>
    <definedName name="qw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rawerwerfwarf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rozvaha_vysledovka" hidden="1">{"glc1",#N/A,FALSE,"GLC";"glc2",#N/A,FALSE,"GLC";"glc3",#N/A,FALSE,"GLC";"glc4",#N/A,FALSE,"GLC";"glc5",#N/A,FALSE,"GLC"}</definedName>
    <definedName name="rr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rrr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rrrrrrrrrrrrrrrrrrrrrrrr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SAPBEXrevision" hidden="1">1</definedName>
    <definedName name="SAPBEXsysID" hidden="1">"BWP"</definedName>
    <definedName name="SAPBEXwbID" hidden="1">"84MNLAZ0HDCMBFWARUK2VC28J"</definedName>
    <definedName name="save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sencount" hidden="1">1</definedName>
    <definedName name="sfsfs" hidden="1">"W:\WPFILES\GB759\EXCEL\FIGBUS.mdb"</definedName>
    <definedName name="sn" hidden="1">{"HEDGES",#N/A,FALSE,"Summary";"SUMMARY",#N/A,FALSE,"Summary"}</definedName>
    <definedName name="sssssss" hidden="1">{"Страница 1",#N/A,FALSE,"Модель Интенсивника";"Страница 3",#N/A,FALSE,"Модель Интенсивника"}</definedName>
    <definedName name="ssssssssssss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sssssssssssssss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sssssssssssssssss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sssssssssssssssssss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tt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ttt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uu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uuuuuuuuuuuu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vvvv" hidden="1">{"DCF","UPSIDE CASE",FALSE,"Sheet1";"DCF","BASE CASE",FALSE,"Sheet1";"DCF","DOWNSIDE CASE",FALSE,"Sheet1"}</definedName>
    <definedName name="wrn" hidden="1">{"glc1",#N/A,FALSE,"GLC";"glc2",#N/A,FALSE,"GLC";"glc3",#N/A,FALSE,"GLC";"glc4",#N/A,FALSE,"GLC";"glc5",#N/A,FALSE,"GLC"}</definedName>
    <definedName name="wrn.Acquisition_matrix." hidden="1">{"Acq_matrix",#N/A,FALSE,"Acquisition Matrix"}</definedName>
    <definedName name="wrn.Actual._.Data._.Entry." hidden="1">{#N/A,#N/A,FALSE,"Sales"}</definedName>
    <definedName name="wrn.adj95." hidden="1">{"adj95mult",#N/A,FALSE,"COMPCO";"adj95est",#N/A,FALSE,"COMPCO"}</definedName>
    <definedName name="wrn.adj95a" hidden="1">{"adj95mult",#N/A,FALSE,"COMPCO";"adj95est",#N/A,FALSE,"COMPCO"}</definedName>
    <definedName name="wrn.Aging._.and._.Trend._.Analysis." hidden="1">{#N/A,#N/A,FALSE,"Aging Summary";#N/A,#N/A,FALSE,"Ratio Analysis";#N/A,#N/A,FALSE,"Test 120 Day Accts";#N/A,#N/A,FALSE,"Tickmarks"}</definedName>
    <definedName name="wrn.ALL." hidden="1">{"INTEREST",#N/A,FALSE,"A";"RATE",#N/A,FALSE,"A"}</definedName>
    <definedName name="wrn.Annual_n_Quarterly." hidden="1">{"Annual",#N/A,FALSE,"Sales &amp; Market";"Quarterly",#N/A,FALSE,"Sales &amp; Market"}</definedName>
    <definedName name="wrn.AQUIROR._.DCF." hidden="1">{"AQUIRORDCF",#N/A,FALSE,"Merger consequences";"Acquirorassns",#N/A,FALSE,"Merger consequences"}</definedName>
    <definedName name="wrn.backup." hidden="1">{"background",#N/A,FALSE,"CS First Boston Merger Model";"inputs",#N/A,FALSE,"CS First Boston Merger Model"}</definedName>
    <definedName name="wrn.Basic." hidden="1">{#N/A,#N/A,FALSE,"Cover";#N/A,#N/A,FALSE,"Assumptions";#N/A,#N/A,FALSE,"Acquirer";#N/A,#N/A,FALSE,"Target";#N/A,#N/A,FALSE,"Income Statement";#N/A,#N/A,FALSE,"Summary Tables"}</definedName>
    <definedName name="wrn.basicfin." hidden="1">{"assets",#N/A,FALSE,"historicBS";"liab",#N/A,FALSE,"historicBS";"is",#N/A,FALSE,"historicIS";"ratios",#N/A,FALSE,"ratios"}</definedName>
    <definedName name="wrn.Client._.cfbs." hidden="1">{"client cfbs",#N/A,FALSE,"Client"}</definedName>
    <definedName name="wrn.Client._.is." hidden="1">{"client is",#N/A,FALSE,"Client"}</definedName>
    <definedName name="wrn.Client._.stats." hidden="1">{"client stats",#N/A,FALSE,"Client"}</definedName>
    <definedName name="wrn.compco." hidden="1">{"mult96",#N/A,FALSE,"PETCOMP";"est96",#N/A,FALSE,"PETCOMP";"mult95",#N/A,FALSE,"PETCOMP";"est95",#N/A,FALSE,"PETCOMP";"multltm",#N/A,FALSE,"PETCOMP";"resultltm",#N/A,FALSE,"PETCOMP"}</definedName>
    <definedName name="wrn.compco2" hidden="1">{"mult96",#N/A,FALSE,"PETCOMP";"est96",#N/A,FALSE,"PETCOMP";"mult95",#N/A,FALSE,"PETCOMP";"est95",#N/A,FALSE,"PETCOMP";"multltm",#N/A,FALSE,"PETCOMP";"resultltm",#N/A,FALSE,"PETCOMP"}</definedName>
    <definedName name="wrn.DCF." hidden="1">{"DCF1",#N/A,FALSE,"SIERRA DCF";"MATRIX1",#N/A,FALSE,"SIERRA DCF"}</definedName>
    <definedName name="wrn.DCF_Terminal_Value_qchm." hidden="1">{"qchm_dcf",#N/A,FALSE,"QCHMDCF2";"qchm_terminal",#N/A,FALSE,"QCHMDCF2"}</definedName>
    <definedName name="wrn.DCFEpervier." hidden="1">{#N/A,#N/A,FALSE,"Inc. Statement-DCF";#N/A,#N/A,FALSE,"Assumptions";#N/A,#N/A,FALSE,"Inputs - Sales (KFF)";#N/A,#N/A,FALSE,"Inputs - Margins %";#N/A,#N/A,FALSE,"Inputs - Units";#N/A,#N/A,FALSE,"Output - Prices";#N/A,#N/A,FALSE,"Outputs - Margins (KFF)";#N/A,#N/A,FALSE,"Outputs - Costs";#N/A,#N/A,FALSE,"Outputs - Costs % ";#N/A,#N/A,FALSE,"Output - Units % Inc.";#N/A,#N/A,FALSE,"Output - Sales % Inc";#N/A,#N/A,FALSE,"Output - Prices % Inc.";#N/A,#N/A,FALSE,"WACC"}</definedName>
    <definedName name="wrn.Economic._.Value._.Added._.Analysis." hidden="1">{"EVA",#N/A,FALSE,"EVA";"WACC",#N/A,FALSE,"WACC"}</definedName>
    <definedName name="wrn.FOUR._.CASES." hidden="1">{"MODEL","ALL STOCK",FALSE,"CS First Boston Merger Model";"MODEL","ALL CASH",FALSE,"CS First Boston Merger Model";"MODEL","ALL CASH WITH EQUITY OFFERING",FALSE,"CS First Boston Merger Model";"MODEL","HALF CASH/HALF STOCK",FALSE,"CS First Boston Merger Model"}</definedName>
    <definedName name="wrn.Full." hidden="1">{"Comp1",#N/A,FALSE,"COMP";"Comp2",#N/A,FALSE,"COMP";"Comp3",#N/A,FALSE,"COMP";"Comp4",#N/A,FALSE,"COMP"}</definedName>
    <definedName name="wrn.full._.report." hidden="1">{"summary",#N/A,FALSE,"Summary";"transaction",#N/A,FALSE,"Transaction";"sales",#N/A,FALSE,"Sales";"sales existing",#N/A,FALSE,"Sales";"sales rd1",#N/A,FALSE,"Sales";"sales rd2",#N/A,FALSE,"Sales";"costs",#N/A,FALSE,"Costs";"income statement",#N/A,FALSE,"Financials";"cash flow statement",#N/A,FALSE,"Financials";"balance sheet",#N/A,FALSE,"Financials";"consolidated capitalization",#N/A,FALSE,"Financials";"op co. capitalization",#N/A,FALSE,"Financials";"ebitda",#N/A,FALSE,"EBITDA";"profit imp opps",#N/A,FALSE,"EBITDA";"returns",#N/A,FALSE,"Equity &amp; Sub Valuation"}</definedName>
    <definedName name="wrn.glc." hidden="1">{"glcbs",#N/A,FALSE,"GLCBS";"glccsbs",#N/A,FALSE,"GLCCSBS";"glcis",#N/A,FALSE,"GLCIS";"glccsis",#N/A,FALSE,"GLCCSIS";"glcrat1",#N/A,FALSE,"GLC-ratios1"}</definedName>
    <definedName name="wrn.glcpromonte." hidden="1">{"glc1",#N/A,FALSE,"GLC";"glc2",#N/A,FALSE,"GLC";"glc3",#N/A,FALSE,"GLC";"glc4",#N/A,FALSE,"GLC";"glc5",#N/A,FALSE,"GLC"}</definedName>
    <definedName name="wrn.Internal._.is." hidden="1">{"internal is",#N/A,FALSE,"Model"}</definedName>
    <definedName name="wrn.OUTPUT." hidden="1">{"DCF","UPSIDE CASE",FALSE,"Sheet1";"DCF","BASE CASE",FALSE,"Sheet1";"DCF","DOWNSIDE CASE",FALSE,"Sheet1"}</definedName>
    <definedName name="wrn.Portrait._.letter._.is." hidden="1">{"portrait letter is",#N/A,FALSE,"Model"}</definedName>
    <definedName name="wrn.Print." hidden="1">{"OSMDIV",#N/A,FALSE,"A";"OGI",#N/A,FALSE,"A";"CPC",#N/A,FALSE,"A";"all_print",#N/A,FALSE,"A";"all_print",#N/A,FALSE,"A"}</definedName>
    <definedName name="wrn.Print._.Sum_Hedges." hidden="1">{"HEDGES",#N/A,FALSE,"Summary";"SUMMARY",#N/A,FALSE,"Summary"}</definedName>
    <definedName name="wrn.QTR._.1._.INCOME._.STATEMENT." hidden="1">{"QTR 1 INC STMT",#N/A,FALSE,"INCOME STATEMENT";"QTR 1 SUPP",#N/A,FALSE,"SUPPLEMENTAL"}</definedName>
    <definedName name="wrn.QTR._.1._.MCS." hidden="1">{"QTR 1 MELT",#N/A,FALSE,"MELT SHOP";"QTR 1 SCARF",#N/A,FALSE,"SCARFING";"QTR 1 OLD SLAB",#N/A,FALSE,"SLAB PREPARATION";"QTR 1 NEW ROLLING",#N/A,FALSE,"PLATE FINISHING &amp; ROLLING";"QTR 1 COIL ROLL",#N/A,FALSE,"COIL FINISHING &amp; ROLLING ";"QTR 1 NEW PLATE",#N/A,FALSE,"FINISHED PLATE INVENTORY";"QTR 1 COIL",#N/A,FALSE,"FINISHED COIL INVENTORY ";"QTR 1 HT GREEN",#N/A,FALSE,"HEAT TREAT - GREEN";"QTR 1 HT TREATED",#N/A,FALSE,"HEAT TREAT - TREATED"}</definedName>
    <definedName name="wrn.QTR._.2._.INCOME._.STATEMENT." hidden="1">{"QTR 2 INC STMT",#N/A,FALSE,"INCOME STATEMENT";"QTR 2 SUPP",#N/A,FALSE,"SUPPLEMENTAL"}</definedName>
    <definedName name="wrn.QTR._.2._.MCS." hidden="1">{"QTR 2 SCRAP",#N/A,FALSE,"SCRAP";"QTR 2 HBI",#N/A,FALSE,"HBI";"QTR 2 PIG IRON",#N/A,FALSE,"PIG IRON";"QTR 2 MELT",#N/A,FALSE,"MELT SHOP";"QTR 2 SCARF",#N/A,FALSE,"SCARFING";"QTR 2 OLD SLAB",#N/A,FALSE,"SLAB PREPARATION-OLD";"QTR 2 NEW SLAB",#N/A,FALSE,"SLAB PREPARATION-NEW";"QTR 2 OLD ROLLING",#N/A,FALSE,"PLATE FINISHING &amp; ROLLING-OLD";"QTR 2 NEW ROLLING",#N/A,FALSE,"PLATE FINISHING &amp; ROLLING-NEW";"QTR 2 COIL ROLL",#N/A,FALSE,"COIL FINISHING &amp; ROLLING ";"QTR 2 OLD PLATE",#N/A,FALSE,"FINISHED PLATE INVENTORY-OLD";"QTR 2 NEW PLATE",#N/A,FALSE,"FINISHED PLATE INVENTORY-NEW";"QTR 2 COIL",#N/A,FALSE,"FINISHED COIL INVENTORY ";"QTR 2 HT GREEN",#N/A,FALSE,"HEAT TREAT - GREEN";"QTR 2 HT TREATED",#N/A,FALSE,"HEAT TREAT - TREATED"}</definedName>
    <definedName name="wrn.QTR._.3._.INCOME._.STATEMENT." hidden="1">{"QTR 3 INC STMT",#N/A,FALSE,"INCOME STATEMENT";"QTR 3 SUPP",#N/A,FALSE,"SUPPLEMENTAL"}</definedName>
    <definedName name="wrn.QTR._.3._.MCS." hidden="1">{"QTR 3 SCRAP",#N/A,FALSE,"SCRAP";"QTR 3 PIG IRON",#N/A,FALSE,"PIG IRON";"QTR 3 HBI",#N/A,FALSE,"HBI";"QTR 3 MELT",#N/A,FALSE,"MELT SHOP";"QTR 3 SCARF",#N/A,FALSE,"SCARFING";"QTR 3 OLD SLAB",#N/A,FALSE,"SLAB PREPARATION-OLD";"QTR 3 NEW SLAB",#N/A,FALSE,"SLAB PREPARATION-NEW";"QTR 3 OLD ROLLING",#N/A,FALSE,"PLATE FINISHING &amp; ROLLING-OLD";"QTR 3 NEW ROLLING",#N/A,FALSE,"PLATE FINISHING &amp; ROLLING-NEW";"QTR 3 COIL ROLL",#N/A,FALSE,"COIL FINISHING &amp; ROLLING ";"QTR 3 OLD PLATE",#N/A,FALSE,"FINISHED PLATE INVENTORY-OLD";"QTR 3 NEW PLATE",#N/A,FALSE,"FINISHED PLATE INVENTORY-NEW";"QTR 3 COIL",#N/A,FALSE,"FINISHED COIL INVENTORY ";"QTR 3 HT GREEN",#N/A,FALSE,"HEAT TREAT - GREEN";"QTR 3 HT TREATED",#N/A,FALSE,"HEAT TREAT - TREATED"}</definedName>
    <definedName name="wrn.QTR._.4._.INCOME._.STATEMENT." hidden="1">{"QTR 4 INC STMT",#N/A,FALSE,"INCOME STATEMENT";"QTR 4 SUPP",#N/A,FALSE,"SUPPLEMENTAL"}</definedName>
    <definedName name="wrn.QTR._.4._.MCS." hidden="1">{"QTR 4 SCRAP",#N/A,FALSE,"SCRAP";"QTR 4 HBI",#N/A,FALSE,"HBI";"QTR 4 PIG IRON",#N/A,FALSE,"PIG IRON";"QTR 4 MELT",#N/A,FALSE,"MELT SHOP";"QTR 4 SCARF",#N/A,FALSE,"SCARFING";"QTR 4 OLD SLAB",#N/A,FALSE,"SLAB PREPARATION-OLD";"QTR 4 NEW SLAB",#N/A,FALSE,"SLAB PREPARATION-NEW";"QTR 4 OLD ROLLING",#N/A,FALSE,"PLATE FINISHING &amp; ROLLING-OLD";"QTR 4 NEW ROLLING",#N/A,FALSE,"PLATE FINISHING &amp; ROLLING-NEW";"QTR 4 COIL ROLL",#N/A,FALSE,"COIL FINISHING &amp; ROLLING ";"QTR 4 OLD PLATE",#N/A,FALSE,"FINISHED PLATE INVENTORY-OLD";"QTR 4 NEW PLATE",#N/A,FALSE,"FINISHED PLATE INVENTORY-NEW";"QTR 4 COIL",#N/A,FALSE,"FINISHED COIL INVENTORY ";"QTR 4 HT GREEN",#N/A,FALSE,"HEAT TREAT - GREEN";"QTR 4 HT TREATED",#N/A,FALSE,"HEAT TREAT - TREATED"}</definedName>
    <definedName name="wrn.QTRLY._.MCS." hidden="1">{"QTRLY SCRAP",#N/A,FALSE,"SCRAP";"QTRLY PIG IRON",#N/A,FALSE,"PIG IRON";"QTRLY HBI",#N/A,FALSE,"HBI";"QTRLY MELT",#N/A,FALSE,"MELT SHOP";"QTRLY SCARF",#N/A,FALSE,"SCARFING";"QTRLY OLD SLAB",#N/A,FALSE,"SLAB PREPARATION-OLD";"QTRLY NEW SLAB",#N/A,FALSE,"SLAB PREPARATION-NEW";"QTRLY OLD ROLLING",#N/A,FALSE,"PLATE FINISHING &amp; ROLLING-OLD";"QTRLY NEW ROLLING",#N/A,FALSE,"PLATE FINISHING &amp; ROLLING-NEW";"QTRLY COIL ROLL",#N/A,FALSE,"COIL FINISHING &amp; ROLLING ";"QTRLY OLD PLATE",#N/A,FALSE,"FINISHED PLATE INVENTORY-OLD";"QTRLY NEW PLATE",#N/A,FALSE,"FINISHED PLATE INVENTORY-NEW";"QTRLY COIL",#N/A,FALSE,"FINISHED COIL INVENTORY ";"QTRLY HT GREEN",#N/A,FALSE,"HEAT TREAT - GREEN";"QTRLY HT TREATED",#N/A,FALSE,"HEAT TREAT - TREATED"}</definedName>
    <definedName name="wrn.QUARTERLY._.INCOME._.STATEMENT." hidden="1">{"QTRLY INC STMT",#N/A,FALSE,"INCOME STATEMENT";"QTRLY SUPP",#N/A,FALSE,"SUPPLEMENTAL"}</definedName>
    <definedName name="wrn.report._.set._.with._.311." hidden="1">{"summary report",#N/A,FALSE,"SUMMARY REPORT";"salary model ytd",#N/A,FALSE,"SALARY MODEL - YTD";"salary model mtd",#N/A,FALSE,"SALARY MODEL - MTD";"detail 311",#N/A,FALSE,"311 ACTUAL"}</definedName>
    <definedName name="wrn.report._.set._.without._.311." hidden="1">{"summary report",#N/A,FALSE,"SUMMARY REPORT";"salary model ytd",#N/A,FALSE,"SALARY MODEL - YTD";"salary model mtd",#N/A,FALSE,"SALARY MODEL - MTD"}</definedName>
    <definedName name="wrn.sales." hidden="1">{"sales",#N/A,FALSE,"Sales";"sales existing",#N/A,FALSE,"Sales";"sales rd1",#N/A,FALSE,"Sales";"sales rd2",#N/A,FALSE,"Sales"}</definedName>
    <definedName name="wrn.TARGET._.DCF." hidden="1">{"targetdcf",#N/A,FALSE,"Merger consequences";"TARGETASSU",#N/A,FALSE,"Merger consequences";"TERMINAL VALUE",#N/A,FALSE,"Merger consequences"}</definedName>
    <definedName name="wrn.test." hidden="1">{"Valuation_Common",#N/A,FALSE,"Valuation"}</definedName>
    <definedName name="wrn.ukazatele." hidden="1">{#N/A,#N/A,FALSE,"List A";#N/A,#N/A,FALSE,"ListB";#N/A,#N/A,FALSE,"ListC";#N/A,#N/A,FALSE,"ListCash";#N/A,#N/A,FALSE,"ListHF";#N/A,#N/A,FALSE,"ListUK";#N/A,#N/A,FALSE,"Graf"}</definedName>
    <definedName name="wrn.апрель.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wrn.ку." hidden="1">{#N/A,#N/A,TRUE,"Лист2"}</definedName>
    <definedName name="wrn.Модель._.Интенсивника." hidden="1">{"Страница 1",#N/A,FALSE,"Модель Интенсивника";"Страница 2",#N/A,FALSE,"Модель Интенсивника";"Страница 3",#N/A,FALSE,"Модель Интенсивника"}</definedName>
    <definedName name="wrn.Модель._.Интенсивника._.стр._.1._.и._.3." hidden="1">{"Страница 1",#N/A,FALSE,"Модель Интенсивника";"Страница 3",#N/A,FALSE,"Модель Интенсивника"}</definedName>
    <definedName name="wrn.Отчет.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wrn.справк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wrn.ФП_КМК." hidden="1">{#N/A,#N/A,FALSE,"Титул_ОСН";#N/A,#N/A,FALSE,"Итоги";#N/A,#N/A,FALSE,"Источники";#N/A,#N/A,FALSE,"ПрочПродажи";#N/A,#N/A,FALSE,"ЗП";#N/A,#N/A,FALSE,"Налоги";#N/A,#N/A,FALSE,"Энерго";#N/A,#N/A,FALSE,"Сырьё";#N/A,#N/A,FALSE,"Снабжение";#N/A,#N/A,FALSE,"Оборудование";#N/A,#N/A,FALSE,"Транспорт";#N/A,#N/A,FALSE,"Коммерция";#N/A,#N/A,FALSE,"ТЕК_РЕМ";#N/A,#N/A,FALSE,"КАП_РЕМ";#N/A,#N/A,FALSE,"КАП_СТР";#N/A,#N/A,FALSE,"НИОКР";#N/A,#N/A,FALSE,"Кадры";#N/A,#N/A,FALSE,"СОЦ";#N/A,#N/A,FALSE,"НепромПр";#N/A,#N/A,FALSE,"ФИНАНСЫ";#N/A,#N/A,FALSE,"Прочие";#N/A,#N/A,FALSE,"Гаш_кредит";#N/A,#N/A,FALSE,"ФП"}</definedName>
    <definedName name="wrn_eva" hidden="1">{"EVA",#N/A,FALSE,"EVA";"WACC",#N/A,FALSE,"WACC"}</definedName>
    <definedName name="wrn_otpt" hidden="1">{"DCF","UPSIDE CASE",FALSE,"Sheet1";"DCF","BASE CASE",FALSE,"Sheet1";"DCF","DOWNSIDE CASE",FALSE,"Sheet1"}</definedName>
    <definedName name="ww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www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wwwwwwwww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xxxxxxxxxxxxxx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yy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yyss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Z_0D0B497D_21F8_11D5_91EF_00B0D058E5A7_.wvu.Cols" localSheetId="6" hidden="1">#REF!</definedName>
    <definedName name="Z_0D0B497D_21F8_11D5_91EF_00B0D058E5A7_.wvu.Cols" hidden="1">#REF!</definedName>
    <definedName name="Z_0D0B497D_21F8_11D5_91EF_00B0D058E5A7_.wvu.FilterData" localSheetId="6" hidden="1">#REF!</definedName>
    <definedName name="Z_0D0B497D_21F8_11D5_91EF_00B0D058E5A7_.wvu.FilterData" hidden="1">#REF!</definedName>
    <definedName name="Z_0DD4EB58_0647_11D5_A6F7_00508B654A95_.wvu.Cols" localSheetId="6" hidden="1">#REF!,#REF!,#REF!,#REF!,#REF!</definedName>
    <definedName name="Z_0DD4EB58_0647_11D5_A6F7_00508B654A95_.wvu.Cols" hidden="1">#REF!,#REF!,#REF!,#REF!,#REF!</definedName>
    <definedName name="Z_10435A81_C305_11D5_A6F8_009027BEE0E0_.wvu.Cols" localSheetId="6" hidden="1">#REF!,#REF!,#REF!</definedName>
    <definedName name="Z_10435A81_C305_11D5_A6F8_009027BEE0E0_.wvu.Cols" hidden="1">#REF!,#REF!,#REF!</definedName>
    <definedName name="Z_10435A81_C305_11D5_A6F8_009027BEE0E0_.wvu.FilterData" localSheetId="6" hidden="1">#REF!</definedName>
    <definedName name="Z_10435A81_C305_11D5_A6F8_009027BEE0E0_.wvu.FilterData" hidden="1">#REF!</definedName>
    <definedName name="Z_10435A81_C305_11D5_A6F8_009027BEE0E0_.wvu.PrintArea" localSheetId="6" hidden="1">#REF!</definedName>
    <definedName name="Z_10435A81_C305_11D5_A6F8_009027BEE0E0_.wvu.PrintArea" hidden="1">#REF!</definedName>
    <definedName name="Z_10435A81_C305_11D5_A6F8_009027BEE0E0_.wvu.PrintTitles" localSheetId="6" hidden="1">#REF!</definedName>
    <definedName name="Z_10435A81_C305_11D5_A6F8_009027BEE0E0_.wvu.PrintTitles" hidden="1">#REF!</definedName>
    <definedName name="Z_10435A81_C305_11D5_A6F8_009027BEE0E0_.wvu.Rows" localSheetId="6" hidden="1">#REF!,#REF!</definedName>
    <definedName name="Z_10435A81_C305_11D5_A6F8_009027BEE0E0_.wvu.Rows" hidden="1">#REF!,#REF!</definedName>
    <definedName name="Z_2804E4BB_ED21_11D4_A6F8_00508B654B8B_.wvu.Cols" localSheetId="6" hidden="1">#REF!,#REF!,#REF!</definedName>
    <definedName name="Z_2804E4BB_ED21_11D4_A6F8_00508B654B8B_.wvu.Cols" hidden="1">#REF!,#REF!,#REF!</definedName>
    <definedName name="Z_2804E4BB_ED21_11D4_A6F8_00508B654B8B_.wvu.FilterData" localSheetId="6" hidden="1">#REF!</definedName>
    <definedName name="Z_2804E4BB_ED21_11D4_A6F8_00508B654B8B_.wvu.FilterData" hidden="1">#REF!</definedName>
    <definedName name="Z_2804E4BB_ED21_11D4_A6F8_00508B654B8B_.wvu.PrintArea" localSheetId="6" hidden="1">#REF!</definedName>
    <definedName name="Z_2804E4BB_ED21_11D4_A6F8_00508B654B8B_.wvu.PrintArea" hidden="1">#REF!</definedName>
    <definedName name="Z_2804E4BB_ED21_11D4_A6F8_00508B654B8B_.wvu.Rows" localSheetId="6" hidden="1">#REF!,#REF!</definedName>
    <definedName name="Z_2804E4BB_ED21_11D4_A6F8_00508B654B8B_.wvu.Rows" hidden="1">#REF!,#REF!</definedName>
    <definedName name="Z_5A868EA0_ED63_11D4_A6F8_009027BEE0E0_.wvu.Cols" localSheetId="6" hidden="1">#REF!,#REF!,#REF!</definedName>
    <definedName name="Z_5A868EA0_ED63_11D4_A6F8_009027BEE0E0_.wvu.Cols" hidden="1">#REF!,#REF!,#REF!</definedName>
    <definedName name="Z_5A868EA0_ED63_11D4_A6F8_009027BEE0E0_.wvu.FilterData" localSheetId="6" hidden="1">#REF!</definedName>
    <definedName name="Z_5A868EA0_ED63_11D4_A6F8_009027BEE0E0_.wvu.FilterData" hidden="1">#REF!</definedName>
    <definedName name="Z_5A868EA0_ED63_11D4_A6F8_009027BEE0E0_.wvu.PrintArea" localSheetId="6" hidden="1">#REF!</definedName>
    <definedName name="Z_5A868EA0_ED63_11D4_A6F8_009027BEE0E0_.wvu.PrintArea" hidden="1">#REF!</definedName>
    <definedName name="Z_5A868EA0_ED63_11D4_A6F8_009027BEE0E0_.wvu.Rows" localSheetId="6" hidden="1">#REF!,#REF!</definedName>
    <definedName name="Z_5A868EA0_ED63_11D4_A6F8_009027BEE0E0_.wvu.Rows" hidden="1">#REF!,#REF!</definedName>
    <definedName name="Z_6E40955B_C2F5_11D5_A6F7_009027BEE7F1_.wvu.Cols" localSheetId="6" hidden="1">#REF!,#REF!,#REF!</definedName>
    <definedName name="Z_6E40955B_C2F5_11D5_A6F7_009027BEE7F1_.wvu.Cols" hidden="1">#REF!,#REF!,#REF!</definedName>
    <definedName name="Z_6E40955B_C2F5_11D5_A6F7_009027BEE7F1_.wvu.FilterData" localSheetId="6" hidden="1">#REF!</definedName>
    <definedName name="Z_6E40955B_C2F5_11D5_A6F7_009027BEE7F1_.wvu.FilterData" hidden="1">#REF!</definedName>
    <definedName name="Z_6E40955B_C2F5_11D5_A6F7_009027BEE7F1_.wvu.PrintArea" localSheetId="6" hidden="1">#REF!</definedName>
    <definedName name="Z_6E40955B_C2F5_11D5_A6F7_009027BEE7F1_.wvu.PrintArea" hidden="1">#REF!</definedName>
    <definedName name="Z_6E40955B_C2F5_11D5_A6F7_009027BEE7F1_.wvu.PrintTitles" localSheetId="6" hidden="1">#REF!</definedName>
    <definedName name="Z_6E40955B_C2F5_11D5_A6F7_009027BEE7F1_.wvu.PrintTitles" hidden="1">#REF!</definedName>
    <definedName name="Z_6E40955B_C2F5_11D5_A6F7_009027BEE7F1_.wvu.Rows" localSheetId="6" hidden="1">#REF!,#REF!</definedName>
    <definedName name="Z_6E40955B_C2F5_11D5_A6F7_009027BEE7F1_.wvu.Rows" hidden="1">#REF!,#REF!</definedName>
    <definedName name="Z_901DD601_3312_11D5_8F89_00010215A1CA_.wvu.Rows" localSheetId="6" hidden="1">#REF!,#REF!</definedName>
    <definedName name="Z_901DD601_3312_11D5_8F89_00010215A1CA_.wvu.Rows" hidden="1">#REF!,#REF!</definedName>
    <definedName name="Z_A158D6E1_ED44_11D4_A6F7_00508B654028_.wvu.Cols" localSheetId="6" hidden="1">#REF!,#REF!</definedName>
    <definedName name="Z_A158D6E1_ED44_11D4_A6F7_00508B654028_.wvu.Cols" hidden="1">#REF!,#REF!</definedName>
    <definedName name="Z_A158D6E1_ED44_11D4_A6F7_00508B654028_.wvu.FilterData" localSheetId="6" hidden="1">#REF!</definedName>
    <definedName name="Z_A158D6E1_ED44_11D4_A6F7_00508B654028_.wvu.FilterData" hidden="1">#REF!</definedName>
    <definedName name="Z_A158D6E1_ED44_11D4_A6F7_00508B654028_.wvu.PrintArea" localSheetId="6" hidden="1">#REF!</definedName>
    <definedName name="Z_A158D6E1_ED44_11D4_A6F7_00508B654028_.wvu.PrintArea" hidden="1">#REF!</definedName>
    <definedName name="Z_A158D6E1_ED44_11D4_A6F7_00508B654028_.wvu.Rows" localSheetId="6" hidden="1">#REF!,#REF!</definedName>
    <definedName name="Z_A158D6E1_ED44_11D4_A6F7_00508B654028_.wvu.Rows" hidden="1">#REF!,#REF!</definedName>
    <definedName name="Z_ADA92181_C3E4_11D5_A6F7_00508B6A7686_.wvu.Cols" localSheetId="6" hidden="1">#REF!,#REF!,#REF!</definedName>
    <definedName name="Z_ADA92181_C3E4_11D5_A6F7_00508B6A7686_.wvu.Cols" hidden="1">#REF!,#REF!,#REF!</definedName>
    <definedName name="Z_ADA92181_C3E4_11D5_A6F7_00508B6A7686_.wvu.FilterData" localSheetId="6" hidden="1">#REF!</definedName>
    <definedName name="Z_ADA92181_C3E4_11D5_A6F7_00508B6A7686_.wvu.FilterData" hidden="1">#REF!</definedName>
    <definedName name="Z_ADA92181_C3E4_11D5_A6F7_00508B6A7686_.wvu.PrintArea" localSheetId="6" hidden="1">#REF!</definedName>
    <definedName name="Z_ADA92181_C3E4_11D5_A6F7_00508B6A7686_.wvu.PrintArea" hidden="1">#REF!</definedName>
    <definedName name="Z_ADA92181_C3E4_11D5_A6F7_00508B6A7686_.wvu.PrintTitles" localSheetId="6" hidden="1">#REF!</definedName>
    <definedName name="Z_ADA92181_C3E4_11D5_A6F7_00508B6A7686_.wvu.PrintTitles" hidden="1">#REF!</definedName>
    <definedName name="Z_ADA92181_C3E4_11D5_A6F7_00508B6A7686_.wvu.Rows" localSheetId="6" hidden="1">#REF!,#REF!</definedName>
    <definedName name="Z_ADA92181_C3E4_11D5_A6F7_00508B6A7686_.wvu.Rows" hidden="1">#REF!,#REF!</definedName>
    <definedName name="Z_D4FBBAF2_ED2F_11D4_A6F7_00508B6540C5_.wvu.FilterData" localSheetId="6" hidden="1">#REF!</definedName>
    <definedName name="Z_D4FBBAF2_ED2F_11D4_A6F7_00508B6540C5_.wvu.FilterData" hidden="1">#REF!</definedName>
    <definedName name="Z_D9E68341_C2F0_11D5_A6F7_00508B6540C5_.wvu.Cols" localSheetId="6" hidden="1">#REF!,#REF!,#REF!</definedName>
    <definedName name="Z_D9E68341_C2F0_11D5_A6F7_00508B6540C5_.wvu.Cols" hidden="1">#REF!,#REF!,#REF!</definedName>
    <definedName name="Z_D9E68341_C2F0_11D5_A6F7_00508B6540C5_.wvu.FilterData" localSheetId="6" hidden="1">#REF!</definedName>
    <definedName name="Z_D9E68341_C2F0_11D5_A6F7_00508B6540C5_.wvu.FilterData" hidden="1">#REF!</definedName>
    <definedName name="Z_D9E68341_C2F0_11D5_A6F7_00508B6540C5_.wvu.PrintArea" localSheetId="6" hidden="1">#REF!</definedName>
    <definedName name="Z_D9E68341_C2F0_11D5_A6F7_00508B6540C5_.wvu.PrintArea" hidden="1">#REF!</definedName>
    <definedName name="Z_D9E68341_C2F0_11D5_A6F7_00508B6540C5_.wvu.PrintTitles" localSheetId="6" hidden="1">#REF!</definedName>
    <definedName name="Z_D9E68341_C2F0_11D5_A6F7_00508B6540C5_.wvu.PrintTitles" hidden="1">#REF!</definedName>
    <definedName name="Z_D9E68341_C2F0_11D5_A6F7_00508B6540C5_.wvu.Rows" localSheetId="6" hidden="1">#REF!</definedName>
    <definedName name="Z_D9E68341_C2F0_11D5_A6F7_00508B6540C5_.wvu.Rows" hidden="1">#REF!</definedName>
    <definedName name="zz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аа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авыав" hidden="1">{"Страница 1",#N/A,FALSE,"Модель Интенсивника";"Страница 3",#N/A,FALSE,"Модель Интенсивника"}</definedName>
    <definedName name="авып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анализ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апрель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апрель1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апыми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БАЛ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ббб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бяк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ап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апке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ар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ас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вв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ввв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выф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генплан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Гольцо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гра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граф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д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дач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ддд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де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длоо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е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еее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жар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жж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жжж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жопа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запасы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запасы1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зачет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й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ии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иии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ййй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иряв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Итог3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ке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ккк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копия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куг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кэн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лд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лен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лл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ллл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льп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май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Махало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мит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мм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ммм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Налоги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непнен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ннн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" hidden="1">{#N/A,#N/A,TRUE,"Лист2"}</definedName>
    <definedName name="ооо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ооо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псик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р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рг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ри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рн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рт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рш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тчет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тчет1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Отчёт1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папр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пимфк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Пл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попа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ппп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пр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пр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прл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про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пыпыппывапа" localSheetId="6" hidden="1">#REF!,#REF!,#REF!</definedName>
    <definedName name="пыпыппывапа" hidden="1">#REF!,#REF!,#REF!</definedName>
    <definedName name="р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ак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епин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иф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о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ооо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опрлпмол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ор" hidden="1">{"Страница 1",#N/A,FALSE,"Модель Интенсивника";"Страница 2",#N/A,FALSE,"Модель Интенсивника";"Страница 3",#N/A,FALSE,"Модель Интенсивника"}</definedName>
    <definedName name="рр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ррр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сред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сс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стр26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стр27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алоырал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ап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ар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ари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ариф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ариф1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им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оп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т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тт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тфф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у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УГЭН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угэн1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ууу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ат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евраль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федя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фенс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ин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инплан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мп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п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ф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ы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ы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ыв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фывфыа" hidden="1">{"Страница 1",#N/A,FALSE,"Модель Интенсивника";"Страница 2",#N/A,FALSE,"Модель Интенсивника";"Страница 3",#N/A,FALSE,"Модель Интенсивника"}</definedName>
    <definedName name="ц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цен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цк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цуг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ццц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ч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УСО&amp;УРС";#N/A,#N/A,TRUE,"Фин.операции";#N/A,#N/A,TRUE,"Прочие ";#N/A,#N/A,TRUE,"ДП№5";#N/A,#N/A,TRUE,"Титул"}</definedName>
    <definedName name="чч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Шатило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ы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Фин.операции";#N/A,#N/A,TRUE,"Прочие ";#N/A,#N/A,TRUE,"Титул";#N/A,#N/A,TRUE,"Источники 2";#N/A,#N/A,TRUE,"Зарплата начисл "}</definedName>
    <definedName name="ыаа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ыы" hidden="1">{#N/A,#N/A,TRUE,"Итоги";#N/A,#N/A,TRUE,"Источники";#N/A,#N/A,TRUE,"Налоги";#N/A,#N/A,TRUE,"Зарплата";#N/A,#N/A,TRUE,"ЭНЕРГИЯ";#N/A,#N/A,TRUE,"СЫРЬЕ";#N/A,#N/A,TRUE,"ОМТС";#N/A,#N/A,TRUE,"Оборудование";#N/A,#N/A,TRUE,"Коммерция";#N/A,#N/A,TRUE,"РЕМОНТЫ";#N/A,#N/A,TRUE,"Фин.операции";#N/A,#N/A,TRUE,"Прочие ";#N/A,#N/A,TRUE,"Титул";#N/A,#N/A,TRUE,"Источники 2";#N/A,#N/A,TRUE,"Зарплата начисл "}</definedName>
    <definedName name="ьь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эээ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юю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янв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январь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  <definedName name="яя" hidden="1">{#N/A,#N/A,TRUE,"Итоги";#N/A,#N/A,TRUE,"Источники";#N/A,#N/A,TRUE,"Налоги";#N/A,#N/A,TRUE,"Зарплата";#N/A,#N/A,TRUE,"ЭНЕРГИЯ";#N/A,#N/A,TRUE,"СЫРЬЕ";#N/A,#N/A,TRUE,"Коммерция";#N/A,#N/A,TRUE,"РЕМОНТЫ";#N/A,#N/A,TRUE,"УСО&amp;УРС";#N/A,#N/A,TRUE,"Фин.операции";#N/A,#N/A,TRUE,"Прочие "}</definedName>
  </definedNames>
  <calcPr calcId="191029" iterate="1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55" l="1"/>
  <c r="C7" i="155"/>
  <c r="E9" i="155" l="1"/>
  <c r="I7" i="155"/>
  <c r="J7" i="155" s="1"/>
  <c r="K7" i="155" s="1"/>
  <c r="L7" i="155" s="1"/>
  <c r="M7" i="155" s="1"/>
  <c r="N7" i="155" s="1"/>
  <c r="O7" i="155" s="1"/>
  <c r="D5" i="166"/>
  <c r="E5" i="166" s="1"/>
  <c r="F5" i="166" s="1"/>
  <c r="G5" i="166" s="1"/>
  <c r="H5" i="166" s="1"/>
  <c r="I5" i="166" s="1"/>
  <c r="J5" i="166" s="1"/>
  <c r="AH13" i="50"/>
  <c r="G28" i="46" l="1"/>
  <c r="J9" i="159"/>
  <c r="K9" i="159" s="1"/>
  <c r="L9" i="159" s="1"/>
  <c r="M9" i="159" s="1"/>
  <c r="N9" i="159" s="1"/>
  <c r="O9" i="159" s="1"/>
  <c r="P9" i="159" s="1"/>
  <c r="Q9" i="159" s="1"/>
  <c r="R9" i="159" s="1"/>
  <c r="I8" i="47"/>
  <c r="F11" i="160"/>
  <c r="G11" i="160" s="1"/>
  <c r="F16" i="160"/>
  <c r="D16" i="160"/>
  <c r="F14" i="160"/>
  <c r="G14" i="160" s="1"/>
  <c r="D14" i="160"/>
  <c r="C14" i="160" s="1"/>
  <c r="F12" i="160"/>
  <c r="G12" i="160" s="1"/>
  <c r="D12" i="160"/>
  <c r="C12" i="160" s="1"/>
  <c r="D11" i="160"/>
  <c r="C11" i="160" s="1"/>
  <c r="AI30" i="94"/>
  <c r="H29" i="52"/>
  <c r="C16" i="160" l="1"/>
  <c r="G16" i="160"/>
  <c r="AC45" i="52"/>
  <c r="AD45" i="52" s="1"/>
  <c r="AE45" i="52" s="1"/>
  <c r="AC44" i="52"/>
  <c r="AD44" i="52" s="1"/>
  <c r="AE44" i="52" s="1"/>
  <c r="AC43" i="52"/>
  <c r="AD43" i="52" s="1"/>
  <c r="AE43" i="52" s="1"/>
  <c r="AC42" i="52"/>
  <c r="AD42" i="52" s="1"/>
  <c r="AE42" i="52" s="1"/>
  <c r="AC41" i="52"/>
  <c r="AD41" i="52" s="1"/>
  <c r="AE41" i="52" s="1"/>
  <c r="AC46" i="52"/>
  <c r="AC21" i="52"/>
  <c r="AD21" i="52" s="1"/>
  <c r="AE21" i="52" s="1"/>
  <c r="V29" i="52"/>
  <c r="U46" i="52"/>
  <c r="T46" i="52"/>
  <c r="W41" i="52"/>
  <c r="Y41" i="52" s="1"/>
  <c r="Z41" i="52" s="1"/>
  <c r="AA41" i="52" s="1"/>
  <c r="W42" i="52"/>
  <c r="Y42" i="52" s="1"/>
  <c r="Z42" i="52" s="1"/>
  <c r="AA42" i="52" s="1"/>
  <c r="U45" i="52"/>
  <c r="T45" i="52"/>
  <c r="U44" i="52"/>
  <c r="T44" i="52"/>
  <c r="U43" i="52"/>
  <c r="T43" i="52"/>
  <c r="U42" i="52"/>
  <c r="T42" i="52"/>
  <c r="V9" i="52"/>
  <c r="W21" i="52"/>
  <c r="Y21" i="52" s="1"/>
  <c r="Z21" i="52" s="1"/>
  <c r="AA21" i="52" s="1"/>
  <c r="W22" i="52"/>
  <c r="Y22" i="52" s="1"/>
  <c r="Z22" i="52" s="1"/>
  <c r="AA22" i="52" s="1"/>
  <c r="AC22" i="52" s="1"/>
  <c r="AD22" i="52" s="1"/>
  <c r="AE22" i="52" s="1"/>
  <c r="W26" i="52"/>
  <c r="W25" i="52"/>
  <c r="Y25" i="52" s="1"/>
  <c r="Z25" i="52" s="1"/>
  <c r="AA25" i="52" s="1"/>
  <c r="AC25" i="52" s="1"/>
  <c r="AD25" i="52" s="1"/>
  <c r="AE25" i="52" s="1"/>
  <c r="W24" i="52"/>
  <c r="Y24" i="52" s="1"/>
  <c r="Z24" i="52" s="1"/>
  <c r="AA24" i="52" s="1"/>
  <c r="AC24" i="52" s="1"/>
  <c r="AD24" i="52" s="1"/>
  <c r="AE24" i="52" s="1"/>
  <c r="W23" i="52"/>
  <c r="Y23" i="52" s="1"/>
  <c r="Z23" i="52" s="1"/>
  <c r="AA23" i="52" s="1"/>
  <c r="AC23" i="52" s="1"/>
  <c r="AD23" i="52" s="1"/>
  <c r="AE23" i="52" s="1"/>
  <c r="W46" i="52"/>
  <c r="Y46" i="52" s="1"/>
  <c r="W45" i="52"/>
  <c r="Y45" i="52" s="1"/>
  <c r="Z45" i="52" s="1"/>
  <c r="AA45" i="52" s="1"/>
  <c r="W44" i="52"/>
  <c r="Y44" i="52" s="1"/>
  <c r="Z44" i="52" s="1"/>
  <c r="AA44" i="52" s="1"/>
  <c r="W43" i="52"/>
  <c r="Y43" i="52" s="1"/>
  <c r="Z43" i="52" s="1"/>
  <c r="AA43" i="52" s="1"/>
  <c r="U26" i="52"/>
  <c r="T26" i="52"/>
  <c r="U25" i="52"/>
  <c r="T25" i="52"/>
  <c r="U24" i="52"/>
  <c r="T24" i="52"/>
  <c r="U23" i="52"/>
  <c r="T23" i="52"/>
  <c r="T22" i="52"/>
  <c r="T35" i="52"/>
  <c r="T37" i="52" s="1"/>
  <c r="T38" i="52" s="1"/>
  <c r="T15" i="52"/>
  <c r="T16" i="52" s="1"/>
  <c r="U35" i="52"/>
  <c r="U37" i="52" s="1"/>
  <c r="U38" i="52" s="1"/>
  <c r="U22" i="52"/>
  <c r="U15" i="52"/>
  <c r="U17" i="52" s="1"/>
  <c r="U18" i="52" s="1"/>
  <c r="AC7" i="52"/>
  <c r="AD7" i="52" s="1"/>
  <c r="AE7" i="52" s="1"/>
  <c r="Y7" i="52"/>
  <c r="Z7" i="52" s="1"/>
  <c r="AA7" i="52" s="1"/>
  <c r="M22" i="52" l="1"/>
  <c r="AD46" i="52"/>
  <c r="AE46" i="52" s="1"/>
  <c r="Z46" i="52"/>
  <c r="AA46" i="52" s="1"/>
  <c r="Y26" i="52"/>
  <c r="M13" i="52"/>
  <c r="I27" i="52"/>
  <c r="H27" i="52"/>
  <c r="J27" i="52"/>
  <c r="Z29" i="52"/>
  <c r="AL11" i="94" s="1"/>
  <c r="Z9" i="52"/>
  <c r="AL9" i="94" s="1"/>
  <c r="AH9" i="94"/>
  <c r="AH11" i="94"/>
  <c r="AD29" i="52"/>
  <c r="AP11" i="94" s="1"/>
  <c r="Z31" i="52"/>
  <c r="T36" i="52"/>
  <c r="W29" i="52"/>
  <c r="AI11" i="94" s="1"/>
  <c r="Y29" i="52"/>
  <c r="AK11" i="94" s="1"/>
  <c r="V30" i="52"/>
  <c r="V31" i="52"/>
  <c r="V32" i="52"/>
  <c r="V33" i="52"/>
  <c r="V34" i="52"/>
  <c r="U36" i="52"/>
  <c r="X29" i="52"/>
  <c r="U16" i="52"/>
  <c r="T17" i="52"/>
  <c r="T18" i="52" s="1"/>
  <c r="W9" i="52"/>
  <c r="AI9" i="94" s="1"/>
  <c r="Y9" i="52"/>
  <c r="AK9" i="94" s="1"/>
  <c r="V10" i="52"/>
  <c r="V11" i="52"/>
  <c r="V12" i="52"/>
  <c r="V13" i="52"/>
  <c r="V14" i="52"/>
  <c r="X9" i="52"/>
  <c r="AD9" i="52" l="1"/>
  <c r="AP9" i="94" s="1"/>
  <c r="Z13" i="52"/>
  <c r="M23" i="52"/>
  <c r="I59" i="52" s="1"/>
  <c r="Z33" i="52"/>
  <c r="AL17" i="94" s="1"/>
  <c r="Z11" i="52"/>
  <c r="AL15" i="94" s="1"/>
  <c r="M24" i="52"/>
  <c r="J59" i="52" s="1"/>
  <c r="H59" i="52"/>
  <c r="N22" i="52"/>
  <c r="O22" i="52" s="1"/>
  <c r="P22" i="52" s="1"/>
  <c r="Q22" i="52" s="1"/>
  <c r="N23" i="52"/>
  <c r="O23" i="52" s="1"/>
  <c r="P23" i="52" s="1"/>
  <c r="Q23" i="52" s="1"/>
  <c r="Z26" i="52"/>
  <c r="AA26" i="52" s="1"/>
  <c r="AC26" i="52" s="1"/>
  <c r="H25" i="52"/>
  <c r="N13" i="52"/>
  <c r="O13" i="52" s="1"/>
  <c r="P13" i="52" s="1"/>
  <c r="Q13" i="52" s="1"/>
  <c r="AJ11" i="94"/>
  <c r="H43" i="52"/>
  <c r="Z30" i="52"/>
  <c r="Z32" i="52"/>
  <c r="Z34" i="52"/>
  <c r="Z10" i="52"/>
  <c r="Z12" i="52"/>
  <c r="Z14" i="52"/>
  <c r="AJ9" i="94"/>
  <c r="AH18" i="94"/>
  <c r="AH20" i="94"/>
  <c r="V15" i="52"/>
  <c r="V16" i="52" s="1"/>
  <c r="AH17" i="94"/>
  <c r="AH15" i="94"/>
  <c r="H9" i="52"/>
  <c r="AH14" i="94"/>
  <c r="AH7" i="94"/>
  <c r="AC29" i="52"/>
  <c r="AO11" i="94" s="1"/>
  <c r="Y34" i="52"/>
  <c r="Y33" i="52"/>
  <c r="Y32" i="52"/>
  <c r="Y31" i="52"/>
  <c r="Y30" i="52"/>
  <c r="AB29" i="52"/>
  <c r="X34" i="52"/>
  <c r="X33" i="52"/>
  <c r="X32" i="52"/>
  <c r="X31" i="52"/>
  <c r="X30" i="52"/>
  <c r="V35" i="52"/>
  <c r="W34" i="52"/>
  <c r="W33" i="52"/>
  <c r="H47" i="52" s="1"/>
  <c r="W32" i="52"/>
  <c r="I46" i="52" s="1"/>
  <c r="W31" i="52"/>
  <c r="J45" i="52" s="1"/>
  <c r="W30" i="52"/>
  <c r="AA29" i="52"/>
  <c r="AM11" i="94" s="1"/>
  <c r="AD34" i="52"/>
  <c r="AD33" i="52"/>
  <c r="AD32" i="52"/>
  <c r="AD31" i="52"/>
  <c r="AD30" i="52"/>
  <c r="AC9" i="52"/>
  <c r="AO9" i="94" s="1"/>
  <c r="Y14" i="52"/>
  <c r="AK18" i="94" s="1"/>
  <c r="Y13" i="52"/>
  <c r="AK17" i="94" s="1"/>
  <c r="Y12" i="52"/>
  <c r="AK20" i="94" s="1"/>
  <c r="Y11" i="52"/>
  <c r="AK15" i="94" s="1"/>
  <c r="Y10" i="52"/>
  <c r="AK14" i="94" s="1"/>
  <c r="AD13" i="52"/>
  <c r="AP17" i="94" s="1"/>
  <c r="AD12" i="52"/>
  <c r="AP20" i="94" s="1"/>
  <c r="AD11" i="52"/>
  <c r="AP15" i="94" s="1"/>
  <c r="AD10" i="52"/>
  <c r="AP14" i="94" s="1"/>
  <c r="AB9" i="52"/>
  <c r="X14" i="52"/>
  <c r="X13" i="52"/>
  <c r="X12" i="52"/>
  <c r="X11" i="52"/>
  <c r="X10" i="52"/>
  <c r="W14" i="52"/>
  <c r="W13" i="52"/>
  <c r="W12" i="52"/>
  <c r="W11" i="52"/>
  <c r="W10" i="52"/>
  <c r="H10" i="52" s="1"/>
  <c r="AA9" i="52"/>
  <c r="AM9" i="94" s="1"/>
  <c r="Z15" i="52" l="1"/>
  <c r="Z17" i="52" s="1"/>
  <c r="Z18" i="52" s="1"/>
  <c r="H21" i="52"/>
  <c r="AI15" i="94"/>
  <c r="AD35" i="52"/>
  <c r="AD36" i="52" s="1"/>
  <c r="X35" i="52"/>
  <c r="X37" i="52" s="1"/>
  <c r="X38" i="52" s="1"/>
  <c r="Y35" i="52"/>
  <c r="Y36" i="52" s="1"/>
  <c r="N24" i="52"/>
  <c r="O24" i="52" s="1"/>
  <c r="P24" i="52" s="1"/>
  <c r="Q24" i="52" s="1"/>
  <c r="AI20" i="94"/>
  <c r="AI18" i="94"/>
  <c r="E17" i="160"/>
  <c r="E18" i="160" s="1"/>
  <c r="E19" i="160" s="1"/>
  <c r="F17" i="160"/>
  <c r="F18" i="160" s="1"/>
  <c r="F19" i="160" s="1"/>
  <c r="F27" i="160" s="1"/>
  <c r="F29" i="160" s="1"/>
  <c r="D17" i="160"/>
  <c r="D18" i="160" s="1"/>
  <c r="D19" i="160" s="1"/>
  <c r="D27" i="160" s="1"/>
  <c r="D29" i="160" s="1"/>
  <c r="G17" i="160"/>
  <c r="G18" i="160" s="1"/>
  <c r="G19" i="160" s="1"/>
  <c r="G27" i="160" s="1"/>
  <c r="G29" i="160" s="1"/>
  <c r="C17" i="160"/>
  <c r="C18" i="160" s="1"/>
  <c r="C19" i="160" s="1"/>
  <c r="C27" i="160" s="1"/>
  <c r="C29" i="160" s="1"/>
  <c r="AI17" i="94"/>
  <c r="M14" i="52"/>
  <c r="I25" i="52" s="1"/>
  <c r="W35" i="52"/>
  <c r="W37" i="52" s="1"/>
  <c r="W38" i="52" s="1"/>
  <c r="AL20" i="94"/>
  <c r="Z16" i="52"/>
  <c r="N14" i="52"/>
  <c r="O14" i="52" s="1"/>
  <c r="P14" i="52" s="1"/>
  <c r="Q14" i="52" s="1"/>
  <c r="H14" i="52"/>
  <c r="H48" i="52"/>
  <c r="AH43" i="94"/>
  <c r="AH44" i="94"/>
  <c r="AH46" i="94"/>
  <c r="AH45" i="94"/>
  <c r="AH47" i="94"/>
  <c r="V17" i="52"/>
  <c r="V18" i="52" s="1"/>
  <c r="AD26" i="52"/>
  <c r="AN11" i="94"/>
  <c r="H44" i="52"/>
  <c r="I44" i="52"/>
  <c r="J46" i="52"/>
  <c r="H45" i="52"/>
  <c r="I47" i="52"/>
  <c r="J47" i="52"/>
  <c r="J44" i="52"/>
  <c r="H46" i="52"/>
  <c r="I43" i="52"/>
  <c r="I48" i="52" s="1"/>
  <c r="I45" i="52"/>
  <c r="AL14" i="94"/>
  <c r="Z35" i="52"/>
  <c r="AL18" i="94"/>
  <c r="AJ20" i="94"/>
  <c r="AJ18" i="94"/>
  <c r="H11" i="52"/>
  <c r="H22" i="52" s="1"/>
  <c r="H13" i="52"/>
  <c r="H24" i="52" s="1"/>
  <c r="H12" i="52"/>
  <c r="H23" i="52" s="1"/>
  <c r="I9" i="52"/>
  <c r="AJ15" i="94"/>
  <c r="AJ17" i="94"/>
  <c r="AN9" i="94"/>
  <c r="AJ14" i="94"/>
  <c r="W15" i="52"/>
  <c r="W17" i="52" s="1"/>
  <c r="W18" i="52" s="1"/>
  <c r="AI14" i="94"/>
  <c r="Y15" i="52"/>
  <c r="Y17" i="52" s="1"/>
  <c r="Y18" i="52" s="1"/>
  <c r="X15" i="52"/>
  <c r="X17" i="52" s="1"/>
  <c r="X18" i="52" s="1"/>
  <c r="AD37" i="52"/>
  <c r="AD38" i="52" s="1"/>
  <c r="X36" i="52"/>
  <c r="AE29" i="52"/>
  <c r="AQ11" i="94" s="1"/>
  <c r="AA34" i="52"/>
  <c r="AA33" i="52"/>
  <c r="AA32" i="52"/>
  <c r="AA31" i="52"/>
  <c r="AA30" i="52"/>
  <c r="AB34" i="52"/>
  <c r="AB33" i="52"/>
  <c r="AB32" i="52"/>
  <c r="AB31" i="52"/>
  <c r="AB30" i="52"/>
  <c r="V37" i="52"/>
  <c r="V38" i="52" s="1"/>
  <c r="V36" i="52"/>
  <c r="AC34" i="52"/>
  <c r="AC33" i="52"/>
  <c r="AC32" i="52"/>
  <c r="AC31" i="52"/>
  <c r="AC30" i="52"/>
  <c r="AB14" i="52"/>
  <c r="AB13" i="52"/>
  <c r="AB12" i="52"/>
  <c r="AB11" i="52"/>
  <c r="AB10" i="52"/>
  <c r="AE9" i="52"/>
  <c r="AQ9" i="94" s="1"/>
  <c r="AA14" i="52"/>
  <c r="AA13" i="52"/>
  <c r="AM17" i="94" s="1"/>
  <c r="AA12" i="52"/>
  <c r="AA11" i="52"/>
  <c r="AM15" i="94" s="1"/>
  <c r="AA10" i="52"/>
  <c r="AC14" i="52"/>
  <c r="AO18" i="94" s="1"/>
  <c r="AC13" i="52"/>
  <c r="AC12" i="52"/>
  <c r="AO20" i="94" s="1"/>
  <c r="AC11" i="52"/>
  <c r="AC10" i="52"/>
  <c r="AO14" i="94" s="1"/>
  <c r="Y16" i="52" l="1"/>
  <c r="Y37" i="52"/>
  <c r="Y38" i="52" s="1"/>
  <c r="W36" i="52"/>
  <c r="I14" i="52"/>
  <c r="W16" i="52"/>
  <c r="AM14" i="94"/>
  <c r="AM20" i="94"/>
  <c r="AM18" i="94"/>
  <c r="AB35" i="52"/>
  <c r="AB37" i="52" s="1"/>
  <c r="AB38" i="52" s="1"/>
  <c r="E27" i="160"/>
  <c r="E29" i="160" s="1"/>
  <c r="J25" i="160"/>
  <c r="AA35" i="52"/>
  <c r="AA37" i="52" s="1"/>
  <c r="AA38" i="52" s="1"/>
  <c r="AE26" i="52"/>
  <c r="M15" i="52" s="1"/>
  <c r="AD14" i="52"/>
  <c r="X16" i="52"/>
  <c r="J43" i="52"/>
  <c r="J48" i="52" s="1"/>
  <c r="AO17" i="94"/>
  <c r="AO15" i="94"/>
  <c r="AC35" i="52"/>
  <c r="AC36" i="52" s="1"/>
  <c r="Z36" i="52"/>
  <c r="Z37" i="52"/>
  <c r="Z38" i="52" s="1"/>
  <c r="AN15" i="94"/>
  <c r="AN17" i="94"/>
  <c r="J9" i="52"/>
  <c r="I13" i="52"/>
  <c r="I24" i="52" s="1"/>
  <c r="I11" i="52"/>
  <c r="I22" i="52" s="1"/>
  <c r="AN14" i="94"/>
  <c r="AN20" i="94"/>
  <c r="AN18" i="94"/>
  <c r="I12" i="52"/>
  <c r="I23" i="52" s="1"/>
  <c r="I10" i="52"/>
  <c r="I21" i="52" s="1"/>
  <c r="AA15" i="52"/>
  <c r="AA16" i="52" s="1"/>
  <c r="AB15" i="52"/>
  <c r="AB17" i="52" s="1"/>
  <c r="AB18" i="52" s="1"/>
  <c r="AC15" i="52"/>
  <c r="AC16" i="52" s="1"/>
  <c r="AE34" i="52"/>
  <c r="AE33" i="52"/>
  <c r="AE32" i="52"/>
  <c r="AE31" i="52"/>
  <c r="AE30" i="52"/>
  <c r="AE14" i="52"/>
  <c r="AE13" i="52"/>
  <c r="AE12" i="52"/>
  <c r="AE11" i="52"/>
  <c r="AE10" i="52"/>
  <c r="J10" i="52" s="1"/>
  <c r="AC37" i="52" l="1"/>
  <c r="AC38" i="52" s="1"/>
  <c r="AB36" i="52"/>
  <c r="AC17" i="52"/>
  <c r="AC18" i="52" s="1"/>
  <c r="AA36" i="52"/>
  <c r="J21" i="52"/>
  <c r="AQ15" i="94"/>
  <c r="AB16" i="52"/>
  <c r="AQ17" i="94"/>
  <c r="AE35" i="52"/>
  <c r="AE37" i="52" s="1"/>
  <c r="AE38" i="52" s="1"/>
  <c r="N15" i="52"/>
  <c r="J25" i="52"/>
  <c r="J14" i="52" s="1"/>
  <c r="AQ20" i="94"/>
  <c r="AQ18" i="94"/>
  <c r="AP18" i="94"/>
  <c r="AD15" i="52"/>
  <c r="O15" i="52"/>
  <c r="P15" i="52" s="1"/>
  <c r="Q15" i="52" s="1"/>
  <c r="AA17" i="52"/>
  <c r="AA18" i="52" s="1"/>
  <c r="J13" i="52"/>
  <c r="J24" i="52" s="1"/>
  <c r="J11" i="52"/>
  <c r="J22" i="52" s="1"/>
  <c r="J12" i="52"/>
  <c r="J23" i="52" s="1"/>
  <c r="AE15" i="52"/>
  <c r="AE16" i="52" s="1"/>
  <c r="AQ14" i="94"/>
  <c r="AE36" i="52"/>
  <c r="AE17" i="52" l="1"/>
  <c r="AE18" i="52" s="1"/>
  <c r="AD17" i="52"/>
  <c r="AD18" i="52" s="1"/>
  <c r="AD16" i="52"/>
  <c r="K31" i="160" l="1"/>
  <c r="L31" i="160" s="1"/>
  <c r="AH26" i="46"/>
  <c r="I10" i="47" l="1"/>
  <c r="AI40" i="94" l="1"/>
  <c r="AJ40" i="94" s="1"/>
  <c r="AK40" i="94" s="1"/>
  <c r="AL40" i="94" s="1"/>
  <c r="AM40" i="94" s="1"/>
  <c r="AN40" i="94" s="1"/>
  <c r="AO40" i="94" s="1"/>
  <c r="AP40" i="94" s="1"/>
  <c r="AQ40" i="94" s="1"/>
  <c r="AG7" i="94"/>
  <c r="AF7" i="94"/>
  <c r="AE7" i="94"/>
  <c r="AD7" i="94"/>
  <c r="AC7" i="94"/>
  <c r="AB7" i="94"/>
  <c r="AA7" i="94"/>
  <c r="Z7" i="94"/>
  <c r="Y7" i="94"/>
  <c r="X7" i="94"/>
  <c r="W7" i="94"/>
  <c r="V7" i="94"/>
  <c r="U7" i="94"/>
  <c r="T7" i="94"/>
  <c r="S7" i="94"/>
  <c r="R7" i="94"/>
  <c r="Q7" i="94"/>
  <c r="P7" i="94"/>
  <c r="O7" i="94"/>
  <c r="N7" i="94"/>
  <c r="M7" i="94"/>
  <c r="L7" i="94"/>
  <c r="K27" i="160"/>
  <c r="L27" i="160" s="1"/>
  <c r="J42" i="160"/>
  <c r="K42" i="160" s="1"/>
  <c r="L42" i="160" s="1"/>
  <c r="I37" i="52"/>
  <c r="J37" i="52" s="1"/>
  <c r="I35" i="52"/>
  <c r="J35" i="52" s="1"/>
  <c r="J28" i="167" l="1"/>
  <c r="I28" i="167"/>
  <c r="H28" i="167"/>
  <c r="F28" i="167"/>
  <c r="K28" i="167"/>
  <c r="L28" i="167"/>
  <c r="G21" i="167"/>
  <c r="G28" i="167" s="1"/>
  <c r="G51" i="52"/>
  <c r="F51" i="52"/>
  <c r="E51" i="52"/>
  <c r="D51" i="52"/>
  <c r="C51" i="52"/>
  <c r="G17" i="52"/>
  <c r="F17" i="52"/>
  <c r="E17" i="52"/>
  <c r="D17" i="52"/>
  <c r="C17" i="52"/>
  <c r="I29" i="52"/>
  <c r="J29" i="52" s="1"/>
  <c r="G35" i="52"/>
  <c r="F35" i="52"/>
  <c r="E35" i="52"/>
  <c r="D35" i="52"/>
  <c r="H34" i="52"/>
  <c r="I34" i="52" s="1"/>
  <c r="J34" i="52" s="1"/>
  <c r="G27" i="52"/>
  <c r="F27" i="52"/>
  <c r="E27" i="52"/>
  <c r="D27" i="52"/>
  <c r="C27" i="52"/>
  <c r="F30" i="52"/>
  <c r="E30" i="52"/>
  <c r="D30" i="52"/>
  <c r="C30" i="52"/>
  <c r="D7" i="52"/>
  <c r="E7" i="52" s="1"/>
  <c r="F7" i="52" s="1"/>
  <c r="G7" i="52" s="1"/>
  <c r="H7" i="52" s="1"/>
  <c r="I7" i="52" s="1"/>
  <c r="J7" i="52" s="1"/>
  <c r="G30" i="52" l="1"/>
  <c r="L16" i="167" l="1"/>
  <c r="K16" i="167"/>
  <c r="J16" i="167"/>
  <c r="I16" i="167"/>
  <c r="G16" i="167"/>
  <c r="H16" i="167"/>
  <c r="F16" i="167"/>
  <c r="H30" i="166"/>
  <c r="H22" i="166" s="1"/>
  <c r="G27" i="46"/>
  <c r="H13" i="166"/>
  <c r="I13" i="166" s="1"/>
  <c r="J13" i="166" s="1"/>
  <c r="G6" i="166"/>
  <c r="F6" i="166"/>
  <c r="J31" i="166"/>
  <c r="I31" i="166"/>
  <c r="H31" i="166"/>
  <c r="G31" i="166"/>
  <c r="F31" i="166"/>
  <c r="E31" i="166"/>
  <c r="D31" i="166"/>
  <c r="C31" i="166"/>
  <c r="I23" i="166"/>
  <c r="J23" i="166" s="1"/>
  <c r="G22" i="166"/>
  <c r="F22" i="166"/>
  <c r="E22" i="166"/>
  <c r="D22" i="166"/>
  <c r="C22" i="166"/>
  <c r="I30" i="166" l="1"/>
  <c r="J30" i="166" l="1"/>
  <c r="J22" i="166" s="1"/>
  <c r="I22" i="166"/>
  <c r="J11" i="47" l="1"/>
  <c r="K11" i="47" s="1"/>
  <c r="L11" i="47" s="1"/>
  <c r="M11" i="47" s="1"/>
  <c r="N11" i="47" s="1"/>
  <c r="O11" i="47" s="1"/>
  <c r="P11" i="47" s="1"/>
  <c r="Q11" i="47" s="1"/>
  <c r="R11" i="47" s="1"/>
  <c r="AO6" i="50"/>
  <c r="AP6" i="50" s="1"/>
  <c r="AQ6" i="50" s="1"/>
  <c r="AK6" i="50"/>
  <c r="AL6" i="50" s="1"/>
  <c r="AM6" i="50" s="1"/>
  <c r="AG6" i="50"/>
  <c r="AH6" i="50" s="1"/>
  <c r="AI6" i="50" s="1"/>
  <c r="AC6" i="50"/>
  <c r="AD6" i="50" s="1"/>
  <c r="AE6" i="50" s="1"/>
  <c r="Y6" i="50"/>
  <c r="Z6" i="50" s="1"/>
  <c r="AA6" i="50" s="1"/>
  <c r="U6" i="50"/>
  <c r="V6" i="50" s="1"/>
  <c r="W6" i="50" s="1"/>
  <c r="Q6" i="50"/>
  <c r="R6" i="50" s="1"/>
  <c r="S6" i="50" s="1"/>
  <c r="M6" i="50"/>
  <c r="N6" i="50" s="1"/>
  <c r="O6" i="50" s="1"/>
  <c r="P5" i="50"/>
  <c r="T5" i="50" s="1"/>
  <c r="X5" i="50" s="1"/>
  <c r="AB5" i="50" s="1"/>
  <c r="AF5" i="50" s="1"/>
  <c r="AJ5" i="50" s="1"/>
  <c r="AN5" i="50" s="1"/>
  <c r="AO7" i="46"/>
  <c r="AP7" i="46" s="1"/>
  <c r="AQ7" i="46" s="1"/>
  <c r="AK7" i="46"/>
  <c r="AL7" i="46" s="1"/>
  <c r="AM7" i="46" s="1"/>
  <c r="AG7" i="46"/>
  <c r="AH7" i="46" s="1"/>
  <c r="AI7" i="46" s="1"/>
  <c r="AC7" i="46"/>
  <c r="AD7" i="46" s="1"/>
  <c r="AE7" i="46" s="1"/>
  <c r="Y7" i="46"/>
  <c r="Z7" i="46" s="1"/>
  <c r="AA7" i="46" s="1"/>
  <c r="U7" i="46"/>
  <c r="V7" i="46" s="1"/>
  <c r="W7" i="46" s="1"/>
  <c r="Q7" i="46"/>
  <c r="R7" i="46" s="1"/>
  <c r="S7" i="46" s="1"/>
  <c r="M7" i="46"/>
  <c r="N7" i="46" s="1"/>
  <c r="O7" i="46" s="1"/>
  <c r="P6" i="46"/>
  <c r="T6" i="46" s="1"/>
  <c r="X6" i="46" s="1"/>
  <c r="AB6" i="46" s="1"/>
  <c r="AF6" i="46" s="1"/>
  <c r="AJ6" i="46" s="1"/>
  <c r="AN6" i="46" s="1"/>
  <c r="H7" i="159" l="1"/>
  <c r="G7" i="159"/>
  <c r="G14" i="159"/>
  <c r="G16" i="159" s="1"/>
  <c r="G10" i="159" l="1"/>
  <c r="AF36" i="65"/>
  <c r="AF38" i="65" s="1"/>
  <c r="AE36" i="65"/>
  <c r="AE38" i="65" s="1"/>
  <c r="AD36" i="65"/>
  <c r="AD38" i="65" s="1"/>
  <c r="AC36" i="65"/>
  <c r="AC38" i="65" s="1"/>
  <c r="AB36" i="65"/>
  <c r="AB38" i="65" s="1"/>
  <c r="AA36" i="65"/>
  <c r="AA38" i="65" s="1"/>
  <c r="Z36" i="65"/>
  <c r="Z38" i="65" s="1"/>
  <c r="Y36" i="65"/>
  <c r="Y38" i="65" s="1"/>
  <c r="X36" i="65"/>
  <c r="X38" i="65" s="1"/>
  <c r="W36" i="65"/>
  <c r="W38" i="65" s="1"/>
  <c r="V36" i="65"/>
  <c r="V38" i="65" s="1"/>
  <c r="U36" i="65"/>
  <c r="U38" i="65" s="1"/>
  <c r="T36" i="65"/>
  <c r="T38" i="65" s="1"/>
  <c r="S36" i="65"/>
  <c r="S38" i="65" s="1"/>
  <c r="R36" i="65"/>
  <c r="R38" i="65" s="1"/>
  <c r="Q36" i="65"/>
  <c r="Q38" i="65" s="1"/>
  <c r="P36" i="65"/>
  <c r="P38" i="65" s="1"/>
  <c r="O36" i="65"/>
  <c r="O38" i="65" s="1"/>
  <c r="N36" i="65"/>
  <c r="N38" i="65" s="1"/>
  <c r="M36" i="65"/>
  <c r="M38" i="65" s="1"/>
  <c r="L36" i="65"/>
  <c r="L38" i="65" s="1"/>
  <c r="AO6" i="94"/>
  <c r="AP6" i="94" s="1"/>
  <c r="AQ6" i="94" s="1"/>
  <c r="AK6" i="94"/>
  <c r="AL6" i="94" s="1"/>
  <c r="AM6" i="94" s="1"/>
  <c r="AG6" i="94"/>
  <c r="AH6" i="94" s="1"/>
  <c r="AI6" i="94" s="1"/>
  <c r="AC6" i="94"/>
  <c r="AD6" i="94" s="1"/>
  <c r="AE6" i="94" s="1"/>
  <c r="Y6" i="94"/>
  <c r="Z6" i="94" s="1"/>
  <c r="AA6" i="94" s="1"/>
  <c r="U6" i="94"/>
  <c r="V6" i="94" s="1"/>
  <c r="W6" i="94" s="1"/>
  <c r="Q6" i="94"/>
  <c r="R6" i="94" s="1"/>
  <c r="S6" i="94" s="1"/>
  <c r="M6" i="94"/>
  <c r="N6" i="94" s="1"/>
  <c r="O6" i="94" s="1"/>
  <c r="P5" i="94"/>
  <c r="T5" i="94" s="1"/>
  <c r="X5" i="94" s="1"/>
  <c r="AB5" i="94" s="1"/>
  <c r="AF5" i="94" s="1"/>
  <c r="AJ5" i="94" s="1"/>
  <c r="AN5" i="94" s="1"/>
  <c r="E20" i="47" l="1"/>
  <c r="D20" i="47"/>
  <c r="H28" i="47"/>
  <c r="G28" i="47"/>
  <c r="D6" i="46" l="1"/>
  <c r="E6" i="46" s="1"/>
  <c r="F6" i="46" s="1"/>
  <c r="G6" i="46" s="1"/>
  <c r="H6" i="46" s="1"/>
  <c r="I6" i="46" s="1"/>
  <c r="J6" i="46" s="1"/>
  <c r="O19" i="159"/>
  <c r="K19" i="159"/>
  <c r="AF18" i="46"/>
  <c r="AE18" i="46"/>
  <c r="AD18" i="46"/>
  <c r="AC18" i="46"/>
  <c r="AB18" i="46"/>
  <c r="AA18" i="46"/>
  <c r="Z18" i="46"/>
  <c r="Y18" i="46"/>
  <c r="X18" i="46"/>
  <c r="W18" i="46"/>
  <c r="V18" i="46"/>
  <c r="U18" i="46"/>
  <c r="T18" i="46"/>
  <c r="S18" i="46"/>
  <c r="R18" i="46"/>
  <c r="Q18" i="46"/>
  <c r="P18" i="46"/>
  <c r="O18" i="46"/>
  <c r="N18" i="46"/>
  <c r="M18" i="46"/>
  <c r="L18" i="46"/>
  <c r="AG18" i="46"/>
  <c r="AH18" i="46"/>
  <c r="AQ21" i="46"/>
  <c r="AP21" i="46"/>
  <c r="AO21" i="46"/>
  <c r="AN21" i="46"/>
  <c r="AM21" i="46"/>
  <c r="AL21" i="46"/>
  <c r="AK21" i="46"/>
  <c r="AJ21" i="46"/>
  <c r="AI21" i="46"/>
  <c r="AH21" i="46"/>
  <c r="AG29" i="65"/>
  <c r="AG30" i="65" s="1"/>
  <c r="AG36" i="65" s="1"/>
  <c r="AG38" i="65" s="1"/>
  <c r="AG15" i="65"/>
  <c r="AG19" i="65" s="1"/>
  <c r="J25" i="47"/>
  <c r="C25" i="47" s="1"/>
  <c r="K25" i="47" l="1"/>
  <c r="L25" i="47" l="1"/>
  <c r="M25" i="47" s="1"/>
  <c r="N25" i="47" s="1"/>
  <c r="O25" i="47" s="1"/>
  <c r="D25" i="47" l="1"/>
  <c r="P25" i="47"/>
  <c r="Q25" i="47" s="1"/>
  <c r="R25" i="47" s="1"/>
  <c r="H21" i="47"/>
  <c r="I16" i="47"/>
  <c r="E25" i="47" l="1"/>
  <c r="R8" i="47"/>
  <c r="Q8" i="47"/>
  <c r="P8" i="47"/>
  <c r="O8" i="47"/>
  <c r="N8" i="47"/>
  <c r="M8" i="47"/>
  <c r="L8" i="47"/>
  <c r="K8" i="47"/>
  <c r="J8" i="47"/>
  <c r="AH31" i="94"/>
  <c r="AI31" i="94" s="1"/>
  <c r="AJ31" i="94" s="1"/>
  <c r="AK31" i="94" s="1"/>
  <c r="AL31" i="94" s="1"/>
  <c r="AM31" i="94" s="1"/>
  <c r="AN31" i="94" s="1"/>
  <c r="AO31" i="94" s="1"/>
  <c r="AP31" i="94" s="1"/>
  <c r="AQ31" i="94" s="1"/>
  <c r="C8" i="47" l="1"/>
  <c r="D8" i="47"/>
  <c r="E8" i="47"/>
  <c r="I14" i="159"/>
  <c r="I16" i="159" s="1"/>
  <c r="H14" i="159"/>
  <c r="J15" i="159"/>
  <c r="H15" i="159"/>
  <c r="E9" i="159"/>
  <c r="J21" i="46" s="1"/>
  <c r="D9" i="159"/>
  <c r="I21" i="46" s="1"/>
  <c r="C9" i="159"/>
  <c r="H21" i="46" s="1"/>
  <c r="AB7" i="50"/>
  <c r="AC7" i="50"/>
  <c r="AD7" i="50"/>
  <c r="AE7" i="50"/>
  <c r="AF7" i="50"/>
  <c r="AG7" i="50"/>
  <c r="AI8" i="50"/>
  <c r="AB9" i="50"/>
  <c r="AC9" i="50"/>
  <c r="AD9" i="50"/>
  <c r="AE9" i="50"/>
  <c r="AF9" i="50"/>
  <c r="AG9" i="50"/>
  <c r="AI10" i="50"/>
  <c r="AB11" i="50"/>
  <c r="AC11" i="50"/>
  <c r="AD11" i="50"/>
  <c r="AE11" i="50"/>
  <c r="AF11" i="50"/>
  <c r="AG11" i="50"/>
  <c r="AI12" i="50"/>
  <c r="AJ12" i="50" s="1"/>
  <c r="AK12" i="50" s="1"/>
  <c r="AL12" i="50" s="1"/>
  <c r="AM12" i="50" s="1"/>
  <c r="AN12" i="50" s="1"/>
  <c r="AO12" i="50" s="1"/>
  <c r="AP12" i="50" s="1"/>
  <c r="AQ12" i="50" s="1"/>
  <c r="AI16" i="50"/>
  <c r="AJ16" i="50" s="1"/>
  <c r="AK16" i="50" s="1"/>
  <c r="AL16" i="50" s="1"/>
  <c r="AM16" i="50" s="1"/>
  <c r="AN16" i="50" s="1"/>
  <c r="AO16" i="50" s="1"/>
  <c r="AP16" i="50" s="1"/>
  <c r="AQ16" i="50" s="1"/>
  <c r="AI17" i="50"/>
  <c r="AJ17" i="50" s="1"/>
  <c r="AK17" i="50" s="1"/>
  <c r="AL17" i="50" s="1"/>
  <c r="AM17" i="50" s="1"/>
  <c r="AN17" i="50" s="1"/>
  <c r="AO17" i="50" s="1"/>
  <c r="AP17" i="50" s="1"/>
  <c r="AQ17" i="50" s="1"/>
  <c r="AI18" i="50"/>
  <c r="AJ18" i="50" s="1"/>
  <c r="AK18" i="50" s="1"/>
  <c r="AL18" i="50" s="1"/>
  <c r="AM18" i="50" s="1"/>
  <c r="AN18" i="50" s="1"/>
  <c r="AO18" i="50" s="1"/>
  <c r="AP18" i="50" s="1"/>
  <c r="AQ18" i="50" s="1"/>
  <c r="AI19" i="50"/>
  <c r="AJ19" i="50" s="1"/>
  <c r="AK19" i="50" s="1"/>
  <c r="AL19" i="50" s="1"/>
  <c r="AM19" i="50" s="1"/>
  <c r="AN19" i="50" s="1"/>
  <c r="AO19" i="50" s="1"/>
  <c r="AP19" i="50" s="1"/>
  <c r="AQ19" i="50" s="1"/>
  <c r="AI20" i="50"/>
  <c r="AJ20" i="50" s="1"/>
  <c r="AK20" i="50" s="1"/>
  <c r="AL20" i="50" s="1"/>
  <c r="AM20" i="50" s="1"/>
  <c r="AN20" i="50" s="1"/>
  <c r="AO20" i="50" s="1"/>
  <c r="AP20" i="50" s="1"/>
  <c r="AQ20" i="50" s="1"/>
  <c r="AI21" i="50"/>
  <c r="AJ21" i="50" s="1"/>
  <c r="AK21" i="50" s="1"/>
  <c r="AL21" i="50" s="1"/>
  <c r="AM21" i="50" s="1"/>
  <c r="AN21" i="50" s="1"/>
  <c r="AO21" i="50" s="1"/>
  <c r="AP21" i="50" s="1"/>
  <c r="AQ21" i="50" s="1"/>
  <c r="AI22" i="50"/>
  <c r="AJ22" i="50" s="1"/>
  <c r="AK22" i="50" s="1"/>
  <c r="AL22" i="50" s="1"/>
  <c r="AM22" i="50" s="1"/>
  <c r="AN22" i="50" s="1"/>
  <c r="AO22" i="50" s="1"/>
  <c r="AP22" i="50" s="1"/>
  <c r="AQ22" i="50" s="1"/>
  <c r="AI23" i="50"/>
  <c r="AJ23" i="50" s="1"/>
  <c r="AK23" i="50" s="1"/>
  <c r="AL23" i="50" s="1"/>
  <c r="AM23" i="50" s="1"/>
  <c r="AN23" i="50" s="1"/>
  <c r="AO23" i="50" s="1"/>
  <c r="AP23" i="50" s="1"/>
  <c r="AQ23" i="50" s="1"/>
  <c r="AI24" i="50"/>
  <c r="AJ24" i="50" s="1"/>
  <c r="AK24" i="50" s="1"/>
  <c r="AL24" i="50" s="1"/>
  <c r="AM24" i="50" s="1"/>
  <c r="AN24" i="50" s="1"/>
  <c r="AO24" i="50" s="1"/>
  <c r="AP24" i="50" s="1"/>
  <c r="AQ24" i="50" s="1"/>
  <c r="AI25" i="50"/>
  <c r="AJ25" i="50" s="1"/>
  <c r="AK25" i="50" s="1"/>
  <c r="AL25" i="50" s="1"/>
  <c r="AM25" i="50" s="1"/>
  <c r="AN25" i="50" s="1"/>
  <c r="AO25" i="50" s="1"/>
  <c r="AP25" i="50" s="1"/>
  <c r="AQ25" i="50" s="1"/>
  <c r="AI26" i="50"/>
  <c r="AJ26" i="50" s="1"/>
  <c r="AK26" i="50" s="1"/>
  <c r="AL26" i="50" s="1"/>
  <c r="AM26" i="50" s="1"/>
  <c r="AN26" i="50" s="1"/>
  <c r="AO26" i="50" s="1"/>
  <c r="AP26" i="50" s="1"/>
  <c r="AQ26" i="50" s="1"/>
  <c r="AI27" i="50"/>
  <c r="AJ27" i="50" s="1"/>
  <c r="AK27" i="50" s="1"/>
  <c r="AL27" i="50" s="1"/>
  <c r="AM27" i="50" s="1"/>
  <c r="AN27" i="50" s="1"/>
  <c r="AO27" i="50" s="1"/>
  <c r="AP27" i="50" s="1"/>
  <c r="AQ27" i="50" s="1"/>
  <c r="AB29" i="50"/>
  <c r="AC29" i="50"/>
  <c r="AD29" i="50"/>
  <c r="AE29" i="50"/>
  <c r="AF29" i="50"/>
  <c r="AG29" i="50"/>
  <c r="D6" i="159"/>
  <c r="E6" i="159" s="1"/>
  <c r="M1" i="65"/>
  <c r="N1" i="65" s="1"/>
  <c r="O1" i="65" s="1"/>
  <c r="P1" i="65" s="1"/>
  <c r="Q1" i="65" s="1"/>
  <c r="R1" i="65" s="1"/>
  <c r="S1" i="65" s="1"/>
  <c r="T1" i="65" s="1"/>
  <c r="U1" i="65" s="1"/>
  <c r="V1" i="65" s="1"/>
  <c r="W1" i="65" s="1"/>
  <c r="X1" i="65" s="1"/>
  <c r="Y1" i="65" s="1"/>
  <c r="Z1" i="65" s="1"/>
  <c r="AA1" i="65" s="1"/>
  <c r="AB1" i="65" s="1"/>
  <c r="AC1" i="65" s="1"/>
  <c r="AD1" i="65" s="1"/>
  <c r="AE1" i="65" s="1"/>
  <c r="AF1" i="65" s="1"/>
  <c r="AG1" i="65" s="1"/>
  <c r="AH1" i="65" s="1"/>
  <c r="AI1" i="65" s="1"/>
  <c r="AJ1" i="65" s="1"/>
  <c r="AK1" i="65" s="1"/>
  <c r="AL1" i="65" s="1"/>
  <c r="AM1" i="65" s="1"/>
  <c r="AN1" i="65" s="1"/>
  <c r="AO1" i="65" s="1"/>
  <c r="AP1" i="65" s="1"/>
  <c r="AQ1" i="65" s="1"/>
  <c r="M1" i="46"/>
  <c r="N1" i="46" s="1"/>
  <c r="O1" i="46" s="1"/>
  <c r="P1" i="46" s="1"/>
  <c r="Q1" i="46" s="1"/>
  <c r="R1" i="46" s="1"/>
  <c r="S1" i="46" s="1"/>
  <c r="T1" i="46" s="1"/>
  <c r="U1" i="46" s="1"/>
  <c r="V1" i="46" s="1"/>
  <c r="W1" i="46" s="1"/>
  <c r="X1" i="46" s="1"/>
  <c r="Y1" i="46" s="1"/>
  <c r="Z1" i="46" s="1"/>
  <c r="AA1" i="46" s="1"/>
  <c r="AB1" i="46" s="1"/>
  <c r="AC1" i="46" s="1"/>
  <c r="AD1" i="46" s="1"/>
  <c r="AE1" i="46" s="1"/>
  <c r="AF1" i="46" s="1"/>
  <c r="AG1" i="46" s="1"/>
  <c r="AH1" i="46" s="1"/>
  <c r="AI1" i="46" s="1"/>
  <c r="AJ1" i="46" s="1"/>
  <c r="AK1" i="46" s="1"/>
  <c r="AL1" i="46" s="1"/>
  <c r="AM1" i="46" s="1"/>
  <c r="AN1" i="46" s="1"/>
  <c r="AO1" i="46" s="1"/>
  <c r="AP1" i="46" s="1"/>
  <c r="AQ1" i="46" s="1"/>
  <c r="M1" i="50"/>
  <c r="N1" i="50" s="1"/>
  <c r="O1" i="50" s="1"/>
  <c r="P1" i="50" s="1"/>
  <c r="Q1" i="50" s="1"/>
  <c r="R1" i="50" s="1"/>
  <c r="S1" i="50" s="1"/>
  <c r="T1" i="50" s="1"/>
  <c r="U1" i="50" s="1"/>
  <c r="V1" i="50" s="1"/>
  <c r="W1" i="50" s="1"/>
  <c r="X1" i="50" s="1"/>
  <c r="Y1" i="50" s="1"/>
  <c r="Z1" i="50" s="1"/>
  <c r="AA1" i="50" s="1"/>
  <c r="AB1" i="50" s="1"/>
  <c r="AC1" i="50" s="1"/>
  <c r="AD1" i="50" s="1"/>
  <c r="AE1" i="50" s="1"/>
  <c r="AF1" i="50" s="1"/>
  <c r="AG1" i="50" s="1"/>
  <c r="AH1" i="50" s="1"/>
  <c r="AI1" i="50" s="1"/>
  <c r="AJ1" i="50" s="1"/>
  <c r="AK1" i="50" s="1"/>
  <c r="AL1" i="50" s="1"/>
  <c r="AM1" i="50" s="1"/>
  <c r="AN1" i="50" s="1"/>
  <c r="AO1" i="50" s="1"/>
  <c r="AP1" i="50" s="1"/>
  <c r="AQ1" i="50" s="1"/>
  <c r="AJ8" i="50" l="1"/>
  <c r="AI13" i="50"/>
  <c r="C15" i="159"/>
  <c r="C19" i="159" s="1"/>
  <c r="AH22" i="46"/>
  <c r="H16" i="159"/>
  <c r="L15" i="159"/>
  <c r="L19" i="159" s="1"/>
  <c r="I10" i="159"/>
  <c r="I9" i="47" s="1"/>
  <c r="AG10" i="50"/>
  <c r="AG12" i="50"/>
  <c r="AE10" i="50"/>
  <c r="AE12" i="50"/>
  <c r="AC10" i="50"/>
  <c r="AC12" i="50"/>
  <c r="AF12" i="50"/>
  <c r="AF10" i="50"/>
  <c r="AD12" i="50"/>
  <c r="AD10" i="50"/>
  <c r="AB12" i="50"/>
  <c r="AB10" i="50"/>
  <c r="AJ10" i="50"/>
  <c r="AK8" i="50"/>
  <c r="AJ13" i="50" l="1"/>
  <c r="H10" i="159"/>
  <c r="M15" i="159"/>
  <c r="M19" i="159" s="1"/>
  <c r="AL8" i="50"/>
  <c r="AK10" i="50"/>
  <c r="AK13" i="50" s="1"/>
  <c r="N15" i="159" l="1"/>
  <c r="N19" i="159" s="1"/>
  <c r="AL10" i="50"/>
  <c r="AL13" i="50" s="1"/>
  <c r="AM8" i="50"/>
  <c r="D15" i="159" l="1"/>
  <c r="D19" i="159" s="1"/>
  <c r="AM10" i="50"/>
  <c r="AM13" i="50" s="1"/>
  <c r="AN8" i="50"/>
  <c r="P15" i="159" l="1"/>
  <c r="P19" i="159" s="1"/>
  <c r="AO8" i="50"/>
  <c r="AN10" i="50"/>
  <c r="AN13" i="50" s="1"/>
  <c r="Q15" i="159" l="1"/>
  <c r="Q19" i="159" s="1"/>
  <c r="AP8" i="50"/>
  <c r="AO10" i="50"/>
  <c r="AO13" i="50" s="1"/>
  <c r="R15" i="159" l="1"/>
  <c r="R19" i="159" s="1"/>
  <c r="E15" i="159"/>
  <c r="E19" i="159" s="1"/>
  <c r="AP10" i="50"/>
  <c r="AP13" i="50" s="1"/>
  <c r="AQ8" i="50"/>
  <c r="AQ10" i="50" l="1"/>
  <c r="AQ13" i="50" s="1"/>
  <c r="AH12" i="46" l="1"/>
  <c r="AI17" i="46"/>
  <c r="AN30" i="46"/>
  <c r="AJ30" i="46"/>
  <c r="AH30" i="46"/>
  <c r="AJ17" i="46"/>
  <c r="AK16" i="46"/>
  <c r="AI16" i="46"/>
  <c r="AD11" i="46"/>
  <c r="AC11" i="46"/>
  <c r="AB11" i="46"/>
  <c r="AA11" i="46"/>
  <c r="Z11" i="46"/>
  <c r="Y11" i="46"/>
  <c r="X11" i="46"/>
  <c r="W11" i="46"/>
  <c r="V11" i="46"/>
  <c r="U11" i="46"/>
  <c r="T11" i="46"/>
  <c r="S11" i="46"/>
  <c r="R11" i="46"/>
  <c r="Q11" i="46"/>
  <c r="P11" i="46"/>
  <c r="O11" i="46"/>
  <c r="N11" i="46"/>
  <c r="M11" i="46"/>
  <c r="AE11" i="46"/>
  <c r="AF11" i="46"/>
  <c r="AG11" i="46"/>
  <c r="AC12" i="46"/>
  <c r="AB12" i="46"/>
  <c r="AA12" i="46"/>
  <c r="Z12" i="46"/>
  <c r="Y12" i="46"/>
  <c r="X12" i="46"/>
  <c r="W12" i="46"/>
  <c r="V12" i="46"/>
  <c r="U12" i="46"/>
  <c r="T12" i="46"/>
  <c r="S12" i="46"/>
  <c r="R12" i="46"/>
  <c r="Q12" i="46"/>
  <c r="P12" i="46"/>
  <c r="O12" i="46"/>
  <c r="N12" i="46"/>
  <c r="M12" i="46"/>
  <c r="AD12" i="46"/>
  <c r="AE12" i="46"/>
  <c r="AF12" i="46"/>
  <c r="AG12" i="46"/>
  <c r="AE13" i="46"/>
  <c r="AD13" i="46"/>
  <c r="AC13" i="46"/>
  <c r="AB13" i="46"/>
  <c r="AA13" i="46"/>
  <c r="Z13" i="46"/>
  <c r="Y13" i="46"/>
  <c r="X13" i="46"/>
  <c r="W13" i="46"/>
  <c r="V13" i="46"/>
  <c r="U13" i="46"/>
  <c r="T13" i="46"/>
  <c r="S13" i="46"/>
  <c r="R13" i="46"/>
  <c r="Q13" i="46"/>
  <c r="P13" i="46"/>
  <c r="O13" i="46"/>
  <c r="N13" i="46"/>
  <c r="M13" i="46"/>
  <c r="AF13" i="46"/>
  <c r="AG13" i="46"/>
  <c r="X10" i="46"/>
  <c r="W10" i="46"/>
  <c r="V10" i="46"/>
  <c r="U10" i="46"/>
  <c r="T10" i="46"/>
  <c r="S10" i="46"/>
  <c r="R10" i="46"/>
  <c r="Q10" i="46"/>
  <c r="P10" i="46"/>
  <c r="O10" i="46"/>
  <c r="N10" i="46"/>
  <c r="M10" i="46"/>
  <c r="Y10" i="46"/>
  <c r="Z10" i="46"/>
  <c r="AA10" i="46"/>
  <c r="AB10" i="46"/>
  <c r="AC10" i="46"/>
  <c r="AD10" i="46"/>
  <c r="AE10" i="46"/>
  <c r="AG10" i="46"/>
  <c r="AF10" i="46"/>
  <c r="AI24" i="94"/>
  <c r="AJ24" i="94" s="1"/>
  <c r="AK24" i="94" s="1"/>
  <c r="AG45" i="65"/>
  <c r="AF45" i="65"/>
  <c r="AE45" i="65"/>
  <c r="AD45" i="65"/>
  <c r="AC45" i="65"/>
  <c r="AB45" i="65"/>
  <c r="AA45" i="65"/>
  <c r="Z45" i="65"/>
  <c r="Y45" i="65"/>
  <c r="X45" i="65"/>
  <c r="W45" i="65"/>
  <c r="V45" i="65"/>
  <c r="U45" i="65"/>
  <c r="T45" i="65"/>
  <c r="S45" i="65"/>
  <c r="R45" i="65"/>
  <c r="Q45" i="65"/>
  <c r="P45" i="65"/>
  <c r="O45" i="65"/>
  <c r="N45" i="65"/>
  <c r="M45" i="65"/>
  <c r="L45" i="65"/>
  <c r="AG43" i="65"/>
  <c r="AF43" i="65"/>
  <c r="AE43" i="65"/>
  <c r="AD43" i="65"/>
  <c r="AC43" i="65"/>
  <c r="AB43" i="65"/>
  <c r="AA43" i="65"/>
  <c r="Z43" i="65"/>
  <c r="Y43" i="65"/>
  <c r="X43" i="65"/>
  <c r="W43" i="65"/>
  <c r="V43" i="65"/>
  <c r="U43" i="65"/>
  <c r="T43" i="65"/>
  <c r="S43" i="65"/>
  <c r="R43" i="65"/>
  <c r="Q43" i="65"/>
  <c r="P43" i="65"/>
  <c r="O43" i="65"/>
  <c r="N43" i="65"/>
  <c r="M43" i="65"/>
  <c r="L43" i="65"/>
  <c r="AG49" i="65"/>
  <c r="AF49" i="65"/>
  <c r="AE49" i="65"/>
  <c r="AD49" i="65"/>
  <c r="AC49" i="65"/>
  <c r="AB49" i="65"/>
  <c r="AA49" i="65"/>
  <c r="Z49" i="65"/>
  <c r="Y49" i="65"/>
  <c r="X49" i="65"/>
  <c r="W49" i="65"/>
  <c r="V49" i="65"/>
  <c r="U49" i="65"/>
  <c r="T49" i="65"/>
  <c r="S49" i="65"/>
  <c r="R49" i="65"/>
  <c r="Q49" i="65"/>
  <c r="P49" i="65"/>
  <c r="O49" i="65"/>
  <c r="N49" i="65"/>
  <c r="M49" i="65"/>
  <c r="L49" i="65"/>
  <c r="AI24" i="65"/>
  <c r="AJ24" i="65" s="1"/>
  <c r="AK24" i="65" s="1"/>
  <c r="AL24" i="65" s="1"/>
  <c r="AM24" i="65" s="1"/>
  <c r="AN24" i="65" s="1"/>
  <c r="AO24" i="65" s="1"/>
  <c r="AP24" i="65" s="1"/>
  <c r="AQ24" i="65" s="1"/>
  <c r="AI22" i="65"/>
  <c r="AJ22" i="65" s="1"/>
  <c r="AK22" i="65" s="1"/>
  <c r="AL22" i="65" s="1"/>
  <c r="AM22" i="65" s="1"/>
  <c r="AN22" i="65" s="1"/>
  <c r="AO22" i="65" s="1"/>
  <c r="AP22" i="65" s="1"/>
  <c r="AQ22" i="65" s="1"/>
  <c r="AI18" i="65"/>
  <c r="AJ18" i="65" s="1"/>
  <c r="AK18" i="65" s="1"/>
  <c r="AL18" i="65" s="1"/>
  <c r="AM18" i="65" s="1"/>
  <c r="AN18" i="65" s="1"/>
  <c r="AO18" i="65" s="1"/>
  <c r="AP18" i="65" s="1"/>
  <c r="AQ18" i="65" s="1"/>
  <c r="AI17" i="65"/>
  <c r="AJ17" i="65" s="1"/>
  <c r="AK17" i="65" s="1"/>
  <c r="AL17" i="65" s="1"/>
  <c r="AM17" i="65" s="1"/>
  <c r="AN17" i="65" s="1"/>
  <c r="AO17" i="65" s="1"/>
  <c r="AP17" i="65" s="1"/>
  <c r="AQ17" i="65" s="1"/>
  <c r="AI14" i="65"/>
  <c r="AJ14" i="65" s="1"/>
  <c r="AK14" i="65" s="1"/>
  <c r="AL14" i="65" s="1"/>
  <c r="AM14" i="65" s="1"/>
  <c r="AN14" i="65" s="1"/>
  <c r="AO14" i="65" s="1"/>
  <c r="AP14" i="65" s="1"/>
  <c r="AQ14" i="65" s="1"/>
  <c r="J13" i="94"/>
  <c r="P46" i="65" l="1"/>
  <c r="R46" i="65"/>
  <c r="T46" i="65"/>
  <c r="V46" i="65"/>
  <c r="X46" i="65"/>
  <c r="Z46" i="65"/>
  <c r="N46" i="65"/>
  <c r="AB46" i="65"/>
  <c r="AD46" i="65"/>
  <c r="AF46" i="65"/>
  <c r="O46" i="65"/>
  <c r="Q46" i="65"/>
  <c r="S46" i="65"/>
  <c r="U46" i="65"/>
  <c r="W46" i="65"/>
  <c r="Y46" i="65"/>
  <c r="AA46" i="65"/>
  <c r="AC46" i="65"/>
  <c r="AE46" i="65"/>
  <c r="AG46" i="65"/>
  <c r="AI30" i="46"/>
  <c r="AI18" i="46"/>
  <c r="AK17" i="46"/>
  <c r="AL17" i="46" s="1"/>
  <c r="AM17" i="46" s="1"/>
  <c r="AN17" i="46" s="1"/>
  <c r="AJ18" i="46"/>
  <c r="AL16" i="46"/>
  <c r="AI12" i="46"/>
  <c r="AK12" i="46"/>
  <c r="AM12" i="46"/>
  <c r="AO12" i="46"/>
  <c r="AQ12" i="46"/>
  <c r="AJ12" i="46"/>
  <c r="AL12" i="46"/>
  <c r="AN12" i="46"/>
  <c r="AP12" i="46"/>
  <c r="AK30" i="46"/>
  <c r="AL30" i="46"/>
  <c r="AL24" i="94"/>
  <c r="AM24" i="94" s="1"/>
  <c r="AN24" i="94" s="1"/>
  <c r="AO24" i="94" s="1"/>
  <c r="AP24" i="94" s="1"/>
  <c r="AQ24" i="94" s="1"/>
  <c r="AA7" i="50"/>
  <c r="Z7" i="50"/>
  <c r="Y7" i="50"/>
  <c r="X7" i="50"/>
  <c r="W7" i="50"/>
  <c r="V7" i="50"/>
  <c r="U7" i="50"/>
  <c r="T7" i="50"/>
  <c r="S7" i="50"/>
  <c r="R7" i="50"/>
  <c r="Q7" i="50"/>
  <c r="P7" i="50"/>
  <c r="O7" i="50"/>
  <c r="N7" i="50"/>
  <c r="M7" i="50"/>
  <c r="L7" i="50"/>
  <c r="AK18" i="46" l="1"/>
  <c r="AM16" i="46"/>
  <c r="AL18" i="46"/>
  <c r="AO17" i="46"/>
  <c r="AP17" i="46" s="1"/>
  <c r="AQ17" i="46" s="1"/>
  <c r="AN18" i="46"/>
  <c r="J24" i="94"/>
  <c r="AA11" i="50"/>
  <c r="Z11" i="50"/>
  <c r="Y11" i="50"/>
  <c r="X11" i="50"/>
  <c r="W11" i="50"/>
  <c r="V11" i="50"/>
  <c r="U11" i="50"/>
  <c r="T11" i="50"/>
  <c r="S11" i="50"/>
  <c r="R11" i="50"/>
  <c r="Q11" i="50"/>
  <c r="P11" i="50"/>
  <c r="O11" i="50"/>
  <c r="N11" i="50"/>
  <c r="M11" i="50"/>
  <c r="L11" i="50"/>
  <c r="AA9" i="50"/>
  <c r="Z9" i="50"/>
  <c r="Y9" i="50"/>
  <c r="X9" i="50"/>
  <c r="W9" i="50"/>
  <c r="V9" i="50"/>
  <c r="U9" i="50"/>
  <c r="T9" i="50"/>
  <c r="S9" i="50"/>
  <c r="R9" i="50"/>
  <c r="Q9" i="50"/>
  <c r="P9" i="50"/>
  <c r="O9" i="50"/>
  <c r="N9" i="50"/>
  <c r="M9" i="50"/>
  <c r="L9" i="50"/>
  <c r="AA29" i="50"/>
  <c r="Z29" i="50"/>
  <c r="Y29" i="50"/>
  <c r="X29" i="50"/>
  <c r="W29" i="50"/>
  <c r="V29" i="50"/>
  <c r="U29" i="50"/>
  <c r="T29" i="50"/>
  <c r="S29" i="50"/>
  <c r="R29" i="50"/>
  <c r="Q29" i="50"/>
  <c r="P29" i="50"/>
  <c r="O29" i="50"/>
  <c r="N29" i="50"/>
  <c r="M29" i="50"/>
  <c r="L29" i="50"/>
  <c r="AO16" i="46" l="1"/>
  <c r="AM18" i="46"/>
  <c r="AM30" i="46"/>
  <c r="L10" i="50"/>
  <c r="N10" i="50"/>
  <c r="P10" i="50"/>
  <c r="R10" i="50"/>
  <c r="T10" i="50"/>
  <c r="V10" i="50"/>
  <c r="X10" i="50"/>
  <c r="Z10" i="50"/>
  <c r="L12" i="50"/>
  <c r="N12" i="50"/>
  <c r="P12" i="50"/>
  <c r="R12" i="50"/>
  <c r="T12" i="50"/>
  <c r="V12" i="50"/>
  <c r="X12" i="50"/>
  <c r="Z12" i="50"/>
  <c r="M10" i="50"/>
  <c r="O10" i="50"/>
  <c r="Q10" i="50"/>
  <c r="S10" i="50"/>
  <c r="U10" i="50"/>
  <c r="W10" i="50"/>
  <c r="Y10" i="50"/>
  <c r="AA10" i="50"/>
  <c r="M12" i="50"/>
  <c r="O12" i="50"/>
  <c r="Q12" i="50"/>
  <c r="S12" i="50"/>
  <c r="U12" i="50"/>
  <c r="W12" i="50"/>
  <c r="Y12" i="50"/>
  <c r="AA12" i="50"/>
  <c r="AI33" i="94"/>
  <c r="H33" i="94" s="1"/>
  <c r="AK30" i="94"/>
  <c r="AL30" i="94" s="1"/>
  <c r="AM30" i="94" s="1"/>
  <c r="AN30" i="94" s="1"/>
  <c r="AO30" i="94" s="1"/>
  <c r="AP30" i="94" s="1"/>
  <c r="AQ30" i="94" s="1"/>
  <c r="AI19" i="94"/>
  <c r="AJ19" i="94" s="1"/>
  <c r="AK19" i="94" s="1"/>
  <c r="J17" i="46"/>
  <c r="I17" i="46"/>
  <c r="H17" i="46"/>
  <c r="G17" i="46"/>
  <c r="F17" i="46"/>
  <c r="E17" i="46"/>
  <c r="D17" i="46"/>
  <c r="C17" i="46"/>
  <c r="I16" i="46"/>
  <c r="I30" i="46" s="1"/>
  <c r="H16" i="46"/>
  <c r="H30" i="46" s="1"/>
  <c r="G16" i="46"/>
  <c r="G30" i="46" s="1"/>
  <c r="F16" i="46"/>
  <c r="E16" i="46"/>
  <c r="E30" i="46" s="1"/>
  <c r="D16" i="46"/>
  <c r="D30" i="46" s="1"/>
  <c r="C16" i="46"/>
  <c r="C30" i="46" s="1"/>
  <c r="G13" i="46"/>
  <c r="F13" i="46"/>
  <c r="E13" i="46"/>
  <c r="D13" i="46"/>
  <c r="C13" i="46"/>
  <c r="J12" i="46"/>
  <c r="I12" i="46"/>
  <c r="H12" i="46"/>
  <c r="G12" i="46"/>
  <c r="F12" i="46"/>
  <c r="E12" i="46"/>
  <c r="D12" i="46"/>
  <c r="C12" i="46"/>
  <c r="G11" i="46"/>
  <c r="F11" i="46"/>
  <c r="E11" i="46"/>
  <c r="D11" i="46"/>
  <c r="C11" i="46"/>
  <c r="G10" i="46"/>
  <c r="F10" i="46"/>
  <c r="E10" i="46"/>
  <c r="D10" i="46"/>
  <c r="C10" i="46"/>
  <c r="C46" i="65"/>
  <c r="C44" i="65"/>
  <c r="G43" i="65"/>
  <c r="F43" i="65"/>
  <c r="E43" i="65"/>
  <c r="D43" i="65"/>
  <c r="C43" i="65"/>
  <c r="G42" i="65"/>
  <c r="F42" i="65"/>
  <c r="E42" i="65"/>
  <c r="D42" i="65"/>
  <c r="C42" i="65"/>
  <c r="G41" i="65"/>
  <c r="F41" i="65"/>
  <c r="E41" i="65"/>
  <c r="D41" i="65"/>
  <c r="C41" i="65"/>
  <c r="G40" i="65"/>
  <c r="G20" i="166" s="1"/>
  <c r="F40" i="65"/>
  <c r="F20" i="166" s="1"/>
  <c r="E40" i="65"/>
  <c r="E20" i="166" s="1"/>
  <c r="D40" i="65"/>
  <c r="D20" i="166" s="1"/>
  <c r="C40" i="65"/>
  <c r="C20" i="166" s="1"/>
  <c r="G37" i="65"/>
  <c r="F37" i="65"/>
  <c r="F7" i="166" s="1"/>
  <c r="E37" i="65"/>
  <c r="E7" i="166" s="1"/>
  <c r="E18" i="166" s="1"/>
  <c r="D37" i="65"/>
  <c r="D7" i="166" s="1"/>
  <c r="D18" i="166" s="1"/>
  <c r="C37" i="65"/>
  <c r="C7" i="166" s="1"/>
  <c r="C18" i="166" s="1"/>
  <c r="G35" i="65"/>
  <c r="F35" i="65"/>
  <c r="E35" i="65"/>
  <c r="D35" i="65"/>
  <c r="C35" i="65"/>
  <c r="G34" i="65"/>
  <c r="F34" i="65"/>
  <c r="E34" i="65"/>
  <c r="D34" i="65"/>
  <c r="C34" i="65"/>
  <c r="G33" i="65"/>
  <c r="F33" i="65"/>
  <c r="E33" i="65"/>
  <c r="D33" i="65"/>
  <c r="C33" i="65"/>
  <c r="G32" i="65"/>
  <c r="F32" i="65"/>
  <c r="E32" i="65"/>
  <c r="D32" i="65"/>
  <c r="C32" i="65"/>
  <c r="G31" i="65"/>
  <c r="F31" i="65"/>
  <c r="E31" i="65"/>
  <c r="D31" i="65"/>
  <c r="C31" i="65"/>
  <c r="G29" i="65"/>
  <c r="F29" i="65"/>
  <c r="E29" i="65"/>
  <c r="D29" i="65"/>
  <c r="C29" i="65"/>
  <c r="G28" i="65"/>
  <c r="F28" i="65"/>
  <c r="E28" i="65"/>
  <c r="D28" i="65"/>
  <c r="C28" i="65"/>
  <c r="G27" i="65"/>
  <c r="F27" i="65"/>
  <c r="E27" i="65"/>
  <c r="D27" i="65"/>
  <c r="C27" i="65"/>
  <c r="G26" i="65"/>
  <c r="F26" i="65"/>
  <c r="E26" i="65"/>
  <c r="D26" i="65"/>
  <c r="C26" i="65"/>
  <c r="G25" i="65"/>
  <c r="F25" i="65"/>
  <c r="E25" i="65"/>
  <c r="D25" i="65"/>
  <c r="C25" i="65"/>
  <c r="J24" i="65"/>
  <c r="I24" i="65"/>
  <c r="H24" i="65"/>
  <c r="G24" i="65"/>
  <c r="F24" i="65"/>
  <c r="E24" i="65"/>
  <c r="D24" i="65"/>
  <c r="C24" i="65"/>
  <c r="G23" i="65"/>
  <c r="G11" i="50" s="1"/>
  <c r="F23" i="65"/>
  <c r="F11" i="50" s="1"/>
  <c r="E23" i="65"/>
  <c r="E11" i="50" s="1"/>
  <c r="D23" i="65"/>
  <c r="D11" i="50" s="1"/>
  <c r="C23" i="65"/>
  <c r="C11" i="50" s="1"/>
  <c r="J22" i="65"/>
  <c r="I22" i="65"/>
  <c r="H22" i="65"/>
  <c r="G22" i="65"/>
  <c r="F22" i="65"/>
  <c r="E22" i="65"/>
  <c r="D22" i="65"/>
  <c r="C22" i="65"/>
  <c r="G21" i="65"/>
  <c r="F21" i="65"/>
  <c r="E21" i="65"/>
  <c r="D21" i="65"/>
  <c r="C21" i="65"/>
  <c r="J18" i="65"/>
  <c r="J44" i="166" s="1"/>
  <c r="I18" i="65"/>
  <c r="I44" i="166" s="1"/>
  <c r="H18" i="65"/>
  <c r="H44" i="166" s="1"/>
  <c r="G18" i="65"/>
  <c r="G44" i="166" s="1"/>
  <c r="F18" i="65"/>
  <c r="F44" i="166" s="1"/>
  <c r="E18" i="65"/>
  <c r="E44" i="166" s="1"/>
  <c r="D18" i="65"/>
  <c r="D44" i="166" s="1"/>
  <c r="C18" i="65"/>
  <c r="C44" i="166" s="1"/>
  <c r="J17" i="65"/>
  <c r="I17" i="65"/>
  <c r="H17" i="65"/>
  <c r="G17" i="65"/>
  <c r="F17" i="65"/>
  <c r="E17" i="65"/>
  <c r="D17" i="65"/>
  <c r="C17" i="65"/>
  <c r="G16" i="65"/>
  <c r="G42" i="166" s="1"/>
  <c r="F16" i="65"/>
  <c r="F42" i="166" s="1"/>
  <c r="E16" i="65"/>
  <c r="E42" i="166" s="1"/>
  <c r="D16" i="65"/>
  <c r="D42" i="166" s="1"/>
  <c r="C16" i="65"/>
  <c r="C42" i="166" s="1"/>
  <c r="J14" i="65"/>
  <c r="I14" i="65"/>
  <c r="H14" i="65"/>
  <c r="G14" i="65"/>
  <c r="F14" i="65"/>
  <c r="E14" i="65"/>
  <c r="D14" i="65"/>
  <c r="C14" i="65"/>
  <c r="G13" i="65"/>
  <c r="F13" i="65"/>
  <c r="E13" i="65"/>
  <c r="D13" i="65"/>
  <c r="C13" i="65"/>
  <c r="G12" i="65"/>
  <c r="F12" i="65"/>
  <c r="E12" i="65"/>
  <c r="D12" i="65"/>
  <c r="C12" i="65"/>
  <c r="G11" i="65"/>
  <c r="F11" i="65"/>
  <c r="E11" i="65"/>
  <c r="D11" i="65"/>
  <c r="C11" i="65"/>
  <c r="G10" i="65"/>
  <c r="G9" i="50" s="1"/>
  <c r="F10" i="65"/>
  <c r="F9" i="50" s="1"/>
  <c r="E10" i="65"/>
  <c r="E9" i="50" s="1"/>
  <c r="D10" i="65"/>
  <c r="D9" i="50" s="1"/>
  <c r="C10" i="65"/>
  <c r="C9" i="50" s="1"/>
  <c r="G9" i="65"/>
  <c r="G7" i="50" s="1"/>
  <c r="F9" i="65"/>
  <c r="F7" i="50" s="1"/>
  <c r="E9" i="65"/>
  <c r="E7" i="50" s="1"/>
  <c r="D9" i="65"/>
  <c r="D7" i="50" s="1"/>
  <c r="C9" i="65"/>
  <c r="C7" i="50" s="1"/>
  <c r="G8" i="65"/>
  <c r="G19" i="166" s="1"/>
  <c r="G41" i="166" s="1"/>
  <c r="F8" i="65"/>
  <c r="F19" i="166" s="1"/>
  <c r="F41" i="166" s="1"/>
  <c r="E8" i="65"/>
  <c r="E19" i="166" s="1"/>
  <c r="E41" i="166" s="1"/>
  <c r="D8" i="65"/>
  <c r="D19" i="166" s="1"/>
  <c r="D41" i="166" s="1"/>
  <c r="C8" i="65"/>
  <c r="C19" i="166" s="1"/>
  <c r="C41" i="166" s="1"/>
  <c r="F30" i="46"/>
  <c r="AG9" i="46"/>
  <c r="AF9" i="46"/>
  <c r="AE9" i="46"/>
  <c r="AD9" i="46"/>
  <c r="AC9" i="46"/>
  <c r="AB9" i="46"/>
  <c r="AA9" i="46"/>
  <c r="Z9" i="46"/>
  <c r="Y9" i="46"/>
  <c r="X9" i="46"/>
  <c r="W9" i="46"/>
  <c r="V9" i="46"/>
  <c r="U9" i="46"/>
  <c r="T9" i="46"/>
  <c r="S9" i="46"/>
  <c r="R9" i="46"/>
  <c r="Q9" i="46"/>
  <c r="P9" i="46"/>
  <c r="O9" i="46"/>
  <c r="N9" i="46"/>
  <c r="M9" i="46"/>
  <c r="L9" i="46"/>
  <c r="F18" i="166" l="1"/>
  <c r="F8" i="166"/>
  <c r="C21" i="166"/>
  <c r="E21" i="166"/>
  <c r="G21" i="166"/>
  <c r="C7" i="159"/>
  <c r="G7" i="166"/>
  <c r="D21" i="166"/>
  <c r="F21" i="166"/>
  <c r="AP16" i="46"/>
  <c r="AO18" i="46"/>
  <c r="AO30" i="46"/>
  <c r="J14" i="159"/>
  <c r="C14" i="159" s="1"/>
  <c r="AL19" i="94"/>
  <c r="AM19" i="94" s="1"/>
  <c r="AN19" i="94" s="1"/>
  <c r="AO19" i="94" s="1"/>
  <c r="AP19" i="94" s="1"/>
  <c r="AQ19" i="94" s="1"/>
  <c r="AJ33" i="94"/>
  <c r="F25" i="166" l="1"/>
  <c r="F24" i="166"/>
  <c r="F26" i="166" s="1"/>
  <c r="G18" i="166"/>
  <c r="G8" i="166"/>
  <c r="G25" i="166"/>
  <c r="G24" i="166"/>
  <c r="G26" i="166" s="1"/>
  <c r="C25" i="166"/>
  <c r="C24" i="166"/>
  <c r="C26" i="166" s="1"/>
  <c r="D24" i="166"/>
  <c r="D26" i="166" s="1"/>
  <c r="D25" i="166"/>
  <c r="E24" i="166"/>
  <c r="E26" i="166" s="1"/>
  <c r="E25" i="166"/>
  <c r="AQ16" i="46"/>
  <c r="AP18" i="46"/>
  <c r="AP30" i="46"/>
  <c r="J16" i="46"/>
  <c r="J30" i="46" s="1"/>
  <c r="J16" i="159"/>
  <c r="C16" i="159" s="1"/>
  <c r="K14" i="159"/>
  <c r="AK33" i="94"/>
  <c r="J19" i="94"/>
  <c r="J10" i="159" l="1"/>
  <c r="J9" i="47" s="1"/>
  <c r="AI22" i="46"/>
  <c r="AQ30" i="46"/>
  <c r="AQ18" i="46"/>
  <c r="C10" i="159"/>
  <c r="K16" i="159"/>
  <c r="L14" i="159"/>
  <c r="AL33" i="94"/>
  <c r="C9" i="47" l="1"/>
  <c r="H22" i="46"/>
  <c r="K10" i="159"/>
  <c r="K9" i="47" s="1"/>
  <c r="AJ22" i="46"/>
  <c r="L16" i="159"/>
  <c r="M14" i="159"/>
  <c r="AM33" i="94"/>
  <c r="I33" i="94" s="1"/>
  <c r="L10" i="159" l="1"/>
  <c r="L9" i="47" s="1"/>
  <c r="AK22" i="46"/>
  <c r="M16" i="159"/>
  <c r="N14" i="159"/>
  <c r="D14" i="159" s="1"/>
  <c r="AN33" i="94"/>
  <c r="AO33" i="94" s="1"/>
  <c r="AP33" i="94" s="1"/>
  <c r="AQ33" i="94" s="1"/>
  <c r="J33" i="94" l="1"/>
  <c r="M10" i="159"/>
  <c r="M9" i="47" s="1"/>
  <c r="AL22" i="46"/>
  <c r="N16" i="159"/>
  <c r="D16" i="159" s="1"/>
  <c r="O14" i="159"/>
  <c r="N10" i="159" l="1"/>
  <c r="AM22" i="46"/>
  <c r="O16" i="159"/>
  <c r="P14" i="159"/>
  <c r="G30" i="65"/>
  <c r="F30" i="65"/>
  <c r="E30" i="65"/>
  <c r="D30" i="65"/>
  <c r="C30" i="65"/>
  <c r="G15" i="65"/>
  <c r="F15" i="65"/>
  <c r="E15" i="65"/>
  <c r="C15" i="65"/>
  <c r="AO7" i="65"/>
  <c r="AP7" i="65" s="1"/>
  <c r="AQ7" i="65" s="1"/>
  <c r="AK7" i="65"/>
  <c r="AL7" i="65" s="1"/>
  <c r="AM7" i="65" s="1"/>
  <c r="AG7" i="65"/>
  <c r="AH7" i="65" s="1"/>
  <c r="AI7" i="65" s="1"/>
  <c r="AC7" i="65"/>
  <c r="AD7" i="65" s="1"/>
  <c r="AE7" i="65" s="1"/>
  <c r="Y7" i="65"/>
  <c r="Z7" i="65" s="1"/>
  <c r="AA7" i="65" s="1"/>
  <c r="U7" i="65"/>
  <c r="V7" i="65" s="1"/>
  <c r="W7" i="65" s="1"/>
  <c r="Q7" i="65"/>
  <c r="R7" i="65" s="1"/>
  <c r="S7" i="65" s="1"/>
  <c r="M7" i="65"/>
  <c r="N7" i="65" s="1"/>
  <c r="O7" i="65" s="1"/>
  <c r="P6" i="65"/>
  <c r="T6" i="65" s="1"/>
  <c r="X6" i="65" s="1"/>
  <c r="AB6" i="65" s="1"/>
  <c r="AF6" i="65" s="1"/>
  <c r="AJ6" i="65" s="1"/>
  <c r="AN6" i="65" s="1"/>
  <c r="E19" i="65" l="1"/>
  <c r="E43" i="166"/>
  <c r="E45" i="65"/>
  <c r="G19" i="65"/>
  <c r="G43" i="166"/>
  <c r="G45" i="65"/>
  <c r="D36" i="65"/>
  <c r="D45" i="166"/>
  <c r="F36" i="65"/>
  <c r="F45" i="166"/>
  <c r="C19" i="65"/>
  <c r="C43" i="166"/>
  <c r="C45" i="65"/>
  <c r="F19" i="65"/>
  <c r="F43" i="166"/>
  <c r="F46" i="166" s="1"/>
  <c r="F45" i="65"/>
  <c r="F46" i="65" s="1"/>
  <c r="C36" i="65"/>
  <c r="C45" i="166"/>
  <c r="E36" i="65"/>
  <c r="E45" i="166"/>
  <c r="G36" i="65"/>
  <c r="G45" i="166"/>
  <c r="D10" i="159"/>
  <c r="N9" i="47"/>
  <c r="O10" i="159"/>
  <c r="O9" i="47" s="1"/>
  <c r="AN22" i="46"/>
  <c r="P16" i="159"/>
  <c r="R14" i="159"/>
  <c r="Q14" i="159"/>
  <c r="C38" i="65"/>
  <c r="E38" i="65"/>
  <c r="E49" i="65" s="1"/>
  <c r="G38" i="65"/>
  <c r="G49" i="65" s="1"/>
  <c r="D38" i="65"/>
  <c r="F38" i="65"/>
  <c r="AG21" i="94"/>
  <c r="AF21" i="94"/>
  <c r="AE21" i="94"/>
  <c r="AD21" i="94"/>
  <c r="AC21" i="94"/>
  <c r="AB21" i="94"/>
  <c r="AA21" i="94"/>
  <c r="Z21" i="94"/>
  <c r="Y21" i="94"/>
  <c r="X21" i="94"/>
  <c r="W21" i="94"/>
  <c r="V21" i="94"/>
  <c r="U21" i="94"/>
  <c r="T21" i="94"/>
  <c r="S21" i="94"/>
  <c r="R21" i="94"/>
  <c r="Q21" i="94"/>
  <c r="P21" i="94"/>
  <c r="O21" i="94"/>
  <c r="N21" i="94"/>
  <c r="M21" i="94"/>
  <c r="L21" i="94"/>
  <c r="F49" i="65" l="1"/>
  <c r="C49" i="65"/>
  <c r="E14" i="159"/>
  <c r="C46" i="166"/>
  <c r="G46" i="65"/>
  <c r="E46" i="166"/>
  <c r="G46" i="166"/>
  <c r="D9" i="47"/>
  <c r="I22" i="46"/>
  <c r="P10" i="159"/>
  <c r="P9" i="47" s="1"/>
  <c r="AO22" i="46"/>
  <c r="Q16" i="159"/>
  <c r="R16" i="159"/>
  <c r="AG10" i="94"/>
  <c r="E16" i="159" l="1"/>
  <c r="Q10" i="159"/>
  <c r="Q9" i="47" s="1"/>
  <c r="AP22" i="46"/>
  <c r="R10" i="159"/>
  <c r="R9" i="47" s="1"/>
  <c r="AQ22" i="46"/>
  <c r="E10" i="159"/>
  <c r="D6" i="65"/>
  <c r="E6" i="65" s="1"/>
  <c r="F6" i="65" s="1"/>
  <c r="G6" i="65" s="1"/>
  <c r="H6" i="65" s="1"/>
  <c r="I6" i="65" s="1"/>
  <c r="J6" i="65" s="1"/>
  <c r="E9" i="47" l="1"/>
  <c r="J22" i="46"/>
  <c r="AF12" i="94"/>
  <c r="AE12" i="94"/>
  <c r="AD12" i="94"/>
  <c r="AC12" i="94"/>
  <c r="AB12" i="94"/>
  <c r="AA12" i="94"/>
  <c r="Z12" i="94"/>
  <c r="Y12" i="94"/>
  <c r="X12" i="94"/>
  <c r="W12" i="94"/>
  <c r="V12" i="94"/>
  <c r="U12" i="94"/>
  <c r="T12" i="94"/>
  <c r="S12" i="94"/>
  <c r="R12" i="94"/>
  <c r="Q12" i="94"/>
  <c r="P12" i="94"/>
  <c r="AF10" i="94"/>
  <c r="AE10" i="94"/>
  <c r="AD10" i="94"/>
  <c r="AC10" i="94"/>
  <c r="AB10" i="94"/>
  <c r="AA10" i="94"/>
  <c r="Z10" i="94"/>
  <c r="Y10" i="94"/>
  <c r="X10" i="94"/>
  <c r="W10" i="94"/>
  <c r="V10" i="94"/>
  <c r="U10" i="94"/>
  <c r="T10" i="94"/>
  <c r="S10" i="94"/>
  <c r="R10" i="94"/>
  <c r="Q10" i="94"/>
  <c r="P10" i="94"/>
  <c r="J40" i="94" l="1"/>
  <c r="I40" i="94"/>
  <c r="I28" i="52" s="1"/>
  <c r="H40" i="94"/>
  <c r="H28" i="52" s="1"/>
  <c r="G40" i="94"/>
  <c r="F40" i="94"/>
  <c r="E40" i="94"/>
  <c r="D40" i="94"/>
  <c r="C40" i="94"/>
  <c r="G33" i="94"/>
  <c r="F33" i="94"/>
  <c r="E33" i="94"/>
  <c r="D33" i="94"/>
  <c r="C33" i="94"/>
  <c r="G28" i="94"/>
  <c r="G11" i="166" s="1"/>
  <c r="G39" i="166" s="1"/>
  <c r="F28" i="94"/>
  <c r="F11" i="166" s="1"/>
  <c r="F39" i="166" s="1"/>
  <c r="E28" i="94"/>
  <c r="E11" i="166" s="1"/>
  <c r="E39" i="166" s="1"/>
  <c r="D28" i="94"/>
  <c r="D11" i="166" s="1"/>
  <c r="D39" i="166" s="1"/>
  <c r="C28" i="94"/>
  <c r="C11" i="166" s="1"/>
  <c r="C39" i="166" s="1"/>
  <c r="G26" i="94"/>
  <c r="G14" i="166" s="1"/>
  <c r="F26" i="94"/>
  <c r="F14" i="166" s="1"/>
  <c r="E26" i="94"/>
  <c r="D26" i="94"/>
  <c r="C26" i="94"/>
  <c r="G24" i="94"/>
  <c r="F24" i="94"/>
  <c r="E24" i="94"/>
  <c r="D24" i="94"/>
  <c r="C24" i="94"/>
  <c r="G20" i="94"/>
  <c r="F20" i="94"/>
  <c r="E20" i="94"/>
  <c r="D20" i="94"/>
  <c r="C20" i="94"/>
  <c r="G19" i="94"/>
  <c r="F19" i="94"/>
  <c r="E19" i="94"/>
  <c r="D19" i="94"/>
  <c r="C19" i="94"/>
  <c r="J31" i="94"/>
  <c r="I31" i="94"/>
  <c r="H31" i="94"/>
  <c r="F31" i="94"/>
  <c r="D31" i="94"/>
  <c r="I24" i="94"/>
  <c r="H24" i="94"/>
  <c r="I19" i="94"/>
  <c r="H19" i="94"/>
  <c r="I13" i="94"/>
  <c r="H13" i="94"/>
  <c r="AF28" i="50"/>
  <c r="AE28" i="50"/>
  <c r="AD28" i="50"/>
  <c r="AC28" i="50"/>
  <c r="AB28" i="50"/>
  <c r="G18" i="94"/>
  <c r="F18" i="94"/>
  <c r="E18" i="94"/>
  <c r="D18" i="94"/>
  <c r="C18" i="94"/>
  <c r="G17" i="94"/>
  <c r="F17" i="94"/>
  <c r="E17" i="94"/>
  <c r="D17" i="94"/>
  <c r="C17" i="94"/>
  <c r="G15" i="94"/>
  <c r="F15" i="94"/>
  <c r="E15" i="94"/>
  <c r="D15" i="94"/>
  <c r="C15" i="94"/>
  <c r="AF8" i="94"/>
  <c r="AD8" i="94"/>
  <c r="AB8" i="94"/>
  <c r="Z8" i="94"/>
  <c r="X8" i="94"/>
  <c r="V8" i="94"/>
  <c r="T8" i="94"/>
  <c r="R8" i="94"/>
  <c r="G14" i="94"/>
  <c r="F14" i="94"/>
  <c r="E14" i="94"/>
  <c r="D14" i="94"/>
  <c r="C14" i="94"/>
  <c r="G13" i="94"/>
  <c r="F13" i="94"/>
  <c r="E13" i="94"/>
  <c r="D13" i="94"/>
  <c r="C13" i="94"/>
  <c r="G11" i="94"/>
  <c r="G43" i="52" s="1"/>
  <c r="F11" i="94"/>
  <c r="F43" i="52" s="1"/>
  <c r="E11" i="94"/>
  <c r="E43" i="52" s="1"/>
  <c r="D11" i="94"/>
  <c r="D43" i="52" s="1"/>
  <c r="C11" i="94"/>
  <c r="C43" i="52" s="1"/>
  <c r="N30" i="52" l="1"/>
  <c r="K40" i="160"/>
  <c r="G32" i="160"/>
  <c r="E32" i="160"/>
  <c r="C32" i="160"/>
  <c r="F32" i="160"/>
  <c r="D32" i="160"/>
  <c r="O30" i="52"/>
  <c r="L40" i="160"/>
  <c r="C57" i="52"/>
  <c r="C50" i="52"/>
  <c r="C44" i="52"/>
  <c r="C45" i="52"/>
  <c r="C52" i="52"/>
  <c r="C47" i="52"/>
  <c r="C48" i="52"/>
  <c r="E57" i="52"/>
  <c r="E50" i="52"/>
  <c r="E45" i="52"/>
  <c r="E48" i="52"/>
  <c r="E44" i="52"/>
  <c r="E47" i="52"/>
  <c r="E52" i="52"/>
  <c r="G57" i="52"/>
  <c r="G52" i="52"/>
  <c r="G50" i="52"/>
  <c r="G45" i="52"/>
  <c r="G48" i="52"/>
  <c r="G44" i="52"/>
  <c r="G47" i="52"/>
  <c r="D57" i="52"/>
  <c r="D44" i="52"/>
  <c r="D52" i="52"/>
  <c r="D45" i="52"/>
  <c r="D48" i="52"/>
  <c r="D47" i="52"/>
  <c r="D50" i="52"/>
  <c r="F57" i="52"/>
  <c r="F50" i="52"/>
  <c r="F47" i="52"/>
  <c r="F44" i="52"/>
  <c r="F52" i="52"/>
  <c r="F45" i="52"/>
  <c r="F48" i="52"/>
  <c r="J28" i="52"/>
  <c r="J40" i="160"/>
  <c r="M30" i="52"/>
  <c r="AC16" i="50"/>
  <c r="AC20" i="50"/>
  <c r="AC8" i="50"/>
  <c r="AC13" i="50" s="1"/>
  <c r="AC19" i="50"/>
  <c r="AC23" i="50"/>
  <c r="AC18" i="50"/>
  <c r="AC22" i="50"/>
  <c r="AC17" i="50"/>
  <c r="AC21" i="50"/>
  <c r="AE18" i="50"/>
  <c r="AE22" i="50"/>
  <c r="AE17" i="50"/>
  <c r="AE21" i="50"/>
  <c r="AE16" i="50"/>
  <c r="AE20" i="50"/>
  <c r="AE8" i="50"/>
  <c r="AE13" i="50" s="1"/>
  <c r="AE19" i="50"/>
  <c r="AE23" i="50"/>
  <c r="AB8" i="50"/>
  <c r="AB13" i="50" s="1"/>
  <c r="AB19" i="50"/>
  <c r="AB23" i="50"/>
  <c r="AB18" i="50"/>
  <c r="AB22" i="50"/>
  <c r="AB17" i="50"/>
  <c r="AB21" i="50"/>
  <c r="AB16" i="50"/>
  <c r="AB20" i="50"/>
  <c r="AD17" i="50"/>
  <c r="AD21" i="50"/>
  <c r="AD16" i="50"/>
  <c r="AD20" i="50"/>
  <c r="AD8" i="50"/>
  <c r="AD13" i="50" s="1"/>
  <c r="AD19" i="50"/>
  <c r="AD23" i="50"/>
  <c r="AD18" i="50"/>
  <c r="AD22" i="50"/>
  <c r="AF8" i="50"/>
  <c r="AF13" i="50" s="1"/>
  <c r="AF19" i="50"/>
  <c r="AF23" i="50"/>
  <c r="AF18" i="50"/>
  <c r="AF22" i="50"/>
  <c r="AF17" i="50"/>
  <c r="AF21" i="50"/>
  <c r="AF16" i="50"/>
  <c r="AF20" i="50"/>
  <c r="E12" i="94"/>
  <c r="D12" i="94"/>
  <c r="F12" i="94"/>
  <c r="D29" i="50"/>
  <c r="F29" i="50"/>
  <c r="M46" i="94"/>
  <c r="M47" i="94"/>
  <c r="M45" i="94"/>
  <c r="M44" i="94"/>
  <c r="M43" i="94"/>
  <c r="M28" i="50"/>
  <c r="O46" i="94"/>
  <c r="O47" i="94"/>
  <c r="O45" i="94"/>
  <c r="O44" i="94"/>
  <c r="O43" i="94"/>
  <c r="O28" i="50"/>
  <c r="Q46" i="94"/>
  <c r="Q47" i="94"/>
  <c r="Q45" i="94"/>
  <c r="Q44" i="94"/>
  <c r="Q43" i="94"/>
  <c r="Q28" i="50"/>
  <c r="S46" i="94"/>
  <c r="S47" i="94"/>
  <c r="S45" i="94"/>
  <c r="S44" i="94"/>
  <c r="S43" i="94"/>
  <c r="S28" i="50"/>
  <c r="U46" i="94"/>
  <c r="U47" i="94"/>
  <c r="U45" i="94"/>
  <c r="U44" i="94"/>
  <c r="U43" i="94"/>
  <c r="U28" i="50"/>
  <c r="W46" i="94"/>
  <c r="W47" i="94"/>
  <c r="W45" i="94"/>
  <c r="W44" i="94"/>
  <c r="W43" i="94"/>
  <c r="W28" i="50"/>
  <c r="Y46" i="94"/>
  <c r="Y47" i="94"/>
  <c r="Y45" i="94"/>
  <c r="Y44" i="94"/>
  <c r="Y43" i="94"/>
  <c r="Y28" i="50"/>
  <c r="AA46" i="94"/>
  <c r="AA47" i="94"/>
  <c r="AA45" i="94"/>
  <c r="AA44" i="94"/>
  <c r="AA43" i="94"/>
  <c r="AA28" i="50"/>
  <c r="AC46" i="94"/>
  <c r="AC47" i="94"/>
  <c r="AC45" i="94"/>
  <c r="AC44" i="94"/>
  <c r="AC43" i="94"/>
  <c r="AE46" i="94"/>
  <c r="AE44" i="94"/>
  <c r="AE47" i="94"/>
  <c r="AE45" i="94"/>
  <c r="AE43" i="94"/>
  <c r="G12" i="94"/>
  <c r="C29" i="50"/>
  <c r="E29" i="50"/>
  <c r="G29" i="50"/>
  <c r="L47" i="94"/>
  <c r="L45" i="94"/>
  <c r="L43" i="94"/>
  <c r="L46" i="94"/>
  <c r="L44" i="94"/>
  <c r="L28" i="50"/>
  <c r="N47" i="94"/>
  <c r="N45" i="94"/>
  <c r="N46" i="94"/>
  <c r="N43" i="94"/>
  <c r="N44" i="94"/>
  <c r="N28" i="50"/>
  <c r="P47" i="94"/>
  <c r="P45" i="94"/>
  <c r="P46" i="94"/>
  <c r="P43" i="94"/>
  <c r="P44" i="94"/>
  <c r="P28" i="50"/>
  <c r="R47" i="94"/>
  <c r="R45" i="94"/>
  <c r="R46" i="94"/>
  <c r="R43" i="94"/>
  <c r="R44" i="94"/>
  <c r="R28" i="50"/>
  <c r="T47" i="94"/>
  <c r="T45" i="94"/>
  <c r="T46" i="94"/>
  <c r="T43" i="94"/>
  <c r="T44" i="94"/>
  <c r="T28" i="50"/>
  <c r="V47" i="94"/>
  <c r="V45" i="94"/>
  <c r="V46" i="94"/>
  <c r="V43" i="94"/>
  <c r="V44" i="94"/>
  <c r="V28" i="50"/>
  <c r="X47" i="94"/>
  <c r="X45" i="94"/>
  <c r="X46" i="94"/>
  <c r="X43" i="94"/>
  <c r="X44" i="94"/>
  <c r="X28" i="50"/>
  <c r="Z47" i="94"/>
  <c r="Z45" i="94"/>
  <c r="Z46" i="94"/>
  <c r="Z43" i="94"/>
  <c r="Z44" i="94"/>
  <c r="Z28" i="50"/>
  <c r="AB47" i="94"/>
  <c r="AB45" i="94"/>
  <c r="AB46" i="94"/>
  <c r="AB43" i="94"/>
  <c r="AB44" i="94"/>
  <c r="AD47" i="94"/>
  <c r="AD45" i="94"/>
  <c r="AD46" i="94"/>
  <c r="AD44" i="94"/>
  <c r="AD43" i="94"/>
  <c r="AF47" i="94"/>
  <c r="AF45" i="94"/>
  <c r="AF46" i="94"/>
  <c r="AF44" i="94"/>
  <c r="AF43" i="94"/>
  <c r="D21" i="94"/>
  <c r="F21" i="94"/>
  <c r="M16" i="94"/>
  <c r="M36" i="94" s="1"/>
  <c r="O16" i="94"/>
  <c r="Q16" i="94"/>
  <c r="Q36" i="94" s="1"/>
  <c r="S16" i="94"/>
  <c r="U16" i="94"/>
  <c r="U36" i="94" s="1"/>
  <c r="W16" i="94"/>
  <c r="Y16" i="94"/>
  <c r="Y36" i="94" s="1"/>
  <c r="AA16" i="94"/>
  <c r="AC16" i="94"/>
  <c r="AC36" i="94" s="1"/>
  <c r="AE16" i="94"/>
  <c r="C9" i="46"/>
  <c r="E9" i="46"/>
  <c r="G9" i="46"/>
  <c r="L16" i="94"/>
  <c r="L36" i="94" s="1"/>
  <c r="N16" i="94"/>
  <c r="N22" i="94" s="1"/>
  <c r="R16" i="94"/>
  <c r="R22" i="94" s="1"/>
  <c r="V16" i="94"/>
  <c r="V22" i="94" s="1"/>
  <c r="Z16" i="94"/>
  <c r="Z36" i="94" s="1"/>
  <c r="AD16" i="94"/>
  <c r="AD22" i="94" s="1"/>
  <c r="D9" i="46"/>
  <c r="F9" i="46"/>
  <c r="P16" i="94"/>
  <c r="P22" i="94" s="1"/>
  <c r="D7" i="94"/>
  <c r="I8" i="155" s="1"/>
  <c r="T16" i="94"/>
  <c r="T22" i="94" s="1"/>
  <c r="E7" i="94"/>
  <c r="J8" i="155" s="1"/>
  <c r="X16" i="94"/>
  <c r="X22" i="94" s="1"/>
  <c r="F7" i="94"/>
  <c r="K8" i="155" s="1"/>
  <c r="AB16" i="94"/>
  <c r="AB22" i="94" s="1"/>
  <c r="G7" i="94"/>
  <c r="L8" i="155" s="1"/>
  <c r="AF16" i="94"/>
  <c r="AF22" i="94" s="1"/>
  <c r="G16" i="94"/>
  <c r="G36" i="94" s="1"/>
  <c r="P36" i="94"/>
  <c r="T36" i="94"/>
  <c r="V36" i="94"/>
  <c r="X36" i="94"/>
  <c r="Z22" i="94"/>
  <c r="AD36" i="94"/>
  <c r="C21" i="94"/>
  <c r="E21" i="94"/>
  <c r="G21" i="94"/>
  <c r="M22" i="94"/>
  <c r="O36" i="94"/>
  <c r="O22" i="94"/>
  <c r="Q22" i="94"/>
  <c r="S36" i="94"/>
  <c r="S22" i="94"/>
  <c r="U22" i="94"/>
  <c r="W36" i="94"/>
  <c r="W22" i="94"/>
  <c r="Y22" i="94"/>
  <c r="AA36" i="94"/>
  <c r="AA22" i="94"/>
  <c r="AC22" i="94"/>
  <c r="AE36" i="94"/>
  <c r="AE22" i="94"/>
  <c r="Q8" i="94"/>
  <c r="S8" i="94"/>
  <c r="U8" i="94"/>
  <c r="W8" i="94"/>
  <c r="Y8" i="94"/>
  <c r="AA8" i="94"/>
  <c r="AC8" i="94"/>
  <c r="AE8" i="94"/>
  <c r="D16" i="94"/>
  <c r="D36" i="94" s="1"/>
  <c r="G9" i="94"/>
  <c r="G9" i="52" s="1"/>
  <c r="F9" i="94"/>
  <c r="F9" i="52" s="1"/>
  <c r="E9" i="94"/>
  <c r="E9" i="52" s="1"/>
  <c r="D9" i="94"/>
  <c r="D9" i="52" s="1"/>
  <c r="C9" i="94"/>
  <c r="C9" i="52" s="1"/>
  <c r="R36" i="94" l="1"/>
  <c r="L22" i="94"/>
  <c r="F16" i="94"/>
  <c r="F36" i="94" s="1"/>
  <c r="E16" i="94"/>
  <c r="E36" i="94" s="1"/>
  <c r="AB36" i="94"/>
  <c r="N36" i="94"/>
  <c r="AF36" i="94"/>
  <c r="L9" i="155"/>
  <c r="K9" i="155"/>
  <c r="J9" i="155"/>
  <c r="C14" i="52"/>
  <c r="C40" i="52"/>
  <c r="C18" i="52"/>
  <c r="C10" i="52"/>
  <c r="C11" i="52"/>
  <c r="C23" i="52"/>
  <c r="C39" i="52"/>
  <c r="C16" i="52"/>
  <c r="C32" i="52"/>
  <c r="C36" i="52" s="1"/>
  <c r="C13" i="52"/>
  <c r="E14" i="52"/>
  <c r="E39" i="52"/>
  <c r="E16" i="52"/>
  <c r="E32" i="52"/>
  <c r="E13" i="52"/>
  <c r="E23" i="52"/>
  <c r="E40" i="52"/>
  <c r="E18" i="52"/>
  <c r="E10" i="52"/>
  <c r="E11" i="52"/>
  <c r="G14" i="52"/>
  <c r="G40" i="52"/>
  <c r="G16" i="52"/>
  <c r="G10" i="52"/>
  <c r="G11" i="52"/>
  <c r="G23" i="52"/>
  <c r="G39" i="52"/>
  <c r="H39" i="52" s="1"/>
  <c r="E13" i="160" s="1"/>
  <c r="G32" i="52"/>
  <c r="G13" i="52"/>
  <c r="G18" i="52"/>
  <c r="D13" i="52"/>
  <c r="D39" i="52"/>
  <c r="D40" i="52"/>
  <c r="D14" i="52"/>
  <c r="D10" i="52"/>
  <c r="D23" i="52"/>
  <c r="D18" i="52"/>
  <c r="D32" i="52"/>
  <c r="D16" i="52"/>
  <c r="D11" i="52"/>
  <c r="F13" i="52"/>
  <c r="F18" i="52"/>
  <c r="F32" i="52"/>
  <c r="F16" i="52"/>
  <c r="F11" i="52"/>
  <c r="F23" i="52"/>
  <c r="F39" i="52"/>
  <c r="F40" i="52"/>
  <c r="F14" i="52"/>
  <c r="F10" i="52"/>
  <c r="H30" i="52"/>
  <c r="AC24" i="50"/>
  <c r="AE24" i="50"/>
  <c r="AG24" i="50"/>
  <c r="AB24" i="50"/>
  <c r="AD24" i="50"/>
  <c r="AF24" i="50"/>
  <c r="AC25" i="50"/>
  <c r="AE25" i="50"/>
  <c r="AG25" i="50"/>
  <c r="AB26" i="50"/>
  <c r="AD26" i="50"/>
  <c r="AF26" i="50"/>
  <c r="AC27" i="50"/>
  <c r="AE27" i="50"/>
  <c r="AG27" i="50"/>
  <c r="AB25" i="50"/>
  <c r="AD25" i="50"/>
  <c r="AF25" i="50"/>
  <c r="AC26" i="50"/>
  <c r="AE26" i="50"/>
  <c r="AG26" i="50"/>
  <c r="AB27" i="50"/>
  <c r="AD27" i="50"/>
  <c r="AF27" i="50"/>
  <c r="E10" i="94"/>
  <c r="G10" i="94"/>
  <c r="G8" i="94"/>
  <c r="G28" i="50"/>
  <c r="F8" i="94"/>
  <c r="F28" i="50"/>
  <c r="E8" i="94"/>
  <c r="E28" i="50"/>
  <c r="D28" i="50"/>
  <c r="F47" i="94"/>
  <c r="D46" i="94"/>
  <c r="E45" i="94"/>
  <c r="F44" i="94"/>
  <c r="G12" i="50"/>
  <c r="G10" i="50"/>
  <c r="E10" i="50"/>
  <c r="E12" i="50"/>
  <c r="C12" i="50"/>
  <c r="C10" i="50"/>
  <c r="G47" i="94"/>
  <c r="AA23" i="50"/>
  <c r="AA22" i="50"/>
  <c r="AA19" i="50"/>
  <c r="AA18" i="50"/>
  <c r="AA21" i="50"/>
  <c r="AA20" i="50"/>
  <c r="AA8" i="50"/>
  <c r="AA13" i="50" s="1"/>
  <c r="AA17" i="50"/>
  <c r="AA16" i="50"/>
  <c r="Y23" i="50"/>
  <c r="Y20" i="50"/>
  <c r="Y8" i="50"/>
  <c r="Y13" i="50" s="1"/>
  <c r="Y17" i="50"/>
  <c r="Y16" i="50"/>
  <c r="Y21" i="50"/>
  <c r="Y22" i="50"/>
  <c r="Y19" i="50"/>
  <c r="Y18" i="50"/>
  <c r="W23" i="50"/>
  <c r="W22" i="50"/>
  <c r="W19" i="50"/>
  <c r="W18" i="50"/>
  <c r="W21" i="50"/>
  <c r="W20" i="50"/>
  <c r="W8" i="50"/>
  <c r="W13" i="50" s="1"/>
  <c r="W17" i="50"/>
  <c r="W16" i="50"/>
  <c r="U23" i="50"/>
  <c r="U20" i="50"/>
  <c r="U8" i="50"/>
  <c r="U13" i="50" s="1"/>
  <c r="U17" i="50"/>
  <c r="U16" i="50"/>
  <c r="U21" i="50"/>
  <c r="U22" i="50"/>
  <c r="U19" i="50"/>
  <c r="U18" i="50"/>
  <c r="S23" i="50"/>
  <c r="S22" i="50"/>
  <c r="S19" i="50"/>
  <c r="S18" i="50"/>
  <c r="S21" i="50"/>
  <c r="S20" i="50"/>
  <c r="S8" i="50"/>
  <c r="S13" i="50" s="1"/>
  <c r="S17" i="50"/>
  <c r="S16" i="50"/>
  <c r="Q23" i="50"/>
  <c r="Q20" i="50"/>
  <c r="Q8" i="50"/>
  <c r="Q13" i="50" s="1"/>
  <c r="Q17" i="50"/>
  <c r="Q16" i="50"/>
  <c r="Q21" i="50"/>
  <c r="Q22" i="50"/>
  <c r="Q19" i="50"/>
  <c r="Q18" i="50"/>
  <c r="O23" i="50"/>
  <c r="O22" i="50"/>
  <c r="O19" i="50"/>
  <c r="O18" i="50"/>
  <c r="O21" i="50"/>
  <c r="O20" i="50"/>
  <c r="O8" i="50"/>
  <c r="O13" i="50" s="1"/>
  <c r="O17" i="50"/>
  <c r="O16" i="50"/>
  <c r="M23" i="50"/>
  <c r="M20" i="50"/>
  <c r="M8" i="50"/>
  <c r="M13" i="50" s="1"/>
  <c r="M17" i="50"/>
  <c r="M16" i="50"/>
  <c r="M21" i="50"/>
  <c r="M22" i="50"/>
  <c r="M19" i="50"/>
  <c r="M18" i="50"/>
  <c r="G46" i="94"/>
  <c r="D45" i="94"/>
  <c r="E44" i="94"/>
  <c r="F12" i="50"/>
  <c r="F10" i="50"/>
  <c r="D12" i="50"/>
  <c r="D10" i="50"/>
  <c r="D10" i="94"/>
  <c r="F10" i="94"/>
  <c r="D47" i="94"/>
  <c r="Z22" i="50"/>
  <c r="Z23" i="50"/>
  <c r="Z18" i="50"/>
  <c r="Z19" i="50"/>
  <c r="Z20" i="50"/>
  <c r="Z21" i="50"/>
  <c r="Z8" i="50"/>
  <c r="Z13" i="50" s="1"/>
  <c r="Z16" i="50"/>
  <c r="Z17" i="50"/>
  <c r="X22" i="50"/>
  <c r="X21" i="50"/>
  <c r="X8" i="50"/>
  <c r="X13" i="50" s="1"/>
  <c r="X16" i="50"/>
  <c r="X17" i="50"/>
  <c r="X20" i="50"/>
  <c r="X23" i="50"/>
  <c r="X18" i="50"/>
  <c r="X19" i="50"/>
  <c r="V22" i="50"/>
  <c r="V23" i="50"/>
  <c r="V18" i="50"/>
  <c r="V19" i="50"/>
  <c r="V20" i="50"/>
  <c r="V21" i="50"/>
  <c r="V8" i="50"/>
  <c r="V13" i="50" s="1"/>
  <c r="V16" i="50"/>
  <c r="V17" i="50"/>
  <c r="T22" i="50"/>
  <c r="T21" i="50"/>
  <c r="T8" i="50"/>
  <c r="T13" i="50" s="1"/>
  <c r="T16" i="50"/>
  <c r="T17" i="50"/>
  <c r="T20" i="50"/>
  <c r="T23" i="50"/>
  <c r="T18" i="50"/>
  <c r="T19" i="50"/>
  <c r="R22" i="50"/>
  <c r="R23" i="50"/>
  <c r="R18" i="50"/>
  <c r="R19" i="50"/>
  <c r="R20" i="50"/>
  <c r="R21" i="50"/>
  <c r="R8" i="50"/>
  <c r="R13" i="50" s="1"/>
  <c r="R16" i="50"/>
  <c r="R17" i="50"/>
  <c r="P22" i="50"/>
  <c r="P21" i="50"/>
  <c r="P8" i="50"/>
  <c r="P13" i="50" s="1"/>
  <c r="P16" i="50"/>
  <c r="P17" i="50"/>
  <c r="P20" i="50"/>
  <c r="P23" i="50"/>
  <c r="P18" i="50"/>
  <c r="P19" i="50"/>
  <c r="N22" i="50"/>
  <c r="N23" i="50"/>
  <c r="N18" i="50"/>
  <c r="N19" i="50"/>
  <c r="N20" i="50"/>
  <c r="N21" i="50"/>
  <c r="N8" i="50"/>
  <c r="N13" i="50" s="1"/>
  <c r="N16" i="50"/>
  <c r="N17" i="50"/>
  <c r="AA27" i="50"/>
  <c r="Y27" i="50"/>
  <c r="W27" i="50"/>
  <c r="U27" i="50"/>
  <c r="Z27" i="50"/>
  <c r="X27" i="50"/>
  <c r="V27" i="50"/>
  <c r="S27" i="50"/>
  <c r="Q27" i="50"/>
  <c r="O27" i="50"/>
  <c r="M27" i="50"/>
  <c r="Z26" i="50"/>
  <c r="X26" i="50"/>
  <c r="V26" i="50"/>
  <c r="T26" i="50"/>
  <c r="R26" i="50"/>
  <c r="P26" i="50"/>
  <c r="N26" i="50"/>
  <c r="AA25" i="50"/>
  <c r="Y25" i="50"/>
  <c r="W25" i="50"/>
  <c r="U25" i="50"/>
  <c r="S25" i="50"/>
  <c r="Q25" i="50"/>
  <c r="O25" i="50"/>
  <c r="M25" i="50"/>
  <c r="Z24" i="50"/>
  <c r="X24" i="50"/>
  <c r="V24" i="50"/>
  <c r="T24" i="50"/>
  <c r="R24" i="50"/>
  <c r="P24" i="50"/>
  <c r="N24" i="50"/>
  <c r="L27" i="50"/>
  <c r="L25" i="50"/>
  <c r="T27" i="50"/>
  <c r="R27" i="50"/>
  <c r="P27" i="50"/>
  <c r="N27" i="50"/>
  <c r="AA26" i="50"/>
  <c r="Y26" i="50"/>
  <c r="W26" i="50"/>
  <c r="U26" i="50"/>
  <c r="S26" i="50"/>
  <c r="Q26" i="50"/>
  <c r="O26" i="50"/>
  <c r="M26" i="50"/>
  <c r="Z25" i="50"/>
  <c r="X25" i="50"/>
  <c r="V25" i="50"/>
  <c r="T25" i="50"/>
  <c r="R25" i="50"/>
  <c r="P25" i="50"/>
  <c r="N25" i="50"/>
  <c r="AA24" i="50"/>
  <c r="Y24" i="50"/>
  <c r="W24" i="50"/>
  <c r="U24" i="50"/>
  <c r="S24" i="50"/>
  <c r="Q24" i="50"/>
  <c r="O24" i="50"/>
  <c r="M24" i="50"/>
  <c r="L26" i="50"/>
  <c r="L24" i="50"/>
  <c r="L23" i="50"/>
  <c r="L20" i="50"/>
  <c r="L18" i="50"/>
  <c r="L19" i="50"/>
  <c r="L21" i="50"/>
  <c r="L22" i="50"/>
  <c r="L8" i="50"/>
  <c r="L13" i="50" s="1"/>
  <c r="L16" i="50"/>
  <c r="L17" i="50"/>
  <c r="F46" i="94"/>
  <c r="G45" i="94"/>
  <c r="D44" i="94"/>
  <c r="G43" i="94"/>
  <c r="E43" i="94"/>
  <c r="E47" i="94"/>
  <c r="E46" i="94"/>
  <c r="F45" i="94"/>
  <c r="G44" i="94"/>
  <c r="F43" i="94"/>
  <c r="D43" i="94"/>
  <c r="AC27" i="94"/>
  <c r="AC29" i="94" s="1"/>
  <c r="AC37" i="94"/>
  <c r="AC25" i="94"/>
  <c r="AC23" i="94"/>
  <c r="Y27" i="94"/>
  <c r="Y29" i="94" s="1"/>
  <c r="Y37" i="94"/>
  <c r="Y25" i="94"/>
  <c r="Y23" i="94"/>
  <c r="U27" i="94"/>
  <c r="U29" i="94" s="1"/>
  <c r="U37" i="94"/>
  <c r="U25" i="94"/>
  <c r="U23" i="94"/>
  <c r="Q27" i="94"/>
  <c r="Q29" i="94" s="1"/>
  <c r="Q37" i="94"/>
  <c r="Q25" i="94"/>
  <c r="Q23" i="94"/>
  <c r="O27" i="94"/>
  <c r="O29" i="94" s="1"/>
  <c r="O37" i="94"/>
  <c r="O25" i="94"/>
  <c r="M27" i="94"/>
  <c r="M29" i="94" s="1"/>
  <c r="M37" i="94"/>
  <c r="M25" i="94"/>
  <c r="AF25" i="94"/>
  <c r="AF37" i="94"/>
  <c r="AF27" i="94"/>
  <c r="AF29" i="94" s="1"/>
  <c r="AF23" i="94"/>
  <c r="AB25" i="94"/>
  <c r="AB37" i="94"/>
  <c r="AB27" i="94"/>
  <c r="AB29" i="94" s="1"/>
  <c r="AB23" i="94"/>
  <c r="X25" i="94"/>
  <c r="X37" i="94"/>
  <c r="X27" i="94"/>
  <c r="X29" i="94" s="1"/>
  <c r="X23" i="94"/>
  <c r="T25" i="94"/>
  <c r="T37" i="94"/>
  <c r="T27" i="94"/>
  <c r="T29" i="94" s="1"/>
  <c r="T23" i="94"/>
  <c r="P25" i="94"/>
  <c r="P37" i="94"/>
  <c r="P27" i="94"/>
  <c r="P29" i="94" s="1"/>
  <c r="P23" i="94"/>
  <c r="N25" i="94"/>
  <c r="N37" i="94"/>
  <c r="N27" i="94"/>
  <c r="N29" i="94" s="1"/>
  <c r="L25" i="94"/>
  <c r="L37" i="94"/>
  <c r="L27" i="94"/>
  <c r="L29" i="94" s="1"/>
  <c r="AE25" i="94"/>
  <c r="AE37" i="94"/>
  <c r="AE23" i="94"/>
  <c r="AE27" i="94"/>
  <c r="AE29" i="94" s="1"/>
  <c r="AA27" i="94"/>
  <c r="AA29" i="94" s="1"/>
  <c r="AA37" i="94"/>
  <c r="AA23" i="94"/>
  <c r="AA25" i="94"/>
  <c r="W27" i="94"/>
  <c r="W29" i="94" s="1"/>
  <c r="W37" i="94"/>
  <c r="W23" i="94"/>
  <c r="W25" i="94"/>
  <c r="S27" i="94"/>
  <c r="S29" i="94" s="1"/>
  <c r="S37" i="94"/>
  <c r="S23" i="94"/>
  <c r="S25" i="94"/>
  <c r="AD25" i="94"/>
  <c r="AD37" i="94"/>
  <c r="AD23" i="94"/>
  <c r="AD27" i="94"/>
  <c r="AD29" i="94" s="1"/>
  <c r="Z25" i="94"/>
  <c r="Z37" i="94"/>
  <c r="Z23" i="94"/>
  <c r="Z27" i="94"/>
  <c r="Z29" i="94" s="1"/>
  <c r="V25" i="94"/>
  <c r="V37" i="94"/>
  <c r="V23" i="94"/>
  <c r="V27" i="94"/>
  <c r="V29" i="94" s="1"/>
  <c r="R25" i="94"/>
  <c r="R37" i="94"/>
  <c r="R23" i="94"/>
  <c r="R27" i="94"/>
  <c r="R29" i="94" s="1"/>
  <c r="G8" i="159" l="1"/>
  <c r="G17" i="159"/>
  <c r="G18" i="159" s="1"/>
  <c r="E15" i="160"/>
  <c r="D13" i="160"/>
  <c r="F13" i="160"/>
  <c r="D36" i="52"/>
  <c r="D33" i="52"/>
  <c r="G36" i="52"/>
  <c r="G33" i="52"/>
  <c r="E36" i="52"/>
  <c r="E37" i="52" s="1"/>
  <c r="E33" i="52"/>
  <c r="F36" i="52"/>
  <c r="F37" i="52" s="1"/>
  <c r="F33" i="52"/>
  <c r="I39" i="52"/>
  <c r="J39" i="52" s="1"/>
  <c r="D37" i="52"/>
  <c r="J30" i="52"/>
  <c r="I30" i="52"/>
  <c r="D8" i="50"/>
  <c r="D13" i="50" s="1"/>
  <c r="D27" i="50"/>
  <c r="D26" i="50"/>
  <c r="D25" i="50"/>
  <c r="D24" i="50"/>
  <c r="D23" i="50"/>
  <c r="D22" i="50"/>
  <c r="D21" i="50"/>
  <c r="D20" i="50"/>
  <c r="D19" i="50"/>
  <c r="D18" i="50"/>
  <c r="D17" i="50"/>
  <c r="D16" i="50"/>
  <c r="E8" i="50"/>
  <c r="E27" i="50"/>
  <c r="E26" i="50"/>
  <c r="E25" i="50"/>
  <c r="E24" i="50"/>
  <c r="E23" i="50"/>
  <c r="E22" i="50"/>
  <c r="E21" i="50"/>
  <c r="E20" i="50"/>
  <c r="E19" i="50"/>
  <c r="E18" i="50"/>
  <c r="E17" i="50"/>
  <c r="E16" i="50"/>
  <c r="F8" i="50"/>
  <c r="F13" i="50" s="1"/>
  <c r="F27" i="50"/>
  <c r="F26" i="50"/>
  <c r="F25" i="50"/>
  <c r="F24" i="50"/>
  <c r="F23" i="50"/>
  <c r="F22" i="50"/>
  <c r="F21" i="50"/>
  <c r="F20" i="50"/>
  <c r="F19" i="50"/>
  <c r="F18" i="50"/>
  <c r="F17" i="50"/>
  <c r="F16" i="50"/>
  <c r="G8" i="50"/>
  <c r="G27" i="50"/>
  <c r="G26" i="50"/>
  <c r="G25" i="50"/>
  <c r="G24" i="50"/>
  <c r="G23" i="50"/>
  <c r="G22" i="50"/>
  <c r="G21" i="50"/>
  <c r="G20" i="50"/>
  <c r="G19" i="50"/>
  <c r="G18" i="50"/>
  <c r="G17" i="50"/>
  <c r="G16" i="50"/>
  <c r="R38" i="94"/>
  <c r="U44" i="65"/>
  <c r="R47" i="65"/>
  <c r="V38" i="94"/>
  <c r="Y44" i="65"/>
  <c r="V47" i="65"/>
  <c r="Z38" i="94"/>
  <c r="AC44" i="65"/>
  <c r="Z47" i="65"/>
  <c r="AD38" i="94"/>
  <c r="AD47" i="65"/>
  <c r="S38" i="94"/>
  <c r="S47" i="65"/>
  <c r="V44" i="65"/>
  <c r="W38" i="94"/>
  <c r="W47" i="65"/>
  <c r="Z44" i="65"/>
  <c r="AA38" i="94"/>
  <c r="AA47" i="65"/>
  <c r="AD44" i="65"/>
  <c r="L38" i="94"/>
  <c r="L47" i="65"/>
  <c r="M38" i="94"/>
  <c r="M47" i="65"/>
  <c r="P44" i="65"/>
  <c r="E13" i="50"/>
  <c r="G13" i="50"/>
  <c r="AE38" i="94"/>
  <c r="AE47" i="65"/>
  <c r="N38" i="94"/>
  <c r="Q44" i="65"/>
  <c r="N47" i="65"/>
  <c r="P38" i="94"/>
  <c r="S44" i="65"/>
  <c r="P47" i="65"/>
  <c r="T38" i="94"/>
  <c r="W44" i="65"/>
  <c r="T47" i="65"/>
  <c r="X38" i="94"/>
  <c r="AA44" i="65"/>
  <c r="X47" i="65"/>
  <c r="AB38" i="94"/>
  <c r="AE44" i="65"/>
  <c r="AB47" i="65"/>
  <c r="AF38" i="94"/>
  <c r="AF47" i="65"/>
  <c r="O38" i="94"/>
  <c r="O47" i="65"/>
  <c r="R44" i="65"/>
  <c r="Q38" i="94"/>
  <c r="Q47" i="65"/>
  <c r="T44" i="65"/>
  <c r="U38" i="94"/>
  <c r="U47" i="65"/>
  <c r="X44" i="65"/>
  <c r="Y38" i="94"/>
  <c r="Y47" i="65"/>
  <c r="AB44" i="65"/>
  <c r="AC38" i="94"/>
  <c r="AC47" i="65"/>
  <c r="AF44" i="65"/>
  <c r="R30" i="94"/>
  <c r="V30" i="94"/>
  <c r="Z30" i="94"/>
  <c r="AD30" i="94"/>
  <c r="AE30" i="94"/>
  <c r="L30" i="94"/>
  <c r="M30" i="94"/>
  <c r="S30" i="94"/>
  <c r="W30" i="94"/>
  <c r="AA30" i="94"/>
  <c r="N30" i="94"/>
  <c r="P30" i="94"/>
  <c r="T30" i="94"/>
  <c r="X30" i="94"/>
  <c r="AB30" i="94"/>
  <c r="AF30" i="94"/>
  <c r="O30" i="94"/>
  <c r="Q30" i="94"/>
  <c r="U30" i="94"/>
  <c r="Y30" i="94"/>
  <c r="AC30" i="94"/>
  <c r="M1" i="94"/>
  <c r="N1" i="94" s="1"/>
  <c r="O1" i="94" s="1"/>
  <c r="P1" i="94" s="1"/>
  <c r="Q1" i="94" s="1"/>
  <c r="R1" i="94" s="1"/>
  <c r="S1" i="94" s="1"/>
  <c r="T1" i="94" s="1"/>
  <c r="U1" i="94" s="1"/>
  <c r="V1" i="94" s="1"/>
  <c r="W1" i="94" s="1"/>
  <c r="X1" i="94" s="1"/>
  <c r="Y1" i="94" s="1"/>
  <c r="Z1" i="94" s="1"/>
  <c r="AA1" i="94" s="1"/>
  <c r="AB1" i="94" s="1"/>
  <c r="AC1" i="94" s="1"/>
  <c r="AD1" i="94" s="1"/>
  <c r="AE1" i="94" s="1"/>
  <c r="AF1" i="94" s="1"/>
  <c r="AG1" i="94" s="1"/>
  <c r="AH1" i="94" s="1"/>
  <c r="AI1" i="94" s="1"/>
  <c r="AJ1" i="94" s="1"/>
  <c r="AK1" i="94" s="1"/>
  <c r="AL1" i="94" s="1"/>
  <c r="AM1" i="94" s="1"/>
  <c r="AN1" i="94" s="1"/>
  <c r="AO1" i="94" s="1"/>
  <c r="AP1" i="94" s="1"/>
  <c r="AQ1" i="94" s="1"/>
  <c r="C13" i="160" l="1"/>
  <c r="C15" i="160" s="1"/>
  <c r="C25" i="160" s="1"/>
  <c r="D15" i="160"/>
  <c r="D25" i="160" s="1"/>
  <c r="G13" i="160"/>
  <c r="G15" i="160" s="1"/>
  <c r="G25" i="160" s="1"/>
  <c r="F15" i="160"/>
  <c r="F25" i="160" s="1"/>
  <c r="E25" i="160"/>
  <c r="J41" i="160"/>
  <c r="H36" i="52"/>
  <c r="G37" i="52"/>
  <c r="C47" i="65"/>
  <c r="F44" i="65"/>
  <c r="D44" i="65"/>
  <c r="F47" i="65"/>
  <c r="D47" i="65"/>
  <c r="G44" i="65"/>
  <c r="E44" i="65"/>
  <c r="G47" i="65"/>
  <c r="E47" i="65"/>
  <c r="AC32" i="94"/>
  <c r="AC34" i="94" s="1"/>
  <c r="AC8" i="46"/>
  <c r="Y32" i="94"/>
  <c r="Y34" i="94" s="1"/>
  <c r="Y8" i="46"/>
  <c r="U32" i="94"/>
  <c r="U34" i="94" s="1"/>
  <c r="U8" i="46"/>
  <c r="Q32" i="94"/>
  <c r="Q34" i="94" s="1"/>
  <c r="Q8" i="46"/>
  <c r="O32" i="94"/>
  <c r="O34" i="94" s="1"/>
  <c r="O8" i="46"/>
  <c r="AF32" i="94"/>
  <c r="AF34" i="94" s="1"/>
  <c r="AF8" i="46"/>
  <c r="AB32" i="94"/>
  <c r="AB34" i="94" s="1"/>
  <c r="AB8" i="46"/>
  <c r="X32" i="94"/>
  <c r="X34" i="94" s="1"/>
  <c r="X8" i="46"/>
  <c r="T32" i="94"/>
  <c r="T34" i="94" s="1"/>
  <c r="T8" i="46"/>
  <c r="P32" i="94"/>
  <c r="P34" i="94" s="1"/>
  <c r="P8" i="46"/>
  <c r="N32" i="94"/>
  <c r="N34" i="94" s="1"/>
  <c r="N8" i="46"/>
  <c r="AA32" i="94"/>
  <c r="AA34" i="94" s="1"/>
  <c r="AA8" i="46"/>
  <c r="W32" i="94"/>
  <c r="W34" i="94" s="1"/>
  <c r="W8" i="46"/>
  <c r="S32" i="94"/>
  <c r="S34" i="94" s="1"/>
  <c r="S8" i="46"/>
  <c r="M32" i="94"/>
  <c r="M34" i="94" s="1"/>
  <c r="M8" i="46"/>
  <c r="L32" i="94"/>
  <c r="L34" i="94" s="1"/>
  <c r="L8" i="46"/>
  <c r="AE32" i="94"/>
  <c r="AE34" i="94" s="1"/>
  <c r="AE8" i="46"/>
  <c r="AD32" i="94"/>
  <c r="AD34" i="94" s="1"/>
  <c r="AD8" i="46"/>
  <c r="Z32" i="94"/>
  <c r="Z34" i="94" s="1"/>
  <c r="Z8" i="46"/>
  <c r="V32" i="94"/>
  <c r="V34" i="94" s="1"/>
  <c r="V8" i="46"/>
  <c r="R32" i="94"/>
  <c r="R34" i="94" s="1"/>
  <c r="R8" i="46"/>
  <c r="K41" i="160" l="1"/>
  <c r="J43" i="160"/>
  <c r="J44" i="160" s="1"/>
  <c r="F34" i="160"/>
  <c r="F35" i="160" s="1"/>
  <c r="F31" i="160"/>
  <c r="F33" i="160" s="1"/>
  <c r="D34" i="160"/>
  <c r="D35" i="160" s="1"/>
  <c r="D31" i="160"/>
  <c r="D33" i="160" s="1"/>
  <c r="E34" i="160"/>
  <c r="E35" i="160" s="1"/>
  <c r="E31" i="160"/>
  <c r="E33" i="160" s="1"/>
  <c r="G34" i="160"/>
  <c r="G35" i="160" s="1"/>
  <c r="G31" i="160"/>
  <c r="G33" i="160" s="1"/>
  <c r="C34" i="160"/>
  <c r="C35" i="160" s="1"/>
  <c r="C31" i="160"/>
  <c r="C33" i="160" s="1"/>
  <c r="H32" i="52"/>
  <c r="H33" i="52" s="1"/>
  <c r="I36" i="52"/>
  <c r="C36" i="160" l="1"/>
  <c r="G36" i="160"/>
  <c r="E36" i="160"/>
  <c r="D36" i="160"/>
  <c r="F36" i="160"/>
  <c r="L41" i="160"/>
  <c r="L43" i="160" s="1"/>
  <c r="K43" i="160"/>
  <c r="K44" i="160" s="1"/>
  <c r="I32" i="52"/>
  <c r="I33" i="52" s="1"/>
  <c r="J36" i="52"/>
  <c r="J32" i="52" s="1"/>
  <c r="L44" i="160" l="1"/>
  <c r="J33" i="52"/>
  <c r="D6" i="50" l="1"/>
  <c r="E6" i="50" s="1"/>
  <c r="F6" i="50" s="1"/>
  <c r="G6" i="50" s="1"/>
  <c r="H6" i="50" s="1"/>
  <c r="I6" i="50" s="1"/>
  <c r="J6" i="50" s="1"/>
  <c r="D6" i="47"/>
  <c r="E6" i="47" l="1"/>
  <c r="D6" i="94"/>
  <c r="E6" i="94" l="1"/>
  <c r="F6" i="94" l="1"/>
  <c r="G6" i="94" l="1"/>
  <c r="H6" i="94" l="1"/>
  <c r="I6" i="94" l="1"/>
  <c r="J6" i="94" l="1"/>
  <c r="D15" i="65" l="1"/>
  <c r="D19" i="65" l="1"/>
  <c r="D49" i="65" s="1"/>
  <c r="D43" i="166"/>
  <c r="D46" i="166" s="1"/>
  <c r="D45" i="65"/>
  <c r="D46" i="65" l="1"/>
  <c r="E46" i="65"/>
  <c r="E22" i="94" l="1"/>
  <c r="F22" i="94"/>
  <c r="G22" i="94"/>
  <c r="C7" i="94"/>
  <c r="H8" i="155" s="1"/>
  <c r="P8" i="94"/>
  <c r="I9" i="155" l="1"/>
  <c r="F37" i="94"/>
  <c r="F10" i="166"/>
  <c r="G37" i="94"/>
  <c r="G10" i="166"/>
  <c r="E37" i="94"/>
  <c r="E10" i="166"/>
  <c r="C28" i="50"/>
  <c r="C44" i="94"/>
  <c r="C43" i="94"/>
  <c r="C45" i="94"/>
  <c r="C46" i="94"/>
  <c r="C47" i="94"/>
  <c r="D8" i="94"/>
  <c r="C16" i="94"/>
  <c r="G23" i="94"/>
  <c r="C36" i="94"/>
  <c r="G27" i="94"/>
  <c r="G25" i="94"/>
  <c r="L10" i="155" s="1"/>
  <c r="F27" i="94"/>
  <c r="F25" i="94"/>
  <c r="K10" i="155" s="1"/>
  <c r="F23" i="94"/>
  <c r="E27" i="94"/>
  <c r="E25" i="94"/>
  <c r="J10" i="155" s="1"/>
  <c r="K11" i="155" l="1"/>
  <c r="K12" i="155"/>
  <c r="L11" i="155"/>
  <c r="L12" i="155"/>
  <c r="J12" i="155"/>
  <c r="F38" i="94"/>
  <c r="F33" i="166"/>
  <c r="G38" i="94"/>
  <c r="G33" i="166"/>
  <c r="E38" i="166"/>
  <c r="E40" i="166" s="1"/>
  <c r="E47" i="166" s="1"/>
  <c r="E12" i="166"/>
  <c r="G38" i="166"/>
  <c r="G40" i="166" s="1"/>
  <c r="G47" i="166" s="1"/>
  <c r="G12" i="166"/>
  <c r="F38" i="166"/>
  <c r="F40" i="166" s="1"/>
  <c r="F47" i="166" s="1"/>
  <c r="F12" i="166"/>
  <c r="E38" i="94"/>
  <c r="E33" i="166"/>
  <c r="C8" i="50"/>
  <c r="C13" i="50" s="1"/>
  <c r="C26" i="50"/>
  <c r="C24" i="50"/>
  <c r="C22" i="50"/>
  <c r="C20" i="50"/>
  <c r="C18" i="50"/>
  <c r="C16" i="50"/>
  <c r="C27" i="50"/>
  <c r="C25" i="50"/>
  <c r="C23" i="50"/>
  <c r="C21" i="50"/>
  <c r="C19" i="50"/>
  <c r="C17" i="50"/>
  <c r="F32" i="94"/>
  <c r="F34" i="94" s="1"/>
  <c r="K13" i="155" s="1"/>
  <c r="F8" i="46"/>
  <c r="F14" i="46" s="1"/>
  <c r="G32" i="94"/>
  <c r="G34" i="94" s="1"/>
  <c r="L13" i="155" s="1"/>
  <c r="G8" i="46"/>
  <c r="G14" i="46" s="1"/>
  <c r="E29" i="94"/>
  <c r="E6" i="166" s="1"/>
  <c r="E8" i="166" s="1"/>
  <c r="E30" i="94"/>
  <c r="E14" i="166" s="1"/>
  <c r="D22" i="94"/>
  <c r="C22" i="94"/>
  <c r="L19" i="155" l="1"/>
  <c r="L14" i="155"/>
  <c r="D37" i="94"/>
  <c r="D10" i="166"/>
  <c r="E34" i="166"/>
  <c r="E35" i="166"/>
  <c r="F15" i="166"/>
  <c r="F28" i="166" s="1"/>
  <c r="F27" i="166"/>
  <c r="G15" i="166"/>
  <c r="G28" i="166" s="1"/>
  <c r="G27" i="166"/>
  <c r="E15" i="166"/>
  <c r="E28" i="166" s="1"/>
  <c r="E27" i="166"/>
  <c r="G34" i="166"/>
  <c r="G35" i="166"/>
  <c r="F34" i="166"/>
  <c r="F35" i="166"/>
  <c r="C37" i="94"/>
  <c r="C10" i="166"/>
  <c r="G18" i="46"/>
  <c r="G29" i="46"/>
  <c r="G31" i="46" s="1"/>
  <c r="L15" i="155" s="1"/>
  <c r="F18" i="46"/>
  <c r="F29" i="46"/>
  <c r="F31" i="46" s="1"/>
  <c r="K15" i="155" s="1"/>
  <c r="E32" i="94"/>
  <c r="E34" i="94" s="1"/>
  <c r="J13" i="155" s="1"/>
  <c r="K14" i="155" s="1"/>
  <c r="E8" i="46"/>
  <c r="E14" i="46" s="1"/>
  <c r="D25" i="94"/>
  <c r="I10" i="155" s="1"/>
  <c r="D27" i="94"/>
  <c r="E23" i="94"/>
  <c r="C27" i="94"/>
  <c r="C25" i="94"/>
  <c r="H10" i="155" s="1"/>
  <c r="H12" i="155" s="1"/>
  <c r="D23" i="94"/>
  <c r="I11" i="155" l="1"/>
  <c r="I12" i="155"/>
  <c r="J11" i="155"/>
  <c r="D38" i="94"/>
  <c r="D33" i="166"/>
  <c r="D38" i="166"/>
  <c r="D40" i="166" s="1"/>
  <c r="D47" i="166" s="1"/>
  <c r="D12" i="166"/>
  <c r="C38" i="166"/>
  <c r="C40" i="166" s="1"/>
  <c r="C47" i="166" s="1"/>
  <c r="C12" i="166"/>
  <c r="C38" i="94"/>
  <c r="C33" i="166"/>
  <c r="E18" i="46"/>
  <c r="E29" i="46"/>
  <c r="E31" i="46" s="1"/>
  <c r="J15" i="155" s="1"/>
  <c r="D30" i="94"/>
  <c r="D14" i="166" s="1"/>
  <c r="D29" i="94"/>
  <c r="D6" i="166" s="1"/>
  <c r="D8" i="166" s="1"/>
  <c r="C30" i="94"/>
  <c r="C14" i="166" s="1"/>
  <c r="C29" i="94"/>
  <c r="C6" i="166" s="1"/>
  <c r="C8" i="166" s="1"/>
  <c r="AG12" i="94"/>
  <c r="AG28" i="50" s="1"/>
  <c r="D15" i="166" l="1"/>
  <c r="D28" i="166" s="1"/>
  <c r="D27" i="166"/>
  <c r="D34" i="166"/>
  <c r="D35" i="166"/>
  <c r="C34" i="166"/>
  <c r="C35" i="166"/>
  <c r="C15" i="166"/>
  <c r="C28" i="166" s="1"/>
  <c r="C27" i="166"/>
  <c r="AG16" i="50"/>
  <c r="AG20" i="50"/>
  <c r="AG8" i="50"/>
  <c r="AG13" i="50" s="1"/>
  <c r="AG19" i="50"/>
  <c r="AG23" i="50"/>
  <c r="AG18" i="50"/>
  <c r="AG22" i="50"/>
  <c r="AG17" i="50"/>
  <c r="AG21" i="50"/>
  <c r="AG46" i="94"/>
  <c r="AG44" i="94"/>
  <c r="AG47" i="94"/>
  <c r="AG45" i="94"/>
  <c r="AG43" i="94"/>
  <c r="C32" i="94"/>
  <c r="C34" i="94" s="1"/>
  <c r="H13" i="155" s="1"/>
  <c r="C8" i="46"/>
  <c r="C14" i="46" s="1"/>
  <c r="D32" i="94"/>
  <c r="D34" i="94" s="1"/>
  <c r="I13" i="155" s="1"/>
  <c r="D8" i="46"/>
  <c r="D14" i="46" s="1"/>
  <c r="AG16" i="94"/>
  <c r="AG8" i="94"/>
  <c r="I14" i="155" l="1"/>
  <c r="J14" i="155"/>
  <c r="D18" i="46"/>
  <c r="D29" i="46"/>
  <c r="D31" i="46" s="1"/>
  <c r="I15" i="155" s="1"/>
  <c r="C18" i="46"/>
  <c r="C29" i="46"/>
  <c r="C31" i="46" s="1"/>
  <c r="H15" i="155" s="1"/>
  <c r="AG36" i="94"/>
  <c r="AG22" i="94"/>
  <c r="H26" i="46" l="1"/>
  <c r="C7" i="47" s="1"/>
  <c r="AG25" i="94"/>
  <c r="AG37" i="94"/>
  <c r="AG27" i="94"/>
  <c r="AG29" i="94" s="1"/>
  <c r="H17" i="159" s="1"/>
  <c r="H18" i="159" s="1"/>
  <c r="AG23" i="94"/>
  <c r="I7" i="159" l="1"/>
  <c r="H8" i="159"/>
  <c r="AG38" i="94"/>
  <c r="AG47" i="65"/>
  <c r="E19" i="155" s="1"/>
  <c r="AG44" i="65"/>
  <c r="E18" i="155" s="1"/>
  <c r="AG30" i="94"/>
  <c r="AG32" i="94" l="1"/>
  <c r="AG8" i="46"/>
  <c r="AG34" i="94" l="1"/>
  <c r="AI21" i="65" l="1"/>
  <c r="H21" i="65" s="1"/>
  <c r="AJ21" i="65" l="1"/>
  <c r="AK21" i="65" l="1"/>
  <c r="AL21" i="65" l="1"/>
  <c r="AM21" i="65" l="1"/>
  <c r="AN21" i="65" l="1"/>
  <c r="I21" i="65"/>
  <c r="AO21" i="65" l="1"/>
  <c r="AP21" i="65" l="1"/>
  <c r="AQ21" i="65" l="1"/>
  <c r="J21" i="65" l="1"/>
  <c r="AH10" i="94"/>
  <c r="AH41" i="94" s="1"/>
  <c r="H9" i="94" l="1"/>
  <c r="I9" i="94"/>
  <c r="I10" i="94" s="1"/>
  <c r="J9" i="94"/>
  <c r="H10" i="94"/>
  <c r="AI10" i="94"/>
  <c r="AJ10" i="94"/>
  <c r="AJ41" i="94" s="1"/>
  <c r="AK10" i="94"/>
  <c r="AL10" i="94"/>
  <c r="AL41" i="94" s="1"/>
  <c r="AM10" i="94"/>
  <c r="AN10" i="94"/>
  <c r="AN41" i="94" s="1"/>
  <c r="AO10" i="94"/>
  <c r="AP10" i="94"/>
  <c r="AP41" i="94" s="1"/>
  <c r="AQ10" i="94"/>
  <c r="AI41" i="94"/>
  <c r="H41" i="94" s="1"/>
  <c r="AK41" i="94"/>
  <c r="AM41" i="94"/>
  <c r="AO41" i="94"/>
  <c r="AQ41" i="94"/>
  <c r="H40" i="52"/>
  <c r="I40" i="52"/>
  <c r="J40" i="52"/>
  <c r="L15" i="160"/>
  <c r="AH8" i="94"/>
  <c r="AH12" i="94"/>
  <c r="AH16" i="94"/>
  <c r="AH9" i="46"/>
  <c r="AH16" i="65" s="1"/>
  <c r="AH21" i="94"/>
  <c r="AH28" i="50"/>
  <c r="AH7" i="50" s="1"/>
  <c r="AH9" i="65" s="1"/>
  <c r="AH29" i="50"/>
  <c r="AH9" i="50" s="1"/>
  <c r="AH10" i="65" s="1"/>
  <c r="J10" i="94" l="1"/>
  <c r="K25" i="160"/>
  <c r="L25" i="160" s="1"/>
  <c r="J41" i="94"/>
  <c r="I41" i="94"/>
  <c r="AH22" i="94"/>
  <c r="AH36" i="94"/>
  <c r="AH11" i="50"/>
  <c r="AH23" i="65" s="1"/>
  <c r="AH11" i="65"/>
  <c r="AH13" i="65"/>
  <c r="AH26" i="65"/>
  <c r="AH28" i="65"/>
  <c r="AH32" i="65"/>
  <c r="AH12" i="65"/>
  <c r="AH25" i="65"/>
  <c r="AH27" i="65"/>
  <c r="AH29" i="65"/>
  <c r="AH33" i="65"/>
  <c r="AH35" i="65"/>
  <c r="AH34" i="65"/>
  <c r="AH23" i="94" l="1"/>
  <c r="AH25" i="94"/>
  <c r="AH38" i="94" s="1"/>
  <c r="AH37" i="94"/>
  <c r="AH10" i="46"/>
  <c r="AH13" i="46"/>
  <c r="AH30" i="65"/>
  <c r="AH11" i="46"/>
  <c r="AI7" i="94"/>
  <c r="AI8" i="94" s="1"/>
  <c r="AJ7" i="94"/>
  <c r="AJ28" i="50" s="1"/>
  <c r="AK7" i="94"/>
  <c r="AK8" i="94" s="1"/>
  <c r="AL7" i="94"/>
  <c r="AL28" i="50" s="1"/>
  <c r="AM7" i="94"/>
  <c r="AM8" i="94" s="1"/>
  <c r="AN7" i="94"/>
  <c r="AN28" i="50" s="1"/>
  <c r="AO7" i="94"/>
  <c r="AO16" i="94" s="1"/>
  <c r="AP7" i="94"/>
  <c r="AP28" i="50" s="1"/>
  <c r="AQ7" i="94"/>
  <c r="AQ16" i="94" s="1"/>
  <c r="AJ8" i="94"/>
  <c r="AL8" i="94"/>
  <c r="AN8" i="94"/>
  <c r="AP8" i="94"/>
  <c r="H11" i="94"/>
  <c r="H12" i="94" s="1"/>
  <c r="I11" i="94"/>
  <c r="J11" i="94"/>
  <c r="AI12" i="94"/>
  <c r="AJ12" i="94"/>
  <c r="AK12" i="94"/>
  <c r="AL12" i="94"/>
  <c r="AM12" i="94"/>
  <c r="AN12" i="94"/>
  <c r="AO12" i="94"/>
  <c r="AP12" i="94"/>
  <c r="AQ12" i="94"/>
  <c r="H14" i="94"/>
  <c r="H29" i="50" s="1"/>
  <c r="I14" i="94"/>
  <c r="I29" i="50" s="1"/>
  <c r="J14" i="94"/>
  <c r="J29" i="50" s="1"/>
  <c r="I15" i="94"/>
  <c r="AJ16" i="94"/>
  <c r="AL16" i="94"/>
  <c r="AL36" i="94" s="1"/>
  <c r="AN16" i="94"/>
  <c r="AP16" i="94"/>
  <c r="AP36" i="94" s="1"/>
  <c r="H17" i="94"/>
  <c r="I17" i="94"/>
  <c r="J17" i="94"/>
  <c r="H18" i="94"/>
  <c r="I18" i="94"/>
  <c r="J18" i="94"/>
  <c r="AI9" i="46"/>
  <c r="AI16" i="65" s="1"/>
  <c r="AJ9" i="46"/>
  <c r="AK9" i="46"/>
  <c r="AL9" i="46"/>
  <c r="AM9" i="46"/>
  <c r="AN9" i="46"/>
  <c r="AO9" i="46"/>
  <c r="AP9" i="46"/>
  <c r="AQ9" i="46"/>
  <c r="AI21" i="94"/>
  <c r="AJ21" i="94"/>
  <c r="AK21" i="94"/>
  <c r="AL21" i="94"/>
  <c r="AM21" i="94"/>
  <c r="AN21" i="94"/>
  <c r="AO21" i="94"/>
  <c r="AP21" i="94"/>
  <c r="AQ21" i="94"/>
  <c r="AJ22" i="94"/>
  <c r="AJ25" i="94" s="1"/>
  <c r="AJ38" i="94" s="1"/>
  <c r="AL22" i="94"/>
  <c r="AL37" i="94" s="1"/>
  <c r="AN22" i="94"/>
  <c r="AN23" i="94" s="1"/>
  <c r="AP22" i="94"/>
  <c r="AP23" i="94" s="1"/>
  <c r="AJ23" i="94"/>
  <c r="AL23" i="94"/>
  <c r="AJ36" i="94"/>
  <c r="AN36" i="94"/>
  <c r="AI29" i="50"/>
  <c r="AI9" i="50" s="1"/>
  <c r="AJ29" i="50"/>
  <c r="AJ11" i="50" s="1"/>
  <c r="AJ23" i="65" s="1"/>
  <c r="AK29" i="50"/>
  <c r="AK9" i="50" s="1"/>
  <c r="AK10" i="65" s="1"/>
  <c r="AL29" i="50"/>
  <c r="AL11" i="50" s="1"/>
  <c r="AL23" i="65" s="1"/>
  <c r="AM29" i="50"/>
  <c r="AM9" i="50" s="1"/>
  <c r="AN29" i="50"/>
  <c r="AN11" i="50" s="1"/>
  <c r="AN23" i="65" s="1"/>
  <c r="AO29" i="50"/>
  <c r="AO9" i="50" s="1"/>
  <c r="AO10" i="65" s="1"/>
  <c r="AP29" i="50"/>
  <c r="AP11" i="50" s="1"/>
  <c r="AP23" i="65" s="1"/>
  <c r="AQ29" i="50"/>
  <c r="AQ9" i="50" s="1"/>
  <c r="AK28" i="50" l="1"/>
  <c r="AN37" i="94"/>
  <c r="AJ37" i="94"/>
  <c r="AQ28" i="50"/>
  <c r="AO28" i="50"/>
  <c r="AO11" i="65" s="1"/>
  <c r="AM28" i="50"/>
  <c r="AM11" i="65" s="1"/>
  <c r="I11" i="65" s="1"/>
  <c r="AI28" i="50"/>
  <c r="AI11" i="65" s="1"/>
  <c r="H11" i="65" s="1"/>
  <c r="AL25" i="94"/>
  <c r="AL38" i="94" s="1"/>
  <c r="AP37" i="94"/>
  <c r="AP25" i="94"/>
  <c r="AP38" i="94" s="1"/>
  <c r="I12" i="94"/>
  <c r="AQ8" i="94"/>
  <c r="AQ22" i="94"/>
  <c r="AQ25" i="94" s="1"/>
  <c r="AQ38" i="94" s="1"/>
  <c r="AQ36" i="94"/>
  <c r="AO22" i="94"/>
  <c r="AO36" i="94"/>
  <c r="AN25" i="94"/>
  <c r="AN38" i="94" s="1"/>
  <c r="AM16" i="94"/>
  <c r="AK16" i="94"/>
  <c r="AI16" i="94"/>
  <c r="AI36" i="94" s="1"/>
  <c r="J12" i="94"/>
  <c r="AQ47" i="94"/>
  <c r="AQ45" i="94"/>
  <c r="AQ46" i="94"/>
  <c r="AQ44" i="94"/>
  <c r="AQ43" i="94"/>
  <c r="AO8" i="94"/>
  <c r="AO47" i="94"/>
  <c r="AO43" i="94"/>
  <c r="AO46" i="94"/>
  <c r="AO44" i="94"/>
  <c r="AO45" i="94"/>
  <c r="AM44" i="94"/>
  <c r="AM47" i="94"/>
  <c r="AM45" i="94"/>
  <c r="AM43" i="94"/>
  <c r="AM46" i="94"/>
  <c r="AK43" i="94"/>
  <c r="AK46" i="94"/>
  <c r="AK45" i="94"/>
  <c r="AK47" i="94"/>
  <c r="AK44" i="94"/>
  <c r="H7" i="94"/>
  <c r="M8" i="155" s="1"/>
  <c r="M9" i="155" s="1"/>
  <c r="AI44" i="94"/>
  <c r="AI46" i="94"/>
  <c r="AI45" i="94"/>
  <c r="AI47" i="94"/>
  <c r="AI43" i="94"/>
  <c r="AP43" i="94"/>
  <c r="AP45" i="94"/>
  <c r="AP47" i="94"/>
  <c r="AP44" i="94"/>
  <c r="AP46" i="94"/>
  <c r="AN47" i="94"/>
  <c r="AN43" i="94"/>
  <c r="AN44" i="94"/>
  <c r="AN46" i="94"/>
  <c r="AN45" i="94"/>
  <c r="AL45" i="94"/>
  <c r="AL44" i="94"/>
  <c r="AL47" i="94"/>
  <c r="AL46" i="94"/>
  <c r="AL43" i="94"/>
  <c r="AJ45" i="94"/>
  <c r="AJ44" i="94"/>
  <c r="AJ43" i="94"/>
  <c r="AJ46" i="94"/>
  <c r="AJ47" i="94"/>
  <c r="AO25" i="94"/>
  <c r="AO38" i="94" s="1"/>
  <c r="J7" i="94"/>
  <c r="O8" i="155" s="1"/>
  <c r="I7" i="94"/>
  <c r="N8" i="155" s="1"/>
  <c r="N9" i="155" s="1"/>
  <c r="AQ10" i="65"/>
  <c r="J10" i="65" s="1"/>
  <c r="J9" i="50"/>
  <c r="J10" i="50" s="1"/>
  <c r="AM10" i="65"/>
  <c r="I10" i="65" s="1"/>
  <c r="I9" i="50"/>
  <c r="I10" i="50" s="1"/>
  <c r="AI10" i="65"/>
  <c r="H10" i="65" s="1"/>
  <c r="H9" i="50"/>
  <c r="H10" i="50" s="1"/>
  <c r="AQ11" i="65"/>
  <c r="J11" i="65" s="1"/>
  <c r="AQ12" i="65"/>
  <c r="J12" i="65" s="1"/>
  <c r="AQ13" i="65"/>
  <c r="J13" i="65" s="1"/>
  <c r="AQ25" i="65"/>
  <c r="J25" i="65" s="1"/>
  <c r="AQ26" i="65"/>
  <c r="J26" i="65" s="1"/>
  <c r="AQ27" i="65"/>
  <c r="J27" i="65" s="1"/>
  <c r="AQ28" i="65"/>
  <c r="J28" i="65" s="1"/>
  <c r="AQ29" i="65"/>
  <c r="J29" i="65" s="1"/>
  <c r="AQ32" i="65"/>
  <c r="AQ33" i="65"/>
  <c r="J33" i="65" s="1"/>
  <c r="AQ34" i="65"/>
  <c r="J34" i="65" s="1"/>
  <c r="AQ35" i="65"/>
  <c r="J35" i="65" s="1"/>
  <c r="AO12" i="65"/>
  <c r="AO25" i="65"/>
  <c r="AO27" i="65"/>
  <c r="AO29" i="65"/>
  <c r="AO33" i="65"/>
  <c r="AO35" i="65"/>
  <c r="AM27" i="65"/>
  <c r="I27" i="65" s="1"/>
  <c r="AM28" i="65"/>
  <c r="I28" i="65" s="1"/>
  <c r="AM29" i="65"/>
  <c r="I29" i="65" s="1"/>
  <c r="AM32" i="65"/>
  <c r="AM33" i="65"/>
  <c r="I33" i="65" s="1"/>
  <c r="AM34" i="65"/>
  <c r="I34" i="65" s="1"/>
  <c r="AM35" i="65"/>
  <c r="I35" i="65" s="1"/>
  <c r="AK11" i="65"/>
  <c r="AK12" i="65"/>
  <c r="AK13" i="65"/>
  <c r="AK25" i="65"/>
  <c r="AK26" i="65"/>
  <c r="AK27" i="65"/>
  <c r="AK28" i="65"/>
  <c r="AK29" i="65"/>
  <c r="AK32" i="65"/>
  <c r="AK33" i="65"/>
  <c r="AK34" i="65"/>
  <c r="AK35" i="65"/>
  <c r="AQ11" i="50"/>
  <c r="AO11" i="50"/>
  <c r="AO23" i="65" s="1"/>
  <c r="AM11" i="50"/>
  <c r="AK11" i="50"/>
  <c r="AK23" i="65" s="1"/>
  <c r="AI11" i="50"/>
  <c r="AP9" i="50"/>
  <c r="AP10" i="65" s="1"/>
  <c r="AN9" i="50"/>
  <c r="AN10" i="65" s="1"/>
  <c r="AL9" i="50"/>
  <c r="AL10" i="65" s="1"/>
  <c r="AJ9" i="50"/>
  <c r="AJ10" i="65" s="1"/>
  <c r="AQ7" i="50"/>
  <c r="AM7" i="50"/>
  <c r="AK7" i="50"/>
  <c r="AK9" i="65" s="1"/>
  <c r="AI7" i="50"/>
  <c r="AP11" i="65"/>
  <c r="AP12" i="65"/>
  <c r="AP32" i="65"/>
  <c r="AP33" i="65"/>
  <c r="AP34" i="65"/>
  <c r="AP35" i="65"/>
  <c r="AP13" i="65"/>
  <c r="AP25" i="65"/>
  <c r="AP26" i="65"/>
  <c r="AP27" i="65"/>
  <c r="AP28" i="65"/>
  <c r="AP29" i="65"/>
  <c r="AN11" i="65"/>
  <c r="AN12" i="65"/>
  <c r="AN32" i="65"/>
  <c r="AN33" i="65"/>
  <c r="AN34" i="65"/>
  <c r="AN35" i="65"/>
  <c r="AN13" i="65"/>
  <c r="AN25" i="65"/>
  <c r="AN26" i="65"/>
  <c r="AN27" i="65"/>
  <c r="AN28" i="65"/>
  <c r="AN29" i="65"/>
  <c r="AL11" i="65"/>
  <c r="AL12" i="65"/>
  <c r="AL32" i="65"/>
  <c r="AL33" i="65"/>
  <c r="AL34" i="65"/>
  <c r="AL35" i="65"/>
  <c r="AL13" i="65"/>
  <c r="AL25" i="65"/>
  <c r="AL26" i="65"/>
  <c r="AL27" i="65"/>
  <c r="AL28" i="65"/>
  <c r="AL29" i="65"/>
  <c r="AJ11" i="65"/>
  <c r="AJ12" i="65"/>
  <c r="AJ32" i="65"/>
  <c r="AJ33" i="65"/>
  <c r="AJ34" i="65"/>
  <c r="AJ35" i="65"/>
  <c r="AJ13" i="65"/>
  <c r="AJ25" i="65"/>
  <c r="AJ26" i="65"/>
  <c r="AJ27" i="65"/>
  <c r="AJ28" i="65"/>
  <c r="AJ29" i="65"/>
  <c r="AP7" i="50"/>
  <c r="AP9" i="65" s="1"/>
  <c r="AN7" i="50"/>
  <c r="AN9" i="65" s="1"/>
  <c r="AL7" i="50"/>
  <c r="AL9" i="65" s="1"/>
  <c r="AJ7" i="50"/>
  <c r="AJ9" i="65" s="1"/>
  <c r="H16" i="65"/>
  <c r="H42" i="166" s="1"/>
  <c r="AJ16" i="65"/>
  <c r="J20" i="94"/>
  <c r="H20" i="94"/>
  <c r="J15" i="94"/>
  <c r="H15" i="94"/>
  <c r="I20" i="94"/>
  <c r="I8" i="94" l="1"/>
  <c r="I45" i="94"/>
  <c r="AI35" i="65"/>
  <c r="H35" i="65" s="1"/>
  <c r="AI33" i="65"/>
  <c r="H33" i="65" s="1"/>
  <c r="AM26" i="65"/>
  <c r="I26" i="65" s="1"/>
  <c r="H45" i="94"/>
  <c r="AI29" i="65"/>
  <c r="H29" i="65" s="1"/>
  <c r="AM25" i="65"/>
  <c r="I25" i="65" s="1"/>
  <c r="AI27" i="65"/>
  <c r="H27" i="65" s="1"/>
  <c r="AM13" i="65"/>
  <c r="I13" i="65" s="1"/>
  <c r="AI25" i="65"/>
  <c r="H25" i="65" s="1"/>
  <c r="AM12" i="65"/>
  <c r="I12" i="65" s="1"/>
  <c r="AI12" i="65"/>
  <c r="H12" i="65" s="1"/>
  <c r="H43" i="94"/>
  <c r="O9" i="155"/>
  <c r="H44" i="94"/>
  <c r="H8" i="94"/>
  <c r="I46" i="94"/>
  <c r="I16" i="94"/>
  <c r="I36" i="94" s="1"/>
  <c r="H46" i="94"/>
  <c r="AO7" i="50"/>
  <c r="AO9" i="65" s="1"/>
  <c r="AP10" i="46" s="1"/>
  <c r="AI34" i="65"/>
  <c r="H34" i="65" s="1"/>
  <c r="AI32" i="65"/>
  <c r="AJ13" i="46" s="1"/>
  <c r="AI28" i="65"/>
  <c r="H28" i="65" s="1"/>
  <c r="AI26" i="65"/>
  <c r="H26" i="65" s="1"/>
  <c r="AI13" i="65"/>
  <c r="H13" i="65" s="1"/>
  <c r="AO34" i="65"/>
  <c r="AO32" i="65"/>
  <c r="AO28" i="65"/>
  <c r="AO26" i="65"/>
  <c r="AO11" i="46" s="1"/>
  <c r="AO13" i="65"/>
  <c r="J46" i="94"/>
  <c r="I43" i="94"/>
  <c r="J44" i="94"/>
  <c r="J8" i="94"/>
  <c r="J45" i="94"/>
  <c r="AK10" i="46"/>
  <c r="AK22" i="94"/>
  <c r="AO23" i="94" s="1"/>
  <c r="AK36" i="94"/>
  <c r="AI22" i="94"/>
  <c r="AM22" i="94"/>
  <c r="AQ23" i="94" s="1"/>
  <c r="AM36" i="94"/>
  <c r="AO37" i="94"/>
  <c r="AQ37" i="94"/>
  <c r="J43" i="94"/>
  <c r="H28" i="50"/>
  <c r="H27" i="50" s="1"/>
  <c r="AJ30" i="65"/>
  <c r="AL30" i="65"/>
  <c r="AN30" i="65"/>
  <c r="AP30" i="65"/>
  <c r="I28" i="50"/>
  <c r="I27" i="50" s="1"/>
  <c r="J28" i="50"/>
  <c r="J27" i="50" s="1"/>
  <c r="I44" i="94"/>
  <c r="J16" i="94"/>
  <c r="I15" i="52"/>
  <c r="I9" i="46"/>
  <c r="I47" i="94"/>
  <c r="J9" i="46"/>
  <c r="J47" i="94"/>
  <c r="J15" i="52"/>
  <c r="AK16" i="65"/>
  <c r="AL13" i="46"/>
  <c r="AN13" i="46"/>
  <c r="AP13" i="46"/>
  <c r="I21" i="94"/>
  <c r="AI9" i="65"/>
  <c r="H7" i="50"/>
  <c r="AM9" i="65"/>
  <c r="I7" i="50"/>
  <c r="I8" i="50" s="1"/>
  <c r="AQ9" i="65"/>
  <c r="J9" i="65" s="1"/>
  <c r="J7" i="50"/>
  <c r="J8" i="50" s="1"/>
  <c r="AK30" i="65"/>
  <c r="AK11" i="46"/>
  <c r="AL11" i="46"/>
  <c r="H9" i="46"/>
  <c r="H47" i="94"/>
  <c r="H16" i="94"/>
  <c r="J36" i="94"/>
  <c r="H21" i="94"/>
  <c r="J21" i="94"/>
  <c r="J22" i="94" s="1"/>
  <c r="AL10" i="46"/>
  <c r="AI23" i="65"/>
  <c r="H11" i="50"/>
  <c r="H12" i="50" s="1"/>
  <c r="AM23" i="65"/>
  <c r="AN11" i="46" s="1"/>
  <c r="I11" i="50"/>
  <c r="I12" i="50" s="1"/>
  <c r="AQ23" i="65"/>
  <c r="J11" i="50"/>
  <c r="J12" i="50" s="1"/>
  <c r="AK13" i="46"/>
  <c r="I32" i="65"/>
  <c r="I24" i="50" s="1"/>
  <c r="AM13" i="46"/>
  <c r="AO13" i="46"/>
  <c r="J32" i="65"/>
  <c r="AQ13" i="46"/>
  <c r="AI13" i="46" l="1"/>
  <c r="H13" i="46" s="1"/>
  <c r="H8" i="50"/>
  <c r="I22" i="94"/>
  <c r="AO10" i="46"/>
  <c r="AO30" i="65"/>
  <c r="AP11" i="46"/>
  <c r="H32" i="65"/>
  <c r="AJ11" i="46"/>
  <c r="H26" i="50"/>
  <c r="H18" i="50"/>
  <c r="J24" i="50"/>
  <c r="H24" i="50"/>
  <c r="H16" i="50"/>
  <c r="H20" i="50"/>
  <c r="AM25" i="94"/>
  <c r="AM38" i="94" s="1"/>
  <c r="AM37" i="94"/>
  <c r="AM23" i="94"/>
  <c r="AI23" i="94"/>
  <c r="AI25" i="94"/>
  <c r="AI38" i="94" s="1"/>
  <c r="AI37" i="94"/>
  <c r="AK25" i="94"/>
  <c r="AK38" i="94" s="1"/>
  <c r="AK23" i="94"/>
  <c r="AK37" i="94"/>
  <c r="H22" i="50"/>
  <c r="H17" i="50"/>
  <c r="H21" i="50"/>
  <c r="H25" i="50"/>
  <c r="H19" i="50"/>
  <c r="H23" i="50"/>
  <c r="J18" i="50"/>
  <c r="J22" i="50"/>
  <c r="I16" i="50"/>
  <c r="I20" i="50"/>
  <c r="I26" i="50"/>
  <c r="J17" i="50"/>
  <c r="J21" i="50"/>
  <c r="J25" i="50"/>
  <c r="I17" i="50"/>
  <c r="I21" i="50"/>
  <c r="I25" i="50"/>
  <c r="J16" i="50"/>
  <c r="J20" i="50"/>
  <c r="J26" i="50"/>
  <c r="I18" i="50"/>
  <c r="I22" i="50"/>
  <c r="J19" i="50"/>
  <c r="J23" i="50"/>
  <c r="I19" i="50"/>
  <c r="I23" i="50"/>
  <c r="J37" i="94"/>
  <c r="J10" i="166"/>
  <c r="J23" i="94"/>
  <c r="J25" i="94"/>
  <c r="O10" i="155" s="1"/>
  <c r="I25" i="94"/>
  <c r="N10" i="155" s="1"/>
  <c r="I37" i="94"/>
  <c r="I10" i="166"/>
  <c r="I9" i="65"/>
  <c r="AN10" i="46"/>
  <c r="H9" i="65"/>
  <c r="AJ10" i="46"/>
  <c r="AI10" i="46"/>
  <c r="H10" i="46" s="1"/>
  <c r="J13" i="46"/>
  <c r="I13" i="46"/>
  <c r="AM10" i="46"/>
  <c r="AL16" i="65"/>
  <c r="I16" i="52"/>
  <c r="I17" i="52"/>
  <c r="AQ30" i="65"/>
  <c r="J23" i="65"/>
  <c r="J30" i="65" s="1"/>
  <c r="J45" i="166" s="1"/>
  <c r="AQ11" i="46"/>
  <c r="J11" i="46" s="1"/>
  <c r="I23" i="65"/>
  <c r="I30" i="65" s="1"/>
  <c r="I45" i="166" s="1"/>
  <c r="AM30" i="65"/>
  <c r="AM11" i="46"/>
  <c r="AI30" i="65"/>
  <c r="H23" i="65"/>
  <c r="H30" i="65" s="1"/>
  <c r="H45" i="166" s="1"/>
  <c r="AI11" i="46"/>
  <c r="H11" i="46" s="1"/>
  <c r="H36" i="94"/>
  <c r="H22" i="94"/>
  <c r="J13" i="50"/>
  <c r="I13" i="50"/>
  <c r="H13" i="50"/>
  <c r="AQ10" i="46"/>
  <c r="J17" i="52"/>
  <c r="J16" i="52"/>
  <c r="N12" i="155" l="1"/>
  <c r="O12" i="155"/>
  <c r="O11" i="155"/>
  <c r="I11" i="46"/>
  <c r="I18" i="52"/>
  <c r="K10" i="160"/>
  <c r="I10" i="46"/>
  <c r="J10" i="46"/>
  <c r="I38" i="166"/>
  <c r="I33" i="166"/>
  <c r="I38" i="94"/>
  <c r="J18" i="52"/>
  <c r="L10" i="160"/>
  <c r="H37" i="94"/>
  <c r="H10" i="166"/>
  <c r="H23" i="94"/>
  <c r="H25" i="94"/>
  <c r="M10" i="155" s="1"/>
  <c r="AM16" i="65"/>
  <c r="I23" i="94"/>
  <c r="J38" i="94"/>
  <c r="J33" i="166"/>
  <c r="J38" i="166"/>
  <c r="M12" i="155" l="1"/>
  <c r="M11" i="155"/>
  <c r="N11" i="155"/>
  <c r="AN16" i="65"/>
  <c r="I16" i="65"/>
  <c r="I42" i="166" s="1"/>
  <c r="H38" i="94"/>
  <c r="H33" i="166"/>
  <c r="H38" i="166"/>
  <c r="L20" i="160"/>
  <c r="L24" i="160" l="1"/>
  <c r="L26" i="160" s="1"/>
  <c r="L28" i="160" s="1"/>
  <c r="AO16" i="65"/>
  <c r="AP16" i="65" l="1"/>
  <c r="AQ16" i="65" l="1"/>
  <c r="J16" i="65" l="1"/>
  <c r="J42" i="166" s="1"/>
  <c r="H55" i="52"/>
  <c r="I55" i="52"/>
  <c r="J55" i="52"/>
  <c r="O28" i="52"/>
  <c r="N32" i="52"/>
  <c r="O32" i="52"/>
  <c r="H49" i="52"/>
  <c r="H50" i="52" s="1"/>
  <c r="I49" i="52"/>
  <c r="I50" i="52" s="1"/>
  <c r="J49" i="52"/>
  <c r="J50" i="52" s="1"/>
  <c r="H56" i="52"/>
  <c r="I56" i="52"/>
  <c r="J56" i="52"/>
  <c r="H57" i="52"/>
  <c r="I57" i="52"/>
  <c r="J57" i="52"/>
  <c r="H58" i="52"/>
  <c r="I58" i="52"/>
  <c r="J58" i="52"/>
  <c r="J16" i="160"/>
  <c r="K16" i="160"/>
  <c r="L16" i="160"/>
  <c r="L17" i="160" s="1"/>
  <c r="H15" i="52"/>
  <c r="H16" i="52" s="1"/>
  <c r="M28" i="52"/>
  <c r="N28" i="52"/>
  <c r="M32" i="52"/>
  <c r="J15" i="160"/>
  <c r="K15" i="160"/>
  <c r="K20" i="160" s="1"/>
  <c r="J51" i="52" l="1"/>
  <c r="J52" i="52" s="1"/>
  <c r="H51" i="52"/>
  <c r="I51" i="52"/>
  <c r="I52" i="52" s="1"/>
  <c r="J17" i="160"/>
  <c r="P28" i="52"/>
  <c r="K17" i="160"/>
  <c r="K24" i="160"/>
  <c r="K26" i="160" s="1"/>
  <c r="K28" i="160" s="1"/>
  <c r="H17" i="52"/>
  <c r="K11" i="160" l="1"/>
  <c r="L11" i="160"/>
  <c r="H52" i="52"/>
  <c r="J11" i="160"/>
  <c r="J21" i="160" s="1"/>
  <c r="J30" i="160" s="1"/>
  <c r="J32" i="160" s="1"/>
  <c r="H18" i="52"/>
  <c r="J10" i="160"/>
  <c r="K12" i="160" l="1"/>
  <c r="K21" i="160"/>
  <c r="L12" i="160"/>
  <c r="L21" i="160"/>
  <c r="J12" i="160"/>
  <c r="J20" i="160"/>
  <c r="K30" i="160" l="1"/>
  <c r="K32" i="160" s="1"/>
  <c r="K34" i="160" s="1"/>
  <c r="K22" i="160"/>
  <c r="L30" i="160"/>
  <c r="L32" i="160" s="1"/>
  <c r="L34" i="160" s="1"/>
  <c r="L22" i="160"/>
  <c r="J24" i="160"/>
  <c r="J26" i="160" s="1"/>
  <c r="J28" i="160" s="1"/>
  <c r="J34" i="160" s="1"/>
  <c r="J22" i="160"/>
  <c r="H8" i="65"/>
  <c r="I8" i="65"/>
  <c r="J8" i="65"/>
  <c r="AH8" i="65"/>
  <c r="AI8" i="65"/>
  <c r="AJ8" i="65"/>
  <c r="AK8" i="65"/>
  <c r="AL8" i="65"/>
  <c r="AM8" i="65"/>
  <c r="AN8" i="65"/>
  <c r="AO8" i="65"/>
  <c r="AP8" i="65"/>
  <c r="AQ8" i="65"/>
  <c r="H15" i="65"/>
  <c r="I15" i="65"/>
  <c r="J15" i="65"/>
  <c r="AH15" i="65"/>
  <c r="AI15" i="65"/>
  <c r="AJ15" i="65"/>
  <c r="AK15" i="65"/>
  <c r="AL15" i="65"/>
  <c r="AM15" i="65"/>
  <c r="AN15" i="65"/>
  <c r="AO15" i="65"/>
  <c r="AP15" i="65"/>
  <c r="AQ15" i="65"/>
  <c r="H19" i="65"/>
  <c r="I19" i="65"/>
  <c r="J19" i="65"/>
  <c r="AH19" i="65"/>
  <c r="AI19" i="65"/>
  <c r="AJ19" i="65"/>
  <c r="AK19" i="65"/>
  <c r="AL19" i="65"/>
  <c r="AM19" i="65"/>
  <c r="AN19" i="65"/>
  <c r="AO19" i="65"/>
  <c r="AP19" i="65"/>
  <c r="AQ19" i="65"/>
  <c r="H31" i="65"/>
  <c r="I31" i="65"/>
  <c r="J31" i="65"/>
  <c r="AH31" i="65"/>
  <c r="AI31" i="65"/>
  <c r="AJ31" i="65"/>
  <c r="AK31" i="65"/>
  <c r="AL31" i="65"/>
  <c r="AM31" i="65"/>
  <c r="AN31" i="65"/>
  <c r="AO31" i="65"/>
  <c r="AP31" i="65"/>
  <c r="AQ31" i="65"/>
  <c r="H36" i="65"/>
  <c r="I36" i="65"/>
  <c r="J36" i="65"/>
  <c r="AH36" i="65"/>
  <c r="AI36" i="65"/>
  <c r="AJ36" i="65"/>
  <c r="AK36" i="65"/>
  <c r="AL36" i="65"/>
  <c r="AM36" i="65"/>
  <c r="AN36" i="65"/>
  <c r="AO36" i="65"/>
  <c r="AP36" i="65"/>
  <c r="AQ36" i="65"/>
  <c r="H37" i="65"/>
  <c r="I37" i="65"/>
  <c r="J37" i="65"/>
  <c r="AH37" i="65"/>
  <c r="AI37" i="65"/>
  <c r="AJ37" i="65"/>
  <c r="AK37" i="65"/>
  <c r="AL37" i="65"/>
  <c r="AM37" i="65"/>
  <c r="AN37" i="65"/>
  <c r="AO37" i="65"/>
  <c r="AP37" i="65"/>
  <c r="AQ37" i="65"/>
  <c r="H38" i="65"/>
  <c r="I38" i="65"/>
  <c r="J38" i="65"/>
  <c r="AH38" i="65"/>
  <c r="AI38" i="65"/>
  <c r="AJ38" i="65"/>
  <c r="AK38" i="65"/>
  <c r="AL38" i="65"/>
  <c r="AM38" i="65"/>
  <c r="AN38" i="65"/>
  <c r="AO38" i="65"/>
  <c r="AP38" i="65"/>
  <c r="AQ38" i="65"/>
  <c r="H40" i="65"/>
  <c r="I40" i="65"/>
  <c r="J40" i="65"/>
  <c r="AH40" i="65"/>
  <c r="AI40" i="65"/>
  <c r="AJ40" i="65"/>
  <c r="AK40" i="65"/>
  <c r="AL40" i="65"/>
  <c r="AM40" i="65"/>
  <c r="AN40" i="65"/>
  <c r="AO40" i="65"/>
  <c r="AP40" i="65"/>
  <c r="AQ40" i="65"/>
  <c r="H41" i="65"/>
  <c r="I41" i="65"/>
  <c r="J41" i="65"/>
  <c r="AH41" i="65"/>
  <c r="AI41" i="65"/>
  <c r="AJ41" i="65"/>
  <c r="AK41" i="65"/>
  <c r="AL41" i="65"/>
  <c r="AM41" i="65"/>
  <c r="AN41" i="65"/>
  <c r="AO41" i="65"/>
  <c r="AP41" i="65"/>
  <c r="AQ41" i="65"/>
  <c r="H42" i="65"/>
  <c r="I42" i="65"/>
  <c r="J42" i="65"/>
  <c r="AH42" i="65"/>
  <c r="AI42" i="65"/>
  <c r="AJ42" i="65"/>
  <c r="AK42" i="65"/>
  <c r="AL42" i="65"/>
  <c r="AM42" i="65"/>
  <c r="AN42" i="65"/>
  <c r="AO42" i="65"/>
  <c r="AP42" i="65"/>
  <c r="AQ42" i="65"/>
  <c r="H43" i="65"/>
  <c r="I43" i="65"/>
  <c r="J43" i="65"/>
  <c r="AH43" i="65"/>
  <c r="AI43" i="65"/>
  <c r="AJ43" i="65"/>
  <c r="AK43" i="65"/>
  <c r="AL43" i="65"/>
  <c r="AM43" i="65"/>
  <c r="AN43" i="65"/>
  <c r="AO43" i="65"/>
  <c r="AP43" i="65"/>
  <c r="AQ43" i="65"/>
  <c r="H44" i="65"/>
  <c r="I44" i="65"/>
  <c r="J44" i="65"/>
  <c r="AH44" i="65"/>
  <c r="AI44" i="65"/>
  <c r="AJ44" i="65"/>
  <c r="AK44" i="65"/>
  <c r="AL44" i="65"/>
  <c r="AM44" i="65"/>
  <c r="AN44" i="65"/>
  <c r="AO44" i="65"/>
  <c r="AP44" i="65"/>
  <c r="AQ44" i="65"/>
  <c r="H45" i="65"/>
  <c r="I45" i="65"/>
  <c r="J45" i="65"/>
  <c r="AH45" i="65"/>
  <c r="AI45" i="65"/>
  <c r="AJ45" i="65"/>
  <c r="AK45" i="65"/>
  <c r="AL45" i="65"/>
  <c r="AM45" i="65"/>
  <c r="AN45" i="65"/>
  <c r="AO45" i="65"/>
  <c r="AP45" i="65"/>
  <c r="AQ45" i="65"/>
  <c r="H46" i="65"/>
  <c r="I46" i="65"/>
  <c r="J46" i="65"/>
  <c r="AH46" i="65"/>
  <c r="AI46" i="65"/>
  <c r="AJ46" i="65"/>
  <c r="AK46" i="65"/>
  <c r="AL46" i="65"/>
  <c r="AM46" i="65"/>
  <c r="AN46" i="65"/>
  <c r="AO46" i="65"/>
  <c r="AP46" i="65"/>
  <c r="AQ46" i="65"/>
  <c r="H47" i="65"/>
  <c r="I47" i="65"/>
  <c r="J47" i="65"/>
  <c r="AH47" i="65"/>
  <c r="AI47" i="65"/>
  <c r="AJ47" i="65"/>
  <c r="AK47" i="65"/>
  <c r="AL47" i="65"/>
  <c r="AM47" i="65"/>
  <c r="AN47" i="65"/>
  <c r="AO47" i="65"/>
  <c r="AP47" i="65"/>
  <c r="AQ47" i="65"/>
  <c r="H49" i="65"/>
  <c r="I49" i="65"/>
  <c r="J49" i="65"/>
  <c r="AH49" i="65"/>
  <c r="AI49" i="65"/>
  <c r="AJ49" i="65"/>
  <c r="AK49" i="65"/>
  <c r="AL49" i="65"/>
  <c r="AM49" i="65"/>
  <c r="AN49" i="65"/>
  <c r="AO49" i="65"/>
  <c r="AP49" i="65"/>
  <c r="AQ49" i="65"/>
  <c r="H8" i="46"/>
  <c r="I8" i="46"/>
  <c r="J8" i="46"/>
  <c r="AH8" i="46"/>
  <c r="AI8" i="46"/>
  <c r="AJ8" i="46"/>
  <c r="AK8" i="46"/>
  <c r="AL8" i="46"/>
  <c r="AM8" i="46"/>
  <c r="AN8" i="46"/>
  <c r="AO8" i="46"/>
  <c r="AP8" i="46"/>
  <c r="AQ8" i="46"/>
  <c r="H14" i="46"/>
  <c r="I14" i="46"/>
  <c r="J14" i="46"/>
  <c r="AH14" i="46"/>
  <c r="AI14" i="46"/>
  <c r="AJ14" i="46"/>
  <c r="AK14" i="46"/>
  <c r="AL14" i="46"/>
  <c r="AM14" i="46"/>
  <c r="AN14" i="46"/>
  <c r="AO14" i="46"/>
  <c r="AP14" i="46"/>
  <c r="AQ14" i="46"/>
  <c r="H18" i="46"/>
  <c r="I18" i="46"/>
  <c r="J18" i="46"/>
  <c r="H20" i="46"/>
  <c r="I20" i="46"/>
  <c r="J20" i="46"/>
  <c r="AH20" i="46"/>
  <c r="AI20" i="46"/>
  <c r="AJ20" i="46"/>
  <c r="AK20" i="46"/>
  <c r="AL20" i="46"/>
  <c r="AM20" i="46"/>
  <c r="AN20" i="46"/>
  <c r="AO20" i="46"/>
  <c r="AP20" i="46"/>
  <c r="AQ20" i="46"/>
  <c r="H23" i="46"/>
  <c r="I23" i="46"/>
  <c r="J23" i="46"/>
  <c r="AH23" i="46"/>
  <c r="AI23" i="46"/>
  <c r="AJ23" i="46"/>
  <c r="AK23" i="46"/>
  <c r="AL23" i="46"/>
  <c r="AM23" i="46"/>
  <c r="AN23" i="46"/>
  <c r="AO23" i="46"/>
  <c r="AP23" i="46"/>
  <c r="AQ23" i="46"/>
  <c r="H25" i="46"/>
  <c r="I25" i="46"/>
  <c r="J25" i="46"/>
  <c r="AH25" i="46"/>
  <c r="AI25" i="46"/>
  <c r="AJ25" i="46"/>
  <c r="AK25" i="46"/>
  <c r="AL25" i="46"/>
  <c r="AM25" i="46"/>
  <c r="AN25" i="46"/>
  <c r="AO25" i="46"/>
  <c r="AP25" i="46"/>
  <c r="AQ25" i="46"/>
  <c r="I26" i="46"/>
  <c r="J26" i="46"/>
  <c r="AI26" i="46"/>
  <c r="AJ26" i="46"/>
  <c r="AK26" i="46"/>
  <c r="AL26" i="46"/>
  <c r="AM26" i="46"/>
  <c r="AN26" i="46"/>
  <c r="AO26" i="46"/>
  <c r="AP26" i="46"/>
  <c r="AQ26" i="46"/>
  <c r="H27" i="46"/>
  <c r="I27" i="46"/>
  <c r="J27" i="46"/>
  <c r="AH27" i="46"/>
  <c r="AI27" i="46"/>
  <c r="AJ27" i="46"/>
  <c r="AK27" i="46"/>
  <c r="AL27" i="46"/>
  <c r="AM27" i="46"/>
  <c r="AN27" i="46"/>
  <c r="AO27" i="46"/>
  <c r="AP27" i="46"/>
  <c r="AQ27" i="46"/>
  <c r="H29" i="46"/>
  <c r="I29" i="46"/>
  <c r="J29" i="46"/>
  <c r="AH29" i="46"/>
  <c r="AI29" i="46"/>
  <c r="AJ29" i="46"/>
  <c r="AK29" i="46"/>
  <c r="AL29" i="46"/>
  <c r="AM29" i="46"/>
  <c r="AN29" i="46"/>
  <c r="AO29" i="46"/>
  <c r="AP29" i="46"/>
  <c r="AQ29" i="46"/>
  <c r="H31" i="46"/>
  <c r="I31" i="46"/>
  <c r="J31" i="46"/>
  <c r="AH31" i="46"/>
  <c r="AI31" i="46"/>
  <c r="AJ31" i="46"/>
  <c r="AK31" i="46"/>
  <c r="AL31" i="46"/>
  <c r="AM31" i="46"/>
  <c r="AN31" i="46"/>
  <c r="AO31" i="46"/>
  <c r="AP31" i="46"/>
  <c r="AQ31" i="46"/>
  <c r="D7" i="47"/>
  <c r="E7" i="47"/>
  <c r="I7" i="47"/>
  <c r="J7" i="47"/>
  <c r="K7" i="47"/>
  <c r="L7" i="47"/>
  <c r="M7" i="47"/>
  <c r="N7" i="47"/>
  <c r="O7" i="47"/>
  <c r="P7" i="47"/>
  <c r="Q7" i="47"/>
  <c r="R7" i="47"/>
  <c r="J10" i="47"/>
  <c r="K10" i="47"/>
  <c r="L10" i="47"/>
  <c r="M10" i="47"/>
  <c r="N10" i="47"/>
  <c r="O10" i="47"/>
  <c r="P10" i="47"/>
  <c r="Q10" i="47"/>
  <c r="R10" i="47"/>
  <c r="I12" i="47"/>
  <c r="J12" i="47"/>
  <c r="K12" i="47"/>
  <c r="L12" i="47"/>
  <c r="M12" i="47"/>
  <c r="N12" i="47"/>
  <c r="O12" i="47"/>
  <c r="P12" i="47"/>
  <c r="Q12" i="47"/>
  <c r="R12" i="47"/>
  <c r="I13" i="47"/>
  <c r="J13" i="47"/>
  <c r="K13" i="47"/>
  <c r="L13" i="47"/>
  <c r="M13" i="47"/>
  <c r="N13" i="47"/>
  <c r="O13" i="47"/>
  <c r="P13" i="47"/>
  <c r="Q13" i="47"/>
  <c r="R13" i="47"/>
  <c r="D16" i="47"/>
  <c r="E16" i="47"/>
  <c r="J16" i="47"/>
  <c r="K16" i="47"/>
  <c r="L16" i="47"/>
  <c r="M16" i="47"/>
  <c r="N16" i="47"/>
  <c r="O16" i="47"/>
  <c r="P16" i="47"/>
  <c r="Q16" i="47"/>
  <c r="R16" i="47"/>
  <c r="D17" i="47"/>
  <c r="E17" i="47"/>
  <c r="I17" i="47"/>
  <c r="J17" i="47"/>
  <c r="K17" i="47"/>
  <c r="L17" i="47"/>
  <c r="M17" i="47"/>
  <c r="N17" i="47"/>
  <c r="O17" i="47"/>
  <c r="P17" i="47"/>
  <c r="Q17" i="47"/>
  <c r="R17" i="47"/>
  <c r="D18" i="47"/>
  <c r="E18" i="47"/>
  <c r="I18" i="47"/>
  <c r="J18" i="47"/>
  <c r="K18" i="47"/>
  <c r="L18" i="47"/>
  <c r="M18" i="47"/>
  <c r="N18" i="47"/>
  <c r="O18" i="47"/>
  <c r="P18" i="47"/>
  <c r="Q18" i="47"/>
  <c r="R18" i="47"/>
  <c r="D19" i="47"/>
  <c r="E19" i="47"/>
  <c r="I19" i="47"/>
  <c r="J19" i="47"/>
  <c r="K19" i="47"/>
  <c r="L19" i="47"/>
  <c r="M19" i="47"/>
  <c r="N19" i="47"/>
  <c r="O19" i="47"/>
  <c r="P19" i="47"/>
  <c r="Q19" i="47"/>
  <c r="R19" i="47"/>
  <c r="D21" i="47"/>
  <c r="E21" i="47"/>
  <c r="I21" i="47"/>
  <c r="J21" i="47"/>
  <c r="K21" i="47"/>
  <c r="L21" i="47"/>
  <c r="M21" i="47"/>
  <c r="N21" i="47"/>
  <c r="O21" i="47"/>
  <c r="P21" i="47"/>
  <c r="Q21" i="47"/>
  <c r="R21" i="47"/>
  <c r="C24" i="47"/>
  <c r="D24" i="47"/>
  <c r="E24" i="47"/>
  <c r="I24" i="47"/>
  <c r="J24" i="47"/>
  <c r="K24" i="47"/>
  <c r="L24" i="47"/>
  <c r="M24" i="47"/>
  <c r="N24" i="47"/>
  <c r="O24" i="47"/>
  <c r="P24" i="47"/>
  <c r="Q24" i="47"/>
  <c r="R24" i="47"/>
  <c r="C26" i="47"/>
  <c r="D26" i="47"/>
  <c r="E26" i="47"/>
  <c r="I26" i="47"/>
  <c r="J26" i="47"/>
  <c r="K26" i="47"/>
  <c r="L26" i="47"/>
  <c r="M26" i="47"/>
  <c r="N26" i="47"/>
  <c r="O26" i="47"/>
  <c r="P26" i="47"/>
  <c r="Q26" i="47"/>
  <c r="R26" i="47"/>
  <c r="C27" i="47"/>
  <c r="D27" i="47"/>
  <c r="E27" i="47"/>
  <c r="I27" i="47"/>
  <c r="J27" i="47"/>
  <c r="K27" i="47"/>
  <c r="L27" i="47"/>
  <c r="M27" i="47"/>
  <c r="N27" i="47"/>
  <c r="O27" i="47"/>
  <c r="P27" i="47"/>
  <c r="Q27" i="47"/>
  <c r="R27" i="47"/>
  <c r="C28" i="47"/>
  <c r="D28" i="47"/>
  <c r="E28" i="47"/>
  <c r="I28" i="47"/>
  <c r="J28" i="47"/>
  <c r="K28" i="47"/>
  <c r="L28" i="47"/>
  <c r="M28" i="47"/>
  <c r="N28" i="47"/>
  <c r="O28" i="47"/>
  <c r="P28" i="47"/>
  <c r="Q28" i="47"/>
  <c r="R28" i="47"/>
  <c r="D7" i="159"/>
  <c r="E7" i="159"/>
  <c r="J7" i="159"/>
  <c r="K7" i="159"/>
  <c r="L7" i="159"/>
  <c r="M7" i="159"/>
  <c r="N7" i="159"/>
  <c r="O7" i="159"/>
  <c r="P7" i="159"/>
  <c r="Q7" i="159"/>
  <c r="R7" i="159"/>
  <c r="C8" i="159"/>
  <c r="D8" i="159"/>
  <c r="E8" i="159"/>
  <c r="I8" i="159"/>
  <c r="J8" i="159"/>
  <c r="K8" i="159"/>
  <c r="L8" i="159"/>
  <c r="M8" i="159"/>
  <c r="N8" i="159"/>
  <c r="O8" i="159"/>
  <c r="P8" i="159"/>
  <c r="Q8" i="159"/>
  <c r="R8" i="159"/>
  <c r="C11" i="159"/>
  <c r="D11" i="159"/>
  <c r="E11" i="159"/>
  <c r="I11" i="159"/>
  <c r="J11" i="159"/>
  <c r="K11" i="159"/>
  <c r="L11" i="159"/>
  <c r="M11" i="159"/>
  <c r="N11" i="159"/>
  <c r="O11" i="159"/>
  <c r="P11" i="159"/>
  <c r="Q11" i="159"/>
  <c r="R11" i="159"/>
  <c r="C17" i="159"/>
  <c r="D17" i="159"/>
  <c r="E17" i="159"/>
  <c r="I17" i="159"/>
  <c r="J17" i="159"/>
  <c r="K17" i="159"/>
  <c r="L17" i="159"/>
  <c r="M17" i="159"/>
  <c r="N17" i="159"/>
  <c r="O17" i="159"/>
  <c r="P17" i="159"/>
  <c r="Q17" i="159"/>
  <c r="R17" i="159"/>
  <c r="C18" i="159"/>
  <c r="D18" i="159"/>
  <c r="E18" i="159"/>
  <c r="I18" i="159"/>
  <c r="J18" i="159"/>
  <c r="K18" i="159"/>
  <c r="L18" i="159"/>
  <c r="M18" i="159"/>
  <c r="N18" i="159"/>
  <c r="O18" i="159"/>
  <c r="P18" i="159"/>
  <c r="Q18" i="159"/>
  <c r="R18" i="159"/>
  <c r="H26" i="94"/>
  <c r="I26" i="94"/>
  <c r="J26" i="94"/>
  <c r="AH26" i="94"/>
  <c r="AI26" i="94"/>
  <c r="AJ26" i="94"/>
  <c r="AK26" i="94"/>
  <c r="AL26" i="94"/>
  <c r="AM26" i="94"/>
  <c r="AN26" i="94"/>
  <c r="AO26" i="94"/>
  <c r="AP26" i="94"/>
  <c r="AQ26" i="94"/>
  <c r="H27" i="94"/>
  <c r="I27" i="94"/>
  <c r="J27" i="94"/>
  <c r="AH27" i="94"/>
  <c r="AI27" i="94"/>
  <c r="AJ27" i="94"/>
  <c r="AK27" i="94"/>
  <c r="AL27" i="94"/>
  <c r="AM27" i="94"/>
  <c r="AN27" i="94"/>
  <c r="AO27" i="94"/>
  <c r="AP27" i="94"/>
  <c r="AQ27" i="94"/>
  <c r="H28" i="94"/>
  <c r="I28" i="94"/>
  <c r="J28" i="94"/>
  <c r="AH28" i="94"/>
  <c r="AI28" i="94"/>
  <c r="AJ28" i="94"/>
  <c r="AK28" i="94"/>
  <c r="AL28" i="94"/>
  <c r="AM28" i="94"/>
  <c r="AN28" i="94"/>
  <c r="AO28" i="94"/>
  <c r="AP28" i="94"/>
  <c r="AQ28" i="94"/>
  <c r="H29" i="94"/>
  <c r="I29" i="94"/>
  <c r="J29" i="94"/>
  <c r="AH29" i="94"/>
  <c r="AI29" i="94"/>
  <c r="AJ29" i="94"/>
  <c r="AK29" i="94"/>
  <c r="AL29" i="94"/>
  <c r="AM29" i="94"/>
  <c r="AN29" i="94"/>
  <c r="AO29" i="94"/>
  <c r="AP29" i="94"/>
  <c r="AQ29" i="94"/>
  <c r="H30" i="94"/>
  <c r="I30" i="94"/>
  <c r="J30" i="94"/>
  <c r="H32" i="94"/>
  <c r="I32" i="94"/>
  <c r="J32" i="94"/>
  <c r="AH32" i="94"/>
  <c r="AI32" i="94"/>
  <c r="AJ32" i="94"/>
  <c r="AK32" i="94"/>
  <c r="AL32" i="94"/>
  <c r="AM32" i="94"/>
  <c r="AN32" i="94"/>
  <c r="AO32" i="94"/>
  <c r="AP32" i="94"/>
  <c r="AQ32" i="94"/>
  <c r="H34" i="94"/>
  <c r="I34" i="94"/>
  <c r="J34" i="94"/>
  <c r="AH34" i="94"/>
  <c r="AI34" i="94"/>
  <c r="AJ34" i="94"/>
  <c r="AK34" i="94"/>
  <c r="AL34" i="94"/>
  <c r="AM34" i="94"/>
  <c r="AN34" i="94"/>
  <c r="AO34" i="94"/>
  <c r="AP34" i="94"/>
  <c r="AQ34" i="94"/>
  <c r="H6" i="166"/>
  <c r="I6" i="166"/>
  <c r="J6" i="166"/>
  <c r="H7" i="166"/>
  <c r="I7" i="166"/>
  <c r="J7" i="166"/>
  <c r="H8" i="166"/>
  <c r="I8" i="166"/>
  <c r="J8" i="166"/>
  <c r="H11" i="166"/>
  <c r="I11" i="166"/>
  <c r="J11" i="166"/>
  <c r="H12" i="166"/>
  <c r="I12" i="166"/>
  <c r="J12" i="166"/>
  <c r="H14" i="166"/>
  <c r="I14" i="166"/>
  <c r="J14" i="166"/>
  <c r="H15" i="166"/>
  <c r="I15" i="166"/>
  <c r="J15" i="166"/>
  <c r="H18" i="166"/>
  <c r="I18" i="166"/>
  <c r="J18" i="166"/>
  <c r="H19" i="166"/>
  <c r="I19" i="166"/>
  <c r="J19" i="166"/>
  <c r="H20" i="166"/>
  <c r="I20" i="166"/>
  <c r="J20" i="166"/>
  <c r="H21" i="166"/>
  <c r="I21" i="166"/>
  <c r="J21" i="166"/>
  <c r="H24" i="166"/>
  <c r="I24" i="166"/>
  <c r="J24" i="166"/>
  <c r="H25" i="166"/>
  <c r="I25" i="166"/>
  <c r="J25" i="166"/>
  <c r="H26" i="166"/>
  <c r="I26" i="166"/>
  <c r="J26" i="166"/>
  <c r="H27" i="166"/>
  <c r="I27" i="166"/>
  <c r="J27" i="166"/>
  <c r="H28" i="166"/>
  <c r="I28" i="166"/>
  <c r="J28" i="166"/>
  <c r="H34" i="166"/>
  <c r="I34" i="166"/>
  <c r="J34" i="166"/>
  <c r="H35" i="166"/>
  <c r="I35" i="166"/>
  <c r="J35" i="166"/>
  <c r="H39" i="166"/>
  <c r="I39" i="166"/>
  <c r="J39" i="166"/>
  <c r="H40" i="166"/>
  <c r="I40" i="166"/>
  <c r="J40" i="166"/>
  <c r="H41" i="166"/>
  <c r="I41" i="166"/>
  <c r="J41" i="166"/>
  <c r="H43" i="166"/>
  <c r="I43" i="166"/>
  <c r="J43" i="166"/>
  <c r="H46" i="166"/>
  <c r="I46" i="166"/>
  <c r="J46" i="166"/>
  <c r="H47" i="166"/>
  <c r="I47" i="166"/>
  <c r="J47" i="166"/>
  <c r="J35" i="160"/>
  <c r="K35" i="160"/>
  <c r="L35" i="160"/>
  <c r="J36" i="160"/>
  <c r="K36" i="160"/>
  <c r="L36" i="160"/>
  <c r="J45" i="160"/>
  <c r="K45" i="160"/>
  <c r="L45" i="160"/>
  <c r="J46" i="160"/>
  <c r="K46" i="160"/>
  <c r="L46" i="160"/>
  <c r="M29" i="52"/>
  <c r="N29" i="52"/>
  <c r="O29" i="52"/>
  <c r="P29" i="52"/>
  <c r="M31" i="52"/>
  <c r="N31" i="52"/>
  <c r="O31" i="52"/>
  <c r="P31" i="52"/>
  <c r="E11" i="155"/>
  <c r="E12" i="155"/>
  <c r="M13" i="155"/>
  <c r="N13" i="155"/>
  <c r="O13" i="155"/>
  <c r="E14" i="155"/>
  <c r="M14" i="155"/>
  <c r="N14" i="155"/>
  <c r="O14" i="155"/>
  <c r="E15" i="155"/>
  <c r="M15" i="155"/>
  <c r="N15" i="155"/>
  <c r="O15" i="155"/>
  <c r="M16" i="155"/>
  <c r="N16" i="155"/>
  <c r="O16" i="155"/>
  <c r="L17" i="155"/>
  <c r="M17" i="155"/>
  <c r="N17" i="155"/>
  <c r="O17" i="155"/>
  <c r="L18" i="155"/>
  <c r="M18" i="155"/>
  <c r="N18" i="155"/>
  <c r="O18" i="155"/>
  <c r="M19" i="155"/>
  <c r="N19" i="155"/>
  <c r="O19" i="15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I25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from Oct'14 10-Q</t>
        </r>
      </text>
    </comment>
  </commentList>
</comments>
</file>

<file path=xl/sharedStrings.xml><?xml version="1.0" encoding="utf-8"?>
<sst xmlns="http://schemas.openxmlformats.org/spreadsheetml/2006/main" count="551" uniqueCount="363">
  <si>
    <t>Net Income</t>
  </si>
  <si>
    <t>Other</t>
  </si>
  <si>
    <t>Total Current Liabilities</t>
  </si>
  <si>
    <t>Accounts Payable</t>
  </si>
  <si>
    <t>Total Assets</t>
  </si>
  <si>
    <t>Total Current Assets</t>
  </si>
  <si>
    <t>Accounts Receivable</t>
  </si>
  <si>
    <t>Balance Sheet</t>
  </si>
  <si>
    <t>$000, Except Where Noted</t>
  </si>
  <si>
    <t>Gross Profit</t>
  </si>
  <si>
    <t>EBITDA</t>
  </si>
  <si>
    <t>SG&amp;A</t>
  </si>
  <si>
    <t>Annual Summary</t>
  </si>
  <si>
    <t>Cash</t>
  </si>
  <si>
    <t>Inventory</t>
  </si>
  <si>
    <t>Total Debt</t>
  </si>
  <si>
    <t>Total Liabilities</t>
  </si>
  <si>
    <t>Working Capital Build</t>
  </si>
  <si>
    <t>Ending balance</t>
  </si>
  <si>
    <t>Taxes</t>
  </si>
  <si>
    <t>Cash Flow Statement</t>
  </si>
  <si>
    <t>Deferred Income Taxes</t>
  </si>
  <si>
    <t>Working Capital</t>
  </si>
  <si>
    <t>Debt Schedule</t>
  </si>
  <si>
    <t>Beginning Cash Balance</t>
  </si>
  <si>
    <t>Total Interest Expense</t>
  </si>
  <si>
    <t>Net Debt</t>
  </si>
  <si>
    <t>% Growth</t>
  </si>
  <si>
    <t>Total Capitalization</t>
  </si>
  <si>
    <t>Inventories</t>
  </si>
  <si>
    <t>Net Sales</t>
  </si>
  <si>
    <t>Prepaid Expenses</t>
  </si>
  <si>
    <t>Inventory Days</t>
  </si>
  <si>
    <t>Adjusted EBITDA</t>
  </si>
  <si>
    <t>Consolidated Income Statement</t>
  </si>
  <si>
    <t>$000's, Except Where Noted</t>
  </si>
  <si>
    <t>Receivable Days</t>
  </si>
  <si>
    <t>Days Payable</t>
  </si>
  <si>
    <t>Pre-Tax Income</t>
  </si>
  <si>
    <t>Assets</t>
  </si>
  <si>
    <t>Liabilities</t>
  </si>
  <si>
    <t>Capital Expenditures</t>
  </si>
  <si>
    <t>EBIT</t>
  </si>
  <si>
    <t>Shares Outstanding</t>
  </si>
  <si>
    <t>Trading Data</t>
  </si>
  <si>
    <t>Bob Evans Farms, Inc.</t>
  </si>
  <si>
    <t>Restaurant Operations</t>
  </si>
  <si>
    <t>Food Product Sales</t>
  </si>
  <si>
    <t>Operating and Fringe Benefits</t>
  </si>
  <si>
    <t>Depreciation and Amortization</t>
  </si>
  <si>
    <t>Net Interest Expense</t>
  </si>
  <si>
    <t>Effective Tax Rate</t>
  </si>
  <si>
    <t>Diluted Shares Outstanding</t>
  </si>
  <si>
    <t>GAAP EPS</t>
  </si>
  <si>
    <t>Cash &amp; Cash Equivalents</t>
  </si>
  <si>
    <t>Other Assets</t>
  </si>
  <si>
    <t>Line of Credit</t>
  </si>
  <si>
    <t>Current Maturities of LT Debt</t>
  </si>
  <si>
    <t>Accrued nonincome taxes</t>
  </si>
  <si>
    <t>Accrued Wages and Related Liabilities</t>
  </si>
  <si>
    <t>Self Insurance</t>
  </si>
  <si>
    <t>Deferred Revenue</t>
  </si>
  <si>
    <t>Other Accrued Expenses</t>
  </si>
  <si>
    <t>Long-Term Debt</t>
  </si>
  <si>
    <t>Deferred Compensation</t>
  </si>
  <si>
    <t>Deferred Rent</t>
  </si>
  <si>
    <t>Stockholders' Equity</t>
  </si>
  <si>
    <t>Total Liabilities &amp; Stockholders' Equity</t>
  </si>
  <si>
    <t>Total Debt/Total Capitalization</t>
  </si>
  <si>
    <t>Total Debt/TTM EBITDA</t>
  </si>
  <si>
    <t>Changes in Working Capital</t>
  </si>
  <si>
    <t>EBITDA/Interest Expense</t>
  </si>
  <si>
    <t>(Increase)/Decrease in Current Assets</t>
  </si>
  <si>
    <t>Increase/(Decrease) in Current Liabilities</t>
  </si>
  <si>
    <t>(Increase)/Decrease in Other Assets</t>
  </si>
  <si>
    <t>Increase/(Decrease) in Other Liabilities</t>
  </si>
  <si>
    <t>Fixed Asset Adjustment</t>
  </si>
  <si>
    <t>Ending Cash Balance</t>
  </si>
  <si>
    <t>Less: Capex</t>
  </si>
  <si>
    <t>Free Cash Flow</t>
  </si>
  <si>
    <t>Cost of Goods Sold</t>
  </si>
  <si>
    <t>Margins</t>
  </si>
  <si>
    <t>Other Charges</t>
  </si>
  <si>
    <t>Adjusted EPS</t>
  </si>
  <si>
    <t>Total Stores</t>
  </si>
  <si>
    <t>Industry-Specific</t>
  </si>
  <si>
    <t>Total Expenses</t>
  </si>
  <si>
    <t>Drivers</t>
  </si>
  <si>
    <t>SG&amp;A (% of sales)</t>
  </si>
  <si>
    <t>Federal &amp; State Income Taxes</t>
  </si>
  <si>
    <t>Depreciation &amp; Amortization</t>
  </si>
  <si>
    <t>Cost of Goods Sold (% of sales)</t>
  </si>
  <si>
    <t>Operating and Fringe Benefits (% of sales)</t>
  </si>
  <si>
    <t>Other Operating Expenses (% of sales)</t>
  </si>
  <si>
    <t>D&amp;A (% of sales)</t>
  </si>
  <si>
    <t>Revenues</t>
  </si>
  <si>
    <t>Cash Conversion Cycle (days)</t>
  </si>
  <si>
    <t>% of Sales:</t>
  </si>
  <si>
    <t>Federal/State Taxes</t>
  </si>
  <si>
    <t>Accrued Non-income Taxes</t>
  </si>
  <si>
    <t>n.a</t>
  </si>
  <si>
    <t>Gross Margin</t>
  </si>
  <si>
    <t>Operating Margin</t>
  </si>
  <si>
    <t>Net PP&amp;E</t>
  </si>
  <si>
    <t>Goodwill &amp; Intangibles</t>
  </si>
  <si>
    <t>Federal/State Income Taxes</t>
  </si>
  <si>
    <t>Common Stock Issued (Repurchased)</t>
  </si>
  <si>
    <t>Dividends Paid</t>
  </si>
  <si>
    <t>Dividends paid</t>
  </si>
  <si>
    <t>Weighted average number of shares</t>
  </si>
  <si>
    <t>Dividend per share</t>
  </si>
  <si>
    <t>Total cash dividends paid</t>
  </si>
  <si>
    <t>Dividend Payout Ratio</t>
  </si>
  <si>
    <t>Shareholder's Equity</t>
  </si>
  <si>
    <t>Net Effect on Cash</t>
  </si>
  <si>
    <t>Cash flow available for financing activities</t>
  </si>
  <si>
    <t>Proceeds from / (Repurchase of) equity</t>
  </si>
  <si>
    <t>Dividends</t>
  </si>
  <si>
    <t>Plus: beginning cash balance</t>
  </si>
  <si>
    <t>Less: minimum cash balance</t>
  </si>
  <si>
    <t>Cash available for revolver</t>
  </si>
  <si>
    <t>Beginning balance</t>
  </si>
  <si>
    <t>Bank Revolver Commitment</t>
  </si>
  <si>
    <t>Undrawn Revolver Balance</t>
  </si>
  <si>
    <t>(+) Revolver draw-down</t>
  </si>
  <si>
    <t>(-) Revolver pay-down</t>
  </si>
  <si>
    <t>Optional revolver pay-down</t>
  </si>
  <si>
    <t>Effective Interest Rate</t>
  </si>
  <si>
    <t>Average Balance</t>
  </si>
  <si>
    <t>Interest Expense</t>
  </si>
  <si>
    <t>Commitment Fee (20 bps)</t>
  </si>
  <si>
    <t>Cash Flow From Operations</t>
  </si>
  <si>
    <t>Cash Flow From Investing</t>
  </si>
  <si>
    <t>Cash Flow From Financing</t>
  </si>
  <si>
    <t>Debt Issuance / (Repayment)</t>
  </si>
  <si>
    <t>Operating Activities</t>
  </si>
  <si>
    <t>Investing Activities</t>
  </si>
  <si>
    <t>Financing Activities</t>
  </si>
  <si>
    <t>Other Operating Expenses</t>
  </si>
  <si>
    <t>Selling, General &amp; Administrative</t>
  </si>
  <si>
    <t>Goodwill &amp; Other Intangibles</t>
  </si>
  <si>
    <t>Operating Income</t>
  </si>
  <si>
    <t>Intersegment Food Product Sales</t>
  </si>
  <si>
    <t>Assets Held For Sale &amp; Other</t>
  </si>
  <si>
    <t>Cash Flow from Operations</t>
  </si>
  <si>
    <t>Beginning Equity Balance</t>
  </si>
  <si>
    <t>Issuance / (Repurchase of) equity</t>
  </si>
  <si>
    <t>Ending Equity Balance</t>
  </si>
  <si>
    <t>Dividend Assumptions</t>
  </si>
  <si>
    <t>Credit Facility</t>
  </si>
  <si>
    <t>Company Name</t>
  </si>
  <si>
    <t>Share Price</t>
  </si>
  <si>
    <t>-</t>
  </si>
  <si>
    <t>2015E</t>
  </si>
  <si>
    <t>Annual Returns Analysis</t>
  </si>
  <si>
    <t>Less: Income Tax</t>
  </si>
  <si>
    <t>NOPAT:</t>
  </si>
  <si>
    <t>Adjustment for After-Tax Interest</t>
  </si>
  <si>
    <t>Adjusted NOPAT</t>
  </si>
  <si>
    <t>ROIC:</t>
  </si>
  <si>
    <t>Cash &amp; Equivalents</t>
  </si>
  <si>
    <t>Debt Equivalent: Operating Leases</t>
  </si>
  <si>
    <t>Adjusted Net Debt</t>
  </si>
  <si>
    <t>Invested Capital</t>
  </si>
  <si>
    <t>ROIC</t>
  </si>
  <si>
    <t>Rent Expense on Operating Leases</t>
  </si>
  <si>
    <t>Multiplier</t>
  </si>
  <si>
    <t>Net Debt / EBITDA</t>
  </si>
  <si>
    <t>Adjusted Net Debt / EBITDA</t>
  </si>
  <si>
    <t>CROCE:</t>
  </si>
  <si>
    <t>NOPAT</t>
  </si>
  <si>
    <t>Current Liabilities</t>
  </si>
  <si>
    <t>Capital Employed</t>
  </si>
  <si>
    <t>CROCE</t>
  </si>
  <si>
    <t>Sandell Investment Services, L.L.C.</t>
  </si>
  <si>
    <t>BNY Mellon Asset Management</t>
  </si>
  <si>
    <t>New</t>
  </si>
  <si>
    <t>GW Capital, Inc.</t>
  </si>
  <si>
    <t>Tricadia Capital Management, LLC</t>
  </si>
  <si>
    <t>Levin Capital Strategies, L.P.</t>
  </si>
  <si>
    <t>Investment Counselors of Maryland, LLC</t>
  </si>
  <si>
    <t>Clearline Capital LP</t>
  </si>
  <si>
    <t>NWQ Investment Management Company, LLC</t>
  </si>
  <si>
    <t>Royce &amp; Associates, LLC</t>
  </si>
  <si>
    <t>State Street Global Advisors, Inc.</t>
  </si>
  <si>
    <t>Davis, Steven A. (Executive)</t>
  </si>
  <si>
    <t>Tocqueville Asset Management LP</t>
  </si>
  <si>
    <t>Alberta Investment Management Corporation</t>
  </si>
  <si>
    <t>Northern Trust Global Investments</t>
  </si>
  <si>
    <t>Dimensional Fund Advisors LP</t>
  </si>
  <si>
    <t>The Vanguard Group, Inc.</t>
  </si>
  <si>
    <t>Sandell Asset Management Corp.</t>
  </si>
  <si>
    <t>BlackRock, Inc. (NYSE:BLK)</t>
  </si>
  <si>
    <t>Discovery Capital Management, LLC</t>
  </si>
  <si>
    <t>River Road Asset Management, LLC</t>
  </si>
  <si>
    <t>Position Date</t>
  </si>
  <si>
    <t>% Change</t>
  </si>
  <si>
    <t>Market Value (mm)</t>
  </si>
  <si>
    <t>Holder</t>
  </si>
  <si>
    <t>Top Holders</t>
  </si>
  <si>
    <t>Amount (mm)</t>
  </si>
  <si>
    <t>Return on Equity</t>
  </si>
  <si>
    <t>Debt Equivalent: Pension Expense</t>
  </si>
  <si>
    <t>% of Shares Out</t>
  </si>
  <si>
    <t>Q/Q Change in Shares</t>
  </si>
  <si>
    <t>Mkt Cap</t>
  </si>
  <si>
    <t>Buffalo Wild Wings Inc. (BWLD)</t>
  </si>
  <si>
    <t>Texas Roadhouse, Inc. (TXRH)</t>
  </si>
  <si>
    <t>The Cheesecake Factory Incorporated (CAKE)</t>
  </si>
  <si>
    <t>BJ's Restaurants, Inc. (BJRI)</t>
  </si>
  <si>
    <t>EV</t>
  </si>
  <si>
    <t>Red Robin Gourmet Burgers Inc. (RRGB)</t>
  </si>
  <si>
    <t>Cracker Barrel Old Country Store, Inc. (CBRL)</t>
  </si>
  <si>
    <t>Darden Restaurants, Inc. (DRI)</t>
  </si>
  <si>
    <t>Bob Evans Farms, Inc. (BOBE)</t>
  </si>
  <si>
    <t>Total Debt/EBITDA</t>
  </si>
  <si>
    <t>Average:</t>
  </si>
  <si>
    <t>EV/EBITDA</t>
  </si>
  <si>
    <t>P/E</t>
  </si>
  <si>
    <t>2014A</t>
  </si>
  <si>
    <t>Less: Net Debt</t>
  </si>
  <si>
    <t>Stock-Based Comp &amp; Other Charges</t>
  </si>
  <si>
    <t>Cap Rate</t>
  </si>
  <si>
    <t>SG&amp;A Savings</t>
  </si>
  <si>
    <t>Packaged Food Companies</t>
  </si>
  <si>
    <t>Restaurant Segment</t>
  </si>
  <si>
    <t xml:space="preserve">   COGS</t>
  </si>
  <si>
    <t xml:space="preserve">   Wages</t>
  </si>
  <si>
    <t>   Depreciation and Amortization</t>
  </si>
  <si>
    <t xml:space="preserve">   Other</t>
  </si>
  <si>
    <t xml:space="preserve">   SG&amp;A</t>
  </si>
  <si>
    <t>COGS (% of Sales)</t>
  </si>
  <si>
    <t>Wages (% of Sales)</t>
  </si>
  <si>
    <t>D&amp;A</t>
  </si>
  <si>
    <t>Wages</t>
  </si>
  <si>
    <t>COGS</t>
  </si>
  <si>
    <t>Revenue</t>
  </si>
  <si>
    <t>Margin %</t>
  </si>
  <si>
    <t>Weekly Sales</t>
  </si>
  <si>
    <t>Store Size (Sq. Ft)</t>
  </si>
  <si>
    <t>Rent (% of Sales)</t>
  </si>
  <si>
    <t>Annual Rent Expense</t>
  </si>
  <si>
    <t>Food Products Segment</t>
  </si>
  <si>
    <t>BEF Foods</t>
  </si>
  <si>
    <t>Restaurants</t>
  </si>
  <si>
    <t>Total EBITDA</t>
  </si>
  <si>
    <t>Total SG&amp;A Savings</t>
  </si>
  <si>
    <t>Pro-Forma Valuation</t>
  </si>
  <si>
    <t>Pro-Forma EBITDA</t>
  </si>
  <si>
    <t>Pro-Forma Restaurant EBITDA</t>
  </si>
  <si>
    <t>Pro-Forma BEF Foods EBITDA</t>
  </si>
  <si>
    <t>Adjusted Restaurant EBITDA</t>
  </si>
  <si>
    <t>Restaurant EBITDA Multiple</t>
  </si>
  <si>
    <t>Packaged Foods EBITDA Multiple</t>
  </si>
  <si>
    <t>Pro-Forma Asset Value</t>
  </si>
  <si>
    <t>Equity Value</t>
  </si>
  <si>
    <t>Pro-Forma Shares Outstanding</t>
  </si>
  <si>
    <t>Intrinsic Price per Share</t>
  </si>
  <si>
    <t>Assumed Price per Share</t>
  </si>
  <si>
    <t>Campbell Soup Company (CPB)</t>
  </si>
  <si>
    <t>Lancaster Colony Corporation (LANC)</t>
  </si>
  <si>
    <t>Pinnacle Foods Inc. (PF)</t>
  </si>
  <si>
    <t>Hormel Foods Corporation (HRL)</t>
  </si>
  <si>
    <t>ConAgra Foods, Inc. (CAG)</t>
  </si>
  <si>
    <t>Restaurants (Family/Casual Dining)</t>
  </si>
  <si>
    <t>SG&amp;A (% of Sales)</t>
  </si>
  <si>
    <t>Other (% of Sales)</t>
  </si>
  <si>
    <t>Stores Owned</t>
  </si>
  <si>
    <t>% Owned</t>
  </si>
  <si>
    <t>CASE SELECTION</t>
  </si>
  <si>
    <t>2016E</t>
  </si>
  <si>
    <t>2017E</t>
  </si>
  <si>
    <t>Sum-of-the-Parts Analysis - Assumptions</t>
  </si>
  <si>
    <t>Net Income Improvement (Post-Tax)</t>
  </si>
  <si>
    <t>EPS Accretion</t>
  </si>
  <si>
    <t>3-Year Total</t>
  </si>
  <si>
    <t>Total Restaurants Sold</t>
  </si>
  <si>
    <t>Sales per Square Foot</t>
  </si>
  <si>
    <t>Same Store Sales %</t>
  </si>
  <si>
    <t>Number of Locations</t>
  </si>
  <si>
    <t>Average Check size ($)</t>
  </si>
  <si>
    <t>Less: Incremental Rent Expense</t>
  </si>
  <si>
    <t>BEF Foods Segment Value</t>
  </si>
  <si>
    <t>Restaurant Segment Value</t>
  </si>
  <si>
    <t>Comp Sheet - Data as of 12/19/2014</t>
  </si>
  <si>
    <t>Shares Repurchased (m)</t>
  </si>
  <si>
    <t>(Discount) / Premium to Current</t>
  </si>
  <si>
    <t>Annual Rent per Unit</t>
  </si>
  <si>
    <t>Incremental Rent Expense ($m)</t>
  </si>
  <si>
    <t>Sales / Sq. ft</t>
  </si>
  <si>
    <t>Store Size (Sq. ft)</t>
  </si>
  <si>
    <t>One-time Revenues from Sale-Leaseback</t>
  </si>
  <si>
    <t>Intrinsic Value</t>
  </si>
  <si>
    <t>Proceeds from Sale-Leaseback</t>
  </si>
  <si>
    <t>Value Lost</t>
  </si>
  <si>
    <t>EBITDA Multiple (BOBE NTM)</t>
  </si>
  <si>
    <t>Value Created/Share (Pre-Buyback)</t>
  </si>
  <si>
    <t>FY2015</t>
  </si>
  <si>
    <t>FY2016</t>
  </si>
  <si>
    <t>FY2017</t>
  </si>
  <si>
    <t>SSS Growth</t>
  </si>
  <si>
    <t>Revenue Growth</t>
  </si>
  <si>
    <t xml:space="preserve">  Revenue Ex-Interseg. Food Sales</t>
  </si>
  <si>
    <t>1QA</t>
  </si>
  <si>
    <t>2QA</t>
  </si>
  <si>
    <t>3QE</t>
  </si>
  <si>
    <t>4QE</t>
  </si>
  <si>
    <t>D&amp;A (% of Sales)</t>
  </si>
  <si>
    <t>% of Sales</t>
  </si>
  <si>
    <t>Restaurant SG&amp;A/Sales Assumptions</t>
  </si>
  <si>
    <t>BEF Foods SG&amp;A/Sales Assumptions</t>
  </si>
  <si>
    <t>Reduction in SG&amp;A/Sales:</t>
  </si>
  <si>
    <t>EBITDA Reduction from Incremental Rent</t>
  </si>
  <si>
    <t>Sales / Store / Day</t>
  </si>
  <si>
    <t>Daily Customers/Hour (16 hr/day)</t>
  </si>
  <si>
    <t>Net Value Creation</t>
  </si>
  <si>
    <t>Shares Repurchased w/ Proceeds</t>
  </si>
  <si>
    <t>BEF Foods Segment</t>
  </si>
  <si>
    <t>Adjusted EBITDA Margin</t>
  </si>
  <si>
    <t>Same-Store Sales Growth %</t>
  </si>
  <si>
    <t>Base Case (1)</t>
  </si>
  <si>
    <t>Value Creation</t>
  </si>
  <si>
    <t>Value Created/Share (Post-Buyback)</t>
  </si>
  <si>
    <t>Sale-Leaseback + Value Creation</t>
  </si>
  <si>
    <t>Case 1</t>
  </si>
  <si>
    <t>Case 2</t>
  </si>
  <si>
    <t>Case 4</t>
  </si>
  <si>
    <t>Case 5</t>
  </si>
  <si>
    <t>Sale-Leaseback Proceeds (Value Created)</t>
  </si>
  <si>
    <t>Effects of Potential FY2015 Sale-Leaseback</t>
  </si>
  <si>
    <t>Balance Sheet Check</t>
  </si>
  <si>
    <t>Adjustment for Rent</t>
  </si>
  <si>
    <t>Invested Capital (Adjusted Net Debt)</t>
  </si>
  <si>
    <t>Adjusted ROIC (Adj. NOPAT / Adj. IC)</t>
  </si>
  <si>
    <t>Current Assets (Ex-cash)</t>
  </si>
  <si>
    <t>Morgan Stanley</t>
  </si>
  <si>
    <t>Raymond James Financial Inc.</t>
  </si>
  <si>
    <t>Dividend Growth Rate</t>
  </si>
  <si>
    <t>(Note: Red Lobster Transaction: 7.9% cap rate, 6.7% rent as % of sales)</t>
  </si>
  <si>
    <t>Case 3 (Base)</t>
  </si>
  <si>
    <t>Segment Analysis</t>
  </si>
  <si>
    <t>Consolidated SG&amp;A as % of Revenue</t>
  </si>
  <si>
    <t>Consolidated Reduction in SG&amp;A</t>
  </si>
  <si>
    <t>Summary Financials</t>
  </si>
  <si>
    <t>Current Price as of:</t>
  </si>
  <si>
    <t>Book Value of Common Equity</t>
  </si>
  <si>
    <t>EV / EBITDA</t>
  </si>
  <si>
    <t>EBITDA / Interest Expense</t>
  </si>
  <si>
    <t>EV / Sales</t>
  </si>
  <si>
    <t>P / E</t>
  </si>
  <si>
    <t>(FY End: April)</t>
  </si>
  <si>
    <t>Bob Evans Financial Model</t>
  </si>
  <si>
    <t>Shares Outstanding (m)</t>
  </si>
  <si>
    <t>Net Debt / TTM EBITDA</t>
  </si>
  <si>
    <t>Liquidity</t>
  </si>
  <si>
    <t>Total Capital</t>
  </si>
  <si>
    <t>Total Enterprise Value</t>
  </si>
  <si>
    <t>Cash &amp; Short-Term Investments</t>
  </si>
  <si>
    <t>Market Capitalization</t>
  </si>
  <si>
    <t>Growth y/y%</t>
  </si>
  <si>
    <t>FCF Yield%</t>
  </si>
  <si>
    <t>Summary</t>
  </si>
  <si>
    <t>May 1st,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</si>
</sst>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3">
    <numFmt numFmtId="5" formatCode="&quot;$&quot;#,##0_);\(&quot;$&quot;#,##0\)"/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dd\,\ mmmm\ dd\,\ yyyy"/>
    <numFmt numFmtId="165" formatCode="* #,##0_);* \(#,##0\);* &quot;-&quot;_)"/>
    <numFmt numFmtId="166" formatCode="#,##0.0%_);\(#,##0.0%\);&quot;-&quot;_)"/>
    <numFmt numFmtId="167" formatCode="_(* #,##0_);_(* \(#,##0\);_(* &quot;-&quot;??_);_(@_)"/>
    <numFmt numFmtId="168" formatCode="0&quot;A&quot;"/>
    <numFmt numFmtId="169" formatCode="0&quot;E&quot;"/>
    <numFmt numFmtId="170" formatCode="#,##0;\(#,##0\);&quot;-&quot;"/>
    <numFmt numFmtId="171" formatCode="_-* #,##0_-;\-* #,##0_-;_-* &quot;-&quot;_-;_-@_-"/>
    <numFmt numFmtId="172" formatCode="#,##0_);\(#,##0\);&quot; - &quot;_);@_)"/>
    <numFmt numFmtId="173" formatCode="\ #,##0.0_);\(#,##0.0\);&quot; - &quot;_);@_)"/>
    <numFmt numFmtId="174" formatCode="#,##0.00%_);\(#,##0.00%\);&quot;-&quot;_)"/>
    <numFmt numFmtId="175" formatCode="_([$€-2]* #,##0.00_);_([$€-2]* \(#,##0.00\);_([$€-2]* &quot;-&quot;??_)"/>
    <numFmt numFmtId="176" formatCode="#.##0\.00"/>
    <numFmt numFmtId="177" formatCode="#\.00"/>
    <numFmt numFmtId="178" formatCode="\$#\.00"/>
    <numFmt numFmtId="179" formatCode="#,##0_ ;\-#,##0\ "/>
    <numFmt numFmtId="180" formatCode="#,##0;[Red]#,##0"/>
    <numFmt numFmtId="181" formatCode="&quot;\&quot;#,##0;[Red]\-&quot;\&quot;#,##0"/>
    <numFmt numFmtId="182" formatCode="\£#,##0_);\(\£#,##0\)"/>
    <numFmt numFmtId="183" formatCode="_-* #,##0\ _K_č_-;\-* #,##0\ _K_č_-;_-* &quot;-&quot;\ _K_č_-;_-@_-"/>
    <numFmt numFmtId="184" formatCode="&quot;error&quot;;&quot;error&quot;;&quot;OK&quot;;&quot;  &quot;@"/>
    <numFmt numFmtId="185" formatCode="_-* #,##0.00\ _K_č_-;\-* #,##0.00\ _K_č_-;_-* &quot;-&quot;??\ _K_č_-;_-@_-"/>
    <numFmt numFmtId="186" formatCode="_(* #,##0.00_);[Red]_(* \(#,##0.00\);_(* &quot;-&quot;??_);_(@_)"/>
    <numFmt numFmtId="187" formatCode="&quot;$&quot;#,##0\ ;\(&quot;$&quot;#,##0\)"/>
    <numFmt numFmtId="188" formatCode="dd\ mmm\ yyyy_);;;&quot;  &quot;@"/>
    <numFmt numFmtId="189" formatCode="#,##0_);\(#,##0\);&quot;- &quot;;&quot;  &quot;@"/>
    <numFmt numFmtId="190" formatCode="0.0\x"/>
    <numFmt numFmtId="191" formatCode="#,##0;[Red]\-#,##0"/>
    <numFmt numFmtId="192" formatCode="_-* #,##0\ _K_e_s_-;\-* #,##0\ _K_e_s_-;_-* &quot;-&quot;\ _K_e_s_-;_-@_-"/>
    <numFmt numFmtId="193" formatCode="_-* #,##0.00\ _K_e_s_-;\-* #,##0.00\ _K_e_s_-;_-* &quot;-&quot;??\ _K_e_s_-;_-@_-"/>
    <numFmt numFmtId="194" formatCode="_-* #,##0\ _F_B_-;\-* #,##0\ _F_B_-;_-* &quot;-&quot;\ _F_B_-;_-@_-"/>
    <numFmt numFmtId="195" formatCode="_-* #,##0.00\ _F_B_-;\-* #,##0.00\ _F_B_-;_-* &quot;-&quot;??\ _F_B_-;_-@_-"/>
    <numFmt numFmtId="196" formatCode="#,##0.0000_);\(#,##0.0000\);&quot;- &quot;;&quot;  &quot;@"/>
    <numFmt numFmtId="197" formatCode="#,##0.0_);[Red]\(#,##0.0\)"/>
    <numFmt numFmtId="198" formatCode="_-* #,##0_-;_-* #,##0\-;_-* &quot;-&quot;_-;_-@_-"/>
    <numFmt numFmtId="199" formatCode="_-* #,##0.00_-;_-* #,##0.00\-;_-* &quot;-&quot;??_-;_-@_-"/>
    <numFmt numFmtId="200" formatCode="_-* #,##0.00\ &quot;Kč&quot;_-;\-* #,##0.00\ &quot;Kč&quot;_-;_-* &quot;-&quot;??\ &quot;Kč&quot;_-;_-@_-"/>
    <numFmt numFmtId="201" formatCode="_-* #,##0.00\ &quot;Kes&quot;_-;\-* #,##0.00\ &quot;Kes&quot;_-;_-* &quot;-&quot;??\ &quot;Kes&quot;_-;_-@_-"/>
    <numFmt numFmtId="202" formatCode="_(* #,##0.000_);[Red]_(* \(#,##0.000\);_(* &quot;-&quot;??_);_(@_)"/>
    <numFmt numFmtId="203" formatCode="&quot;$&quot;#,##0.0_);\(&quot;$&quot;#,##0.0\)"/>
    <numFmt numFmtId="204" formatCode="0.00\x"/>
    <numFmt numFmtId="205" formatCode="0.0000"/>
    <numFmt numFmtId="206" formatCode="_-* #,##0\ &quot;FB&quot;_-;\-* #,##0\ &quot;FB&quot;_-;_-* &quot;-&quot;\ &quot;FB&quot;_-;_-@_-"/>
    <numFmt numFmtId="207" formatCode="_-* #,##0.00\ &quot;FB&quot;_-;\-* #,##0.00\ &quot;FB&quot;_-;_-* &quot;-&quot;??\ &quot;FB&quot;_-;_-@_-"/>
    <numFmt numFmtId="208" formatCode="0.0%"/>
    <numFmt numFmtId="209" formatCode=";;;"/>
    <numFmt numFmtId="210" formatCode="0_)"/>
    <numFmt numFmtId="211" formatCode="0_);\-0_);"/>
    <numFmt numFmtId="212" formatCode="General_)"/>
    <numFmt numFmtId="213" formatCode="#,##0_)"/>
    <numFmt numFmtId="214" formatCode="_-&quot;F&quot;\ * #,##0_-;_-&quot;F&quot;\ * #,##0\-;_-&quot;F&quot;\ * &quot;-&quot;_-;_-@_-"/>
    <numFmt numFmtId="215" formatCode="_-&quot;F&quot;\ * #,##0.00_-;_-&quot;F&quot;\ * #,##0.00\-;_-&quot;F&quot;\ * &quot;-&quot;??_-;_-@_-"/>
    <numFmt numFmtId="216" formatCode="\¥#,##0_);\(\¥#,##0\)"/>
    <numFmt numFmtId="217" formatCode=";;&quot;zero&quot;;&quot;  &quot;@"/>
    <numFmt numFmtId="218" formatCode="#,##0.00&quot;р.&quot;;\-#,##0.00&quot;р.&quot;"/>
    <numFmt numFmtId="219" formatCode="#,##0\т"/>
    <numFmt numFmtId="220" formatCode="_-* #,##0.00_-;\-* #,##0.00_-;_-* &quot;-&quot;??_-;_-@_-"/>
    <numFmt numFmtId="221" formatCode="%#\.00"/>
    <numFmt numFmtId="222" formatCode="_([$$-409]* #,##0_);_([$$-409]* \(#,##0\);_([$$-409]* &quot;-&quot;_);_(@_)"/>
    <numFmt numFmtId="223" formatCode="###,000"/>
    <numFmt numFmtId="224" formatCode="_(* #,##0.0_);_(* \(#,##0.0\);_(* &quot;-&quot;??_);_(@_)"/>
    <numFmt numFmtId="225" formatCode="_(* #,##0.0_);_(* \(#,##0.0\);_(* &quot;-&quot;?_);_(@_)"/>
    <numFmt numFmtId="226" formatCode="[$-409]dd\-mmm\-yy;@"/>
    <numFmt numFmtId="227" formatCode="&quot;FY&quot;#"/>
    <numFmt numFmtId="228" formatCode="#&quot;Q&quot;"/>
    <numFmt numFmtId="229" formatCode="_(&quot;$&quot;* #,##0.0_);_(&quot;$&quot;* \(#,##0.0\);_(&quot;$&quot;* &quot;-&quot;?_);_(@_)"/>
    <numFmt numFmtId="230" formatCode="0.0_)\%;\(0.0\)\%;0.0_)\%;@_)_%"/>
    <numFmt numFmtId="231" formatCode="#,##0.0_)_%;\(#,##0.0\)_%;0.0_)_%;@_)_%"/>
    <numFmt numFmtId="232" formatCode="#,##0.0_);\(#,##0.0\);#,##0.0_);@_)"/>
    <numFmt numFmtId="233" formatCode="&quot;$&quot;_(#,##0.00_);&quot;$&quot;\(#,##0.00\);&quot;$&quot;_(0.00_);@_)"/>
    <numFmt numFmtId="234" formatCode="#,##0.00_);\(#,##0.00\);0.00_);@_)"/>
    <numFmt numFmtId="235" formatCode="\€_(#,##0.00_);\€\(#,##0.00\);\€_(0.00_);@_)"/>
    <numFmt numFmtId="236" formatCode="#,##0_)\x;\(#,##0\)\x;0_)\x;@_)_x"/>
    <numFmt numFmtId="237" formatCode="#,##0_)_x;\(#,##0\)_x;0_)_x;@_)_x"/>
    <numFmt numFmtId="238" formatCode="\£\ #,##0_);[Red]\(\£\ #,##0\)"/>
    <numFmt numFmtId="239" formatCode="\¥\ #,##0_);[Red]\(\¥\ #,##0\)"/>
    <numFmt numFmtId="240" formatCode="\•\ \ @"/>
    <numFmt numFmtId="241" formatCode="\(#,##0\)\ "/>
    <numFmt numFmtId="242" formatCode="[Blue]0.0%;[Blue]\(0.0%\)"/>
    <numFmt numFmtId="243" formatCode="0.0%;\(0.0%\)"/>
    <numFmt numFmtId="244" formatCode="[Red]0.0%;[Red]\(0.0%\)"/>
    <numFmt numFmtId="245" formatCode="[Blue]#,##0_);[Blue]\(#,##0\)"/>
    <numFmt numFmtId="246" formatCode="#,##0_);[Blue]\(#,##0\)"/>
    <numFmt numFmtId="247" formatCode="0.0%;\(0.0\)%"/>
    <numFmt numFmtId="248" formatCode="#,##0.000_);[Red]\(#,##0.000\)"/>
    <numFmt numFmtId="249" formatCode="_._.* #,##0.0_)_%;_._.* \(#,##0.0\)_%"/>
    <numFmt numFmtId="250" formatCode="_._.* #,##0.00_)_%;_._.* \(#,##0.00\)_%"/>
    <numFmt numFmtId="251" formatCode="_._.* #,##0.000_)_%;_._.* \(#,##0.000\)_%"/>
    <numFmt numFmtId="252" formatCode="_._.* #,##0.0000_);_._.* \(#,##0.0000\);_._.* \-??_.?_);_._.@_)"/>
    <numFmt numFmtId="253" formatCode="_._.* #,##0.00000_);_._.* \(#,##0.00000\);_._.* \-??_.?_);_._.@_)"/>
    <numFmt numFmtId="254" formatCode="#,##0.000_%_);\(#,##0.000\)_%;**;@_%_)"/>
    <numFmt numFmtId="255" formatCode="&quot;$&quot;#,##0.000_);[Red]\(&quot;$&quot;#,##0.000\)"/>
    <numFmt numFmtId="256" formatCode="_._.&quot;$&quot;* #,##0.0_)_%;_._.&quot;$&quot;* \(#,##0.0\)_%"/>
    <numFmt numFmtId="257" formatCode="_._.&quot;$&quot;* #,##0.00_)_%;_._.&quot;$&quot;* \(#,##0.00\)_%"/>
    <numFmt numFmtId="258" formatCode="_._.&quot;$&quot;* #,##0.000_)_%;_._.&quot;$&quot;* \(#,##0.000\)_%"/>
    <numFmt numFmtId="259" formatCode="_._.&quot;$&quot;* #,##0.0000_);_._.&quot;$&quot;* \(#,##0.0000\);\ _._.&quot;$&quot;* \-??_.??_);_._.@_)"/>
    <numFmt numFmtId="260" formatCode="_._.&quot;$&quot;* #,##0.00000_);_._.&quot;$&quot;* \(#,##0.00000\);\ _._.&quot;$&quot;* \-??_.??_);_._.@_)"/>
    <numFmt numFmtId="261" formatCode="&quot;$&quot;#,##0.000_%_);\(&quot;$&quot;#,##0.000\)_%;**;@_%_)"/>
    <numFmt numFmtId="262" formatCode="0000"/>
    <numFmt numFmtId="263" formatCode="\ \ _•\–\ \ \ \ @"/>
    <numFmt numFmtId="264" formatCode="mm/dd/yy"/>
    <numFmt numFmtId="265" formatCode="&quot;$&quot;#,##0.0;[Red]\(&quot;$&quot;#,##0.0\)"/>
    <numFmt numFmtId="266" formatCode="#,##0.0000_);[Red]\(#,##0.0000\)"/>
    <numFmt numFmtId="267" formatCode="#,##0.000_);\(#,##0.000\)"/>
    <numFmt numFmtId="268" formatCode="hh:mm:ss\ AM/PM_)"/>
    <numFmt numFmtId="269" formatCode="#,##0.0_);\(#,##0.0\)"/>
    <numFmt numFmtId="270" formatCode="&quot;$&quot;#,##0"/>
    <numFmt numFmtId="271" formatCode="#,##0;[Red]\(#,##0\)"/>
    <numFmt numFmtId="272" formatCode="#,##0_);[Red]_(#,##0\);_(&quot;-&quot;_);@"/>
    <numFmt numFmtId="273" formatCode="0.00_)"/>
    <numFmt numFmtId="274" formatCode="_(* #,##0,_);_(* \(#,##0,\);_(* &quot;-&quot;??_);_(@_)"/>
    <numFmt numFmtId="275" formatCode="_(&quot;$&quot;* #,##0,_);_(&quot;$&quot;* \(#,##0,\);_(&quot;$&quot;* &quot;-&quot;??_);_(@_)"/>
    <numFmt numFmtId="276" formatCode="_-* #,##0\ &quot;F&quot;_-;\-* #,##0\ &quot;F&quot;_-;_-* &quot;-&quot;\ &quot;F&quot;_-;_-@_-"/>
    <numFmt numFmtId="277" formatCode="0.0"/>
    <numFmt numFmtId="278" formatCode="#,##0\ \ \ ;[Red]\(#,##0\)\ \ ;\—\ \ \ "/>
    <numFmt numFmtId="279" formatCode="_(0_)%;\(0\)%"/>
    <numFmt numFmtId="280" formatCode="_._._(* 0_)%;_._.* \(0\)%"/>
    <numFmt numFmtId="281" formatCode="_._._(0%_);_._.\(0\)%_)"/>
    <numFmt numFmtId="282" formatCode="0%_);\(0%\)"/>
    <numFmt numFmtId="283" formatCode="0%;\(0%\)"/>
    <numFmt numFmtId="284" formatCode="0.000%"/>
    <numFmt numFmtId="285" formatCode="_(0.0_)%;\(0.0\)%"/>
    <numFmt numFmtId="286" formatCode="_._._(* 0.0_)%;_._.* \(0.0\)%"/>
    <numFmt numFmtId="287" formatCode="_._._(0.0%_);_._.\(0.0\)%_)"/>
    <numFmt numFmtId="288" formatCode="_(0.00_)%;\(0.00\)%"/>
    <numFmt numFmtId="289" formatCode="_._._(* 0.00_)%;_._.* \(0.00\)%"/>
    <numFmt numFmtId="290" formatCode="_._._(0.00%_);_._.\(0.00\)%_)"/>
    <numFmt numFmtId="291" formatCode="_(0.000_)%;\(0.000\)%"/>
    <numFmt numFmtId="292" formatCode="_._._(* 0.000_)%;_._.* \(0.000\)%"/>
    <numFmt numFmtId="293" formatCode="_._._(0.000%_);_._.\(0.000\)%_)"/>
    <numFmt numFmtId="294" formatCode="_(0.0000_)%;\(0.0000\)%"/>
    <numFmt numFmtId="295" formatCode="_._._(* 0.0000_)%;_._.* \(0.0000\)%"/>
    <numFmt numFmtId="296" formatCode="_._._(0.0000%_);_._.\(0.0000\)%_)"/>
    <numFmt numFmtId="297" formatCode="0.0%;[Red]\-0.0%"/>
    <numFmt numFmtId="298" formatCode="#,##0.0\%_);\(#,##0.0\%\);#,##0.0\%_);@_%_)"/>
    <numFmt numFmtId="299" formatCode="&quot;$&quot;#,##0.00;\(&quot;$&quot;#,##0.00\)"/>
    <numFmt numFmtId="300" formatCode="_-* #,##0\ _F_-;\-* #,##0\ _F_-;_-* &quot;-&quot;\ _F_-;_-@_-"/>
    <numFmt numFmtId="301" formatCode="#,##0.0"/>
    <numFmt numFmtId="302" formatCode="#,##0.000"/>
    <numFmt numFmtId="303" formatCode="mm/dd/yyyy"/>
    <numFmt numFmtId="304" formatCode="_(&quot;$&quot;* #,##0.00_);_(&quot;$&quot;* \(#,##0.00\);_(* &quot;-&quot;_);_(@_)"/>
    <numFmt numFmtId="305" formatCode="_(&quot;$&quot;* #,##0.0_);_(&quot;$&quot;* \(#,##0.0\);_(* &quot;-&quot;_);_(@_)"/>
    <numFmt numFmtId="306" formatCode="_(* #,##0.0_);_(* \(#,##0.0\);_(* &quot;-&quot;_);_(@_)"/>
    <numFmt numFmtId="307" formatCode="_(#,##0.0_);_(\(#,##0.0\);_(* &quot;-&quot;_);_(@_)"/>
    <numFmt numFmtId="308" formatCode="_(&quot;$&quot;#,##0.0_);_(&quot;$&quot;\(#,##0.0\);_(* &quot;-&quot;_);_(@_)"/>
    <numFmt numFmtId="309" formatCode="###0_);[Red]\(###0\)"/>
    <numFmt numFmtId="310" formatCode="m/yy"/>
    <numFmt numFmtId="311" formatCode="#,##0_);\(#,##0_)"/>
    <numFmt numFmtId="312" formatCode="dd\-mmm_)"/>
    <numFmt numFmtId="313" formatCode="&quot;$&quot;#,##0.0;\(&quot;$&quot;#,##0.0\)"/>
    <numFmt numFmtId="314" formatCode="#,##0.0000000_);\(#,##0.0000000\)"/>
    <numFmt numFmtId="315" formatCode="_(* #,##0_);_(* \(#,##0\);_(* 0_);_(@_)"/>
    <numFmt numFmtId="316" formatCode="_(* #,##0.0_);_(* \(#,##0.0\)"/>
    <numFmt numFmtId="317" formatCode="_(* #,##0.00_);_(* \(#,##0.00\)"/>
    <numFmt numFmtId="318" formatCode="_(* #,##0.000_);_(* \(#,##0.000\)"/>
    <numFmt numFmtId="319" formatCode="_(&quot;$&quot;* #,##0_);_(&quot;$&quot;* \(#,##0\);_(&quot;$&quot;* 0_);_(@_)"/>
    <numFmt numFmtId="320" formatCode="_(&quot;$&quot;* #,##0.0_);_(&quot;$&quot;* \(#,##0.0\)"/>
    <numFmt numFmtId="321" formatCode="_(&quot;$&quot;* #,##0.00_);_(&quot;$&quot;* \(#,##0.00\)"/>
    <numFmt numFmtId="322" formatCode="_(&quot;$&quot;* #,##0.000_);_(&quot;$&quot;* \(#,##0.000\)"/>
    <numFmt numFmtId="323" formatCode="0.0_ &quot;     &quot;"/>
    <numFmt numFmtId="324" formatCode="_._-* ###0_);_._.* \(###0\);_._.* \-??_);_._.@_)"/>
    <numFmt numFmtId="325" formatCode="###0_);\ \(###0\);_._.* \-??_);_._.@_)"/>
    <numFmt numFmtId="326" formatCode="_-&quot;\&quot;* #,##0_-;\-&quot;\&quot;* #,##0_-;_-&quot;\&quot;* &quot;-&quot;_-;_-@_-"/>
    <numFmt numFmtId="327" formatCode="_-&quot;\&quot;* #,##0.00_-;\-&quot;\&quot;* #,##0.00_-;_-&quot;\&quot;* &quot;-&quot;??_-;_-@_-"/>
    <numFmt numFmtId="328" formatCode="* #,##0.0_);* \(#,##0.0\);* &quot;-&quot;_)"/>
    <numFmt numFmtId="329" formatCode="&quot;$&quot;#,##0.0_);[Red]\(&quot;$&quot;#,##0.0\)"/>
    <numFmt numFmtId="330" formatCode="_([$$-409]* #,##0.0_);_([$$-409]* \(#,##0.0\);_([$$-409]* &quot;-&quot;_);_(@_)"/>
    <numFmt numFmtId="331" formatCode="#,###.0\x"/>
    <numFmt numFmtId="332" formatCode="&quot;£&quot;#,##0.00;[Red]\-&quot;£&quot;#,##0.00"/>
    <numFmt numFmtId="333" formatCode="&quot;£&quot;#,##0;[Red]\-&quot;£&quot;#,##0"/>
    <numFmt numFmtId="334" formatCode="&quot;$&quot;_(#,##0.00_);&quot;$&quot;\(#,##0.00\)"/>
    <numFmt numFmtId="335" formatCode="#,##0.0_)\x;\(#,##0.0\)\x"/>
    <numFmt numFmtId="336" formatCode="#,##0.0_)\x;\(#,##0.0\)\x;0.0_)\x;@_)_x"/>
    <numFmt numFmtId="337" formatCode="#,##0.0_)_x;\(#,##0.0\)_x;0.0_)_x;@_)_x"/>
    <numFmt numFmtId="338" formatCode="0.0_)\%;\(0.0\)\%"/>
    <numFmt numFmtId="339" formatCode="#,##0.0_)_%;\(#,##0.0\)_%"/>
    <numFmt numFmtId="340" formatCode="mmm\-dd\-yyyy"/>
    <numFmt numFmtId="341" formatCode="#,##0.0\x"/>
    <numFmt numFmtId="342" formatCode="_(#,##0.0%_);_(\(#,##0.0%\)_);_(#,##0.0%_)"/>
    <numFmt numFmtId="343" formatCode="_(&quot;$&quot;* #,##0_);_(&quot;$&quot;* \(#,##0\);_(&quot;$&quot;* &quot;-&quot;??_);_(@_)"/>
    <numFmt numFmtId="344" formatCode="_(* #,##0.0_);_(* \(#,##0.0\);_(* &quot;--- &quot;_)"/>
    <numFmt numFmtId="345" formatCode="#,##0;\(#,##0\)"/>
    <numFmt numFmtId="346" formatCode="0\A"/>
    <numFmt numFmtId="347" formatCode="#,##0.0;\(#,##0.0\)"/>
    <numFmt numFmtId="348" formatCode="_-* #,##0_-;\-* #,##0_-;_-* &quot;-&quot;??_-;_-@_-"/>
    <numFmt numFmtId="349" formatCode="#,##0.0;\(###0.0\)"/>
    <numFmt numFmtId="350" formatCode="0.0&quot;  &quot;"/>
    <numFmt numFmtId="351" formatCode="_-* #,##0_-;\(#,##0\);_-* &quot;–&quot;_-;_-@_-"/>
    <numFmt numFmtId="352" formatCode="##0.00"/>
    <numFmt numFmtId="353" formatCode="#,##0.00;;;[White]General"/>
    <numFmt numFmtId="354" formatCode="mmm\-yyyy"/>
    <numFmt numFmtId="355" formatCode="&quot;$&quot;0.0"/>
    <numFmt numFmtId="356" formatCode="#,##0;\(#,##0\);\–;@"/>
    <numFmt numFmtId="357" formatCode="_(&quot;CHF&quot;* #,##0.0_);_(&quot;CHF&quot;* \(#,##0.0\);_(&quot;CHF&quot;* &quot;-&quot;??_);_(@_)"/>
    <numFmt numFmtId="358" formatCode="0.00\ "/>
  </numFmts>
  <fonts count="33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5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Tms Rmn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theme="1"/>
      <name val="Arial"/>
      <family val="2"/>
    </font>
    <font>
      <i/>
      <sz val="8"/>
      <color theme="1"/>
      <name val="Arial"/>
      <family val="2"/>
    </font>
    <font>
      <sz val="8"/>
      <color indexed="17"/>
      <name val="Arial"/>
      <family val="2"/>
    </font>
    <font>
      <b/>
      <u val="singleAccounting"/>
      <sz val="8"/>
      <color theme="1"/>
      <name val="Arial"/>
      <family val="2"/>
    </font>
    <font>
      <u val="singleAccounting"/>
      <sz val="8"/>
      <color theme="1"/>
      <name val="Arial"/>
      <family val="2"/>
    </font>
    <font>
      <i/>
      <sz val="8"/>
      <name val="Arial"/>
      <family val="2"/>
    </font>
    <font>
      <b/>
      <u/>
      <sz val="8"/>
      <color theme="1"/>
      <name val="Arial"/>
      <family val="2"/>
    </font>
    <font>
      <sz val="8"/>
      <color indexed="12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u val="singleAccounting"/>
      <sz val="8"/>
      <name val="Arial"/>
      <family val="2"/>
    </font>
    <font>
      <sz val="12"/>
      <name val="Arial"/>
      <family val="2"/>
    </font>
    <font>
      <sz val="10"/>
      <name val="Arial Narrow"/>
      <family val="2"/>
    </font>
    <font>
      <b/>
      <sz val="14"/>
      <color indexed="25"/>
      <name val="Arial"/>
      <family val="2"/>
    </font>
    <font>
      <i/>
      <sz val="10"/>
      <color indexed="25"/>
      <name val="Arial Narrow"/>
      <family val="2"/>
    </font>
    <font>
      <sz val="10"/>
      <color indexed="25"/>
      <name val="Arial Narrow"/>
      <family val="2"/>
    </font>
    <font>
      <b/>
      <sz val="10"/>
      <color indexed="25"/>
      <name val="Arial Narrow"/>
      <family val="2"/>
    </font>
    <font>
      <sz val="8"/>
      <color indexed="25"/>
      <name val="Arial Narrow"/>
      <family val="2"/>
    </font>
    <font>
      <sz val="8"/>
      <color indexed="10"/>
      <name val="Arial"/>
      <family val="2"/>
    </font>
    <font>
      <b/>
      <u/>
      <sz val="8"/>
      <name val="Arial"/>
      <family val="2"/>
    </font>
    <font>
      <u/>
      <sz val="8"/>
      <name val="Arial"/>
      <family val="2"/>
    </font>
    <font>
      <b/>
      <sz val="8"/>
      <color indexed="17"/>
      <name val="Arial"/>
      <family val="2"/>
    </font>
    <font>
      <sz val="8"/>
      <color indexed="39"/>
      <name val="Arial"/>
      <family val="2"/>
    </font>
    <font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8"/>
      <color rgb="FF0000FF"/>
      <name val="Arial"/>
      <family val="2"/>
    </font>
    <font>
      <sz val="8"/>
      <color rgb="FF000000"/>
      <name val="Arial"/>
      <family val="2"/>
    </font>
    <font>
      <sz val="11"/>
      <color indexed="8"/>
      <name val="Calibri"/>
      <family val="2"/>
      <charset val="204"/>
    </font>
    <font>
      <b/>
      <sz val="12"/>
      <name val="Arial"/>
      <family val="2"/>
    </font>
    <font>
      <sz val="10"/>
      <name val="Book Antiqua"/>
      <family val="1"/>
    </font>
    <font>
      <sz val="10"/>
      <name val="Helv"/>
      <charset val="204"/>
    </font>
    <font>
      <sz val="10"/>
      <name val="Helv"/>
    </font>
    <font>
      <sz val="10"/>
      <name val="Courier"/>
      <family val="3"/>
    </font>
    <font>
      <sz val="10"/>
      <name val="Arial Cyr"/>
      <family val="2"/>
      <charset val="204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8"/>
      <name val="Arial Narrow"/>
      <family val="2"/>
      <charset val="238"/>
    </font>
    <font>
      <b/>
      <i/>
      <sz val="12"/>
      <name val="Arial"/>
      <family val="2"/>
    </font>
    <font>
      <b/>
      <sz val="12"/>
      <color indexed="9"/>
      <name val="Arial"/>
      <family val="2"/>
    </font>
    <font>
      <b/>
      <sz val="14"/>
      <color indexed="9"/>
      <name val="Arial"/>
      <family val="2"/>
    </font>
    <font>
      <b/>
      <i/>
      <sz val="14"/>
      <name val="Arial"/>
      <family val="2"/>
    </font>
    <font>
      <b/>
      <i/>
      <sz val="20"/>
      <name val="Arial"/>
      <family val="2"/>
    </font>
    <font>
      <b/>
      <sz val="16"/>
      <color indexed="9"/>
      <name val="Arial"/>
      <family val="2"/>
    </font>
    <font>
      <b/>
      <sz val="14"/>
      <name val="Arial"/>
      <family val="2"/>
    </font>
    <font>
      <b/>
      <i/>
      <sz val="22"/>
      <name val="Arial"/>
      <family val="2"/>
    </font>
    <font>
      <sz val="11"/>
      <color indexed="9"/>
      <name val="Calibri"/>
      <family val="2"/>
    </font>
    <font>
      <sz val="8"/>
      <name val="Helv"/>
      <charset val="204"/>
    </font>
    <font>
      <sz val="12"/>
      <name val="Times New Roman"/>
      <family val="1"/>
    </font>
    <font>
      <u/>
      <sz val="10"/>
      <color indexed="12"/>
      <name val="Arial Cyr"/>
      <charset val="204"/>
    </font>
    <font>
      <b/>
      <sz val="10"/>
      <color indexed="8"/>
      <name val="Arial"/>
      <family val="2"/>
    </font>
    <font>
      <sz val="10"/>
      <color indexed="8"/>
      <name val="Tms Rmn"/>
    </font>
    <font>
      <sz val="10"/>
      <color indexed="12"/>
      <name val="Times New Roman"/>
      <family val="1"/>
    </font>
    <font>
      <sz val="12"/>
      <name val="Tms Rmn"/>
    </font>
    <font>
      <u val="singleAccounting"/>
      <sz val="10"/>
      <name val="Arial"/>
      <family val="2"/>
    </font>
    <font>
      <sz val="12"/>
      <name val="±???A?"/>
      <charset val="129"/>
    </font>
    <font>
      <sz val="10"/>
      <color indexed="8"/>
      <name val="MS Sans Serif"/>
      <family val="2"/>
    </font>
    <font>
      <b/>
      <sz val="11"/>
      <color indexed="52"/>
      <name val="Calibri"/>
      <family val="2"/>
    </font>
    <font>
      <sz val="10"/>
      <name val="Times New Roman CE"/>
      <charset val="238"/>
    </font>
    <font>
      <sz val="11"/>
      <color indexed="52"/>
      <name val="Calibri"/>
      <family val="2"/>
    </font>
    <font>
      <b/>
      <sz val="11"/>
      <color indexed="9"/>
      <name val="Calibri"/>
      <family val="2"/>
    </font>
    <font>
      <b/>
      <sz val="12"/>
      <name val="Times New Roman"/>
      <family val="1"/>
    </font>
    <font>
      <sz val="10"/>
      <name val="Arial CE"/>
      <charset val="238"/>
    </font>
    <font>
      <sz val="8"/>
      <color indexed="12"/>
      <name val="Times New Roman"/>
      <family val="1"/>
    </font>
    <font>
      <sz val="8"/>
      <name val="Palatino"/>
      <family val="1"/>
    </font>
    <font>
      <sz val="10"/>
      <name val="MS Sans Serif"/>
      <family val="2"/>
    </font>
    <font>
      <sz val="12"/>
      <color indexed="24"/>
      <name val="Arial"/>
      <family val="2"/>
    </font>
    <font>
      <b/>
      <sz val="10"/>
      <name val="Arial"/>
      <family val="2"/>
    </font>
    <font>
      <u val="doubleAccounting"/>
      <sz val="10"/>
      <name val="Arial"/>
      <family val="2"/>
    </font>
    <font>
      <sz val="10"/>
      <name val="Times New Roman CE"/>
    </font>
    <font>
      <i/>
      <sz val="1"/>
      <color indexed="8"/>
      <name val="Courier"/>
      <family val="3"/>
    </font>
    <font>
      <sz val="7"/>
      <name val="Palatino"/>
      <family val="1"/>
    </font>
    <font>
      <sz val="10"/>
      <color indexed="12"/>
      <name val="Arial"/>
      <family val="2"/>
    </font>
    <font>
      <sz val="10"/>
      <color indexed="17"/>
      <name val="Times New Roman"/>
      <family val="1"/>
    </font>
    <font>
      <sz val="6"/>
      <color indexed="16"/>
      <name val="Palatino"/>
      <family val="1"/>
    </font>
    <font>
      <b/>
      <sz val="8"/>
      <name val="Palatino"/>
      <family val="1"/>
    </font>
    <font>
      <sz val="12"/>
      <color indexed="24"/>
      <name val="Arial CE"/>
      <charset val="238"/>
    </font>
    <font>
      <b/>
      <sz val="12"/>
      <color indexed="24"/>
      <name val="Arial CE"/>
      <charset val="238"/>
    </font>
    <font>
      <b/>
      <i/>
      <sz val="22"/>
      <name val="Times New Roman"/>
      <family val="1"/>
    </font>
    <font>
      <sz val="10"/>
      <color indexed="9"/>
      <name val="Times New Roman"/>
      <family val="1"/>
    </font>
    <font>
      <u/>
      <sz val="10.45"/>
      <color indexed="12"/>
      <name val="Arial"/>
      <family val="2"/>
    </font>
    <font>
      <sz val="10"/>
      <name val="Times New Roman Cyr"/>
    </font>
    <font>
      <u/>
      <sz val="10"/>
      <color indexed="36"/>
      <name val="Arial Cyr"/>
      <charset val="204"/>
    </font>
    <font>
      <b/>
      <u/>
      <sz val="16"/>
      <name val="Arial"/>
      <family val="2"/>
    </font>
    <font>
      <sz val="11"/>
      <color indexed="60"/>
      <name val="Calibri"/>
      <family val="2"/>
    </font>
    <font>
      <sz val="7"/>
      <name val="Small Fonts"/>
      <family val="2"/>
    </font>
    <font>
      <sz val="10"/>
      <name val="Arial Cyr"/>
      <charset val="204"/>
    </font>
    <font>
      <sz val="10"/>
      <name val="Palatino"/>
      <family val="1"/>
    </font>
    <font>
      <sz val="8"/>
      <name val="Arial CE"/>
    </font>
    <font>
      <sz val="10"/>
      <color indexed="8"/>
      <name val="Arial"/>
      <family val="2"/>
    </font>
    <font>
      <b/>
      <i/>
      <sz val="10"/>
      <color indexed="8"/>
      <name val="Arial"/>
      <family val="2"/>
    </font>
    <font>
      <b/>
      <sz val="10"/>
      <color indexed="9"/>
      <name val="Arial"/>
      <family val="2"/>
    </font>
    <font>
      <b/>
      <sz val="10"/>
      <color indexed="17"/>
      <name val="Arial"/>
      <family val="2"/>
    </font>
    <font>
      <b/>
      <sz val="10"/>
      <color indexed="13"/>
      <name val="Arial"/>
      <family val="2"/>
    </font>
    <font>
      <b/>
      <sz val="20"/>
      <name val="Times New Roman"/>
      <family val="1"/>
    </font>
    <font>
      <sz val="10"/>
      <color indexed="16"/>
      <name val="Helvetica-Black"/>
    </font>
    <font>
      <sz val="10"/>
      <color indexed="10"/>
      <name val="Times New Roman"/>
      <family val="1"/>
    </font>
    <font>
      <sz val="9.5"/>
      <color indexed="23"/>
      <name val="Helvetica-Black"/>
    </font>
    <font>
      <b/>
      <sz val="10"/>
      <color indexed="39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sz val="10"/>
      <name val="Tms Rmn"/>
    </font>
    <font>
      <sz val="10"/>
      <name val="ZapfCalligr BT"/>
    </font>
    <font>
      <b/>
      <sz val="14"/>
      <color indexed="11"/>
      <name val="Arial CE"/>
      <family val="2"/>
      <charset val="238"/>
    </font>
    <font>
      <sz val="14"/>
      <name val="Times New Roman CE"/>
      <family val="1"/>
      <charset val="238"/>
    </font>
    <font>
      <b/>
      <sz val="14"/>
      <name val="Arial CE"/>
      <charset val="238"/>
    </font>
    <font>
      <b/>
      <sz val="14"/>
      <name val="Times New Roman CE"/>
      <family val="1"/>
      <charset val="238"/>
    </font>
    <font>
      <b/>
      <i/>
      <sz val="12"/>
      <color indexed="19"/>
      <name val="Arial CE"/>
      <family val="2"/>
      <charset val="238"/>
    </font>
    <font>
      <sz val="12"/>
      <name val="Arial CE"/>
      <family val="2"/>
      <charset val="238"/>
    </font>
    <font>
      <b/>
      <i/>
      <u/>
      <sz val="20"/>
      <color indexed="12"/>
      <name val="Arial CE"/>
      <charset val="238"/>
    </font>
    <font>
      <b/>
      <sz val="14"/>
      <color indexed="13"/>
      <name val="Arial CE"/>
      <family val="2"/>
      <charset val="238"/>
    </font>
    <font>
      <sz val="14"/>
      <color indexed="12"/>
      <name val="Arial CE"/>
      <family val="2"/>
      <charset val="238"/>
    </font>
    <font>
      <b/>
      <sz val="12"/>
      <name val="Courier New CE"/>
      <family val="3"/>
      <charset val="238"/>
    </font>
    <font>
      <b/>
      <sz val="18"/>
      <name val="Times New Roman"/>
      <family val="1"/>
    </font>
    <font>
      <b/>
      <sz val="9"/>
      <name val="Palatino"/>
      <family val="1"/>
    </font>
    <font>
      <sz val="9"/>
      <color indexed="21"/>
      <name val="Helvetica-Black"/>
    </font>
    <font>
      <b/>
      <sz val="10"/>
      <name val="Palatino"/>
      <family val="1"/>
    </font>
    <font>
      <sz val="9"/>
      <name val="Helvetica-Black"/>
    </font>
    <font>
      <b/>
      <sz val="10"/>
      <name val="Times New Roman"/>
      <family val="1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sz val="12"/>
      <color indexed="8"/>
      <name val="Palatino"/>
      <family val="1"/>
    </font>
    <font>
      <sz val="11"/>
      <color indexed="8"/>
      <name val="Helvetica-Black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4"/>
      <name val="Times New Roman"/>
      <family val="1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i/>
      <sz val="8"/>
      <name val="Helv"/>
    </font>
    <font>
      <sz val="12"/>
      <color indexed="62"/>
      <name val="Times New Roman"/>
      <family val="2"/>
      <charset val="204"/>
    </font>
    <font>
      <b/>
      <sz val="8"/>
      <name val="Arial Cyr"/>
      <family val="2"/>
      <charset val="204"/>
    </font>
    <font>
      <sz val="8"/>
      <name val="Arial Cyr"/>
    </font>
    <font>
      <sz val="10"/>
      <color indexed="9"/>
      <name val="Arial Cyr"/>
      <family val="2"/>
      <charset val="204"/>
    </font>
    <font>
      <b/>
      <sz val="12"/>
      <name val="Arial Cyr"/>
      <family val="2"/>
      <charset val="204"/>
    </font>
    <font>
      <sz val="10"/>
      <name val="Arial"/>
      <family val="2"/>
      <charset val="204"/>
    </font>
    <font>
      <sz val="12"/>
      <name val="Arial Cyr"/>
      <family val="2"/>
      <charset val="204"/>
    </font>
    <font>
      <sz val="14"/>
      <name val="Arial Cyr"/>
      <family val="2"/>
      <charset val="204"/>
    </font>
    <font>
      <sz val="10"/>
      <name val="Arial Cyr"/>
    </font>
    <font>
      <sz val="8"/>
      <name val="Arial Cyr"/>
      <family val="2"/>
      <charset val="204"/>
    </font>
    <font>
      <i/>
      <sz val="8"/>
      <color indexed="8"/>
      <name val="Arial"/>
      <family val="2"/>
    </font>
    <font>
      <sz val="8"/>
      <color rgb="FF008000"/>
      <name val="Arial"/>
      <family val="2"/>
    </font>
    <font>
      <b/>
      <u val="singleAccounting"/>
      <sz val="8"/>
      <color indexed="8"/>
      <name val="Arial"/>
      <family val="2"/>
    </font>
    <font>
      <u val="singleAccounting"/>
      <sz val="8"/>
      <color rgb="FF008000"/>
      <name val="Arial"/>
      <family val="2"/>
    </font>
    <font>
      <u val="singleAccounting"/>
      <sz val="8"/>
      <color rgb="FF0000FF"/>
      <name val="Arial"/>
      <family val="2"/>
    </font>
    <font>
      <sz val="8"/>
      <color rgb="FFFF0000"/>
      <name val="Arial"/>
      <family val="2"/>
    </font>
    <font>
      <i/>
      <sz val="8"/>
      <color rgb="FF0000FF"/>
      <name val="Arial"/>
      <family val="2"/>
    </font>
    <font>
      <sz val="8"/>
      <color rgb="FF1F497D"/>
      <name val="Verdana"/>
      <family val="2"/>
    </font>
    <font>
      <b/>
      <sz val="8"/>
      <color rgb="FF1F497D"/>
      <name val="Verdana"/>
      <family val="2"/>
    </font>
    <font>
      <sz val="8"/>
      <color rgb="FF000000"/>
      <name val="Verdana"/>
      <family val="2"/>
    </font>
    <font>
      <i/>
      <sz val="8"/>
      <color rgb="FF000000"/>
      <name val="Verdana"/>
      <family val="2"/>
    </font>
    <font>
      <b/>
      <sz val="8"/>
      <color rgb="FF00CC00"/>
      <name val="Verdana"/>
      <family val="2"/>
    </font>
    <font>
      <b/>
      <sz val="8"/>
      <color rgb="FF33CC33"/>
      <name val="Verdana"/>
      <family val="2"/>
    </font>
    <font>
      <b/>
      <sz val="8"/>
      <color rgb="FFFF9900"/>
      <name val="Verdana"/>
      <family val="2"/>
    </font>
    <font>
      <b/>
      <sz val="8"/>
      <color rgb="FFFF0000"/>
      <name val="Verdana"/>
      <family val="2"/>
    </font>
    <font>
      <b/>
      <sz val="8"/>
      <color indexed="9"/>
      <name val="Arial"/>
      <family val="2"/>
    </font>
    <font>
      <sz val="8"/>
      <color indexed="9"/>
      <name val="Arial"/>
      <family val="2"/>
    </font>
    <font>
      <u/>
      <sz val="8"/>
      <color theme="1"/>
      <name val="Arial"/>
      <family val="2"/>
    </font>
    <font>
      <sz val="10"/>
      <name val="Calibri"/>
      <family val="2"/>
    </font>
    <font>
      <b/>
      <sz val="8"/>
      <color indexed="8"/>
      <name val="Verdana"/>
      <family val="2"/>
    </font>
    <font>
      <sz val="1"/>
      <color indexed="9"/>
      <name val="Symbol"/>
      <family val="1"/>
      <charset val="2"/>
    </font>
    <font>
      <b/>
      <u val="singleAccounting"/>
      <sz val="8"/>
      <color indexed="8"/>
      <name val="Verdana"/>
      <family val="2"/>
    </font>
    <font>
      <b/>
      <sz val="12"/>
      <color indexed="8"/>
      <name val="Verdana"/>
      <family val="2"/>
    </font>
    <font>
      <b/>
      <sz val="8"/>
      <color indexed="9"/>
      <name val="Verdana"/>
      <family val="2"/>
    </font>
    <font>
      <vertAlign val="subscript"/>
      <sz val="8"/>
      <color indexed="8"/>
      <name val="Arial"/>
      <family val="2"/>
    </font>
    <font>
      <vertAlign val="superscript"/>
      <sz val="8"/>
      <color indexed="8"/>
      <name val="Arial"/>
      <family val="2"/>
    </font>
    <font>
      <b/>
      <sz val="13"/>
      <color indexed="8"/>
      <name val="Verdana"/>
      <family val="2"/>
    </font>
    <font>
      <b/>
      <sz val="8"/>
      <color rgb="FF0000FF"/>
      <name val="Arial"/>
      <family val="2"/>
    </font>
    <font>
      <sz val="8"/>
      <color theme="3" tint="0.39997558519241921"/>
      <name val="Arial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sz val="9"/>
      <color indexed="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8"/>
      <name val="Times New Roman"/>
      <family val="1"/>
    </font>
    <font>
      <strike/>
      <sz val="8"/>
      <name val="Arial"/>
      <family val="2"/>
    </font>
    <font>
      <b/>
      <sz val="8"/>
      <name val="Times New Roman"/>
      <family val="1"/>
    </font>
    <font>
      <b/>
      <sz val="12"/>
      <name val="Palatino"/>
      <family val="1"/>
    </font>
    <font>
      <sz val="10"/>
      <name val="Univers (WN)"/>
    </font>
    <font>
      <sz val="10"/>
      <color indexed="18"/>
      <name val="Times New Roman"/>
      <family val="1"/>
    </font>
    <font>
      <sz val="8"/>
      <color indexed="17"/>
      <name val="Times New Roman"/>
      <family val="1"/>
    </font>
    <font>
      <u val="singleAccounting"/>
      <sz val="10"/>
      <name val="Times New Roman"/>
      <family val="1"/>
    </font>
    <font>
      <sz val="10"/>
      <name val="Univers (E1)"/>
    </font>
    <font>
      <sz val="10"/>
      <color indexed="24"/>
      <name val="Arial"/>
      <family val="2"/>
    </font>
    <font>
      <b/>
      <sz val="13"/>
      <name val="Arial"/>
      <family val="2"/>
    </font>
    <font>
      <b/>
      <sz val="11"/>
      <name val="Times New Roman"/>
      <family val="1"/>
    </font>
    <font>
      <sz val="10"/>
      <name val="MS Serif"/>
      <family val="1"/>
    </font>
    <font>
      <sz val="8"/>
      <color indexed="16"/>
      <name val="Palatino"/>
      <family val="1"/>
    </font>
    <font>
      <sz val="8"/>
      <name val="Helv"/>
    </font>
    <font>
      <sz val="8"/>
      <color indexed="18"/>
      <name val="Times New Roman"/>
      <family val="1"/>
    </font>
    <font>
      <sz val="10"/>
      <name val="Geneva"/>
    </font>
    <font>
      <u/>
      <sz val="8"/>
      <color indexed="12"/>
      <name val="Times New Roman"/>
      <family val="1"/>
    </font>
    <font>
      <sz val="12"/>
      <color indexed="9"/>
      <name val="Helvetica"/>
      <family val="2"/>
    </font>
    <font>
      <sz val="10"/>
      <color indexed="16"/>
      <name val="MS Serif"/>
      <family val="1"/>
    </font>
    <font>
      <sz val="8"/>
      <name val="Univers (WN)"/>
    </font>
    <font>
      <b/>
      <sz val="7"/>
      <color indexed="12"/>
      <name val="Arial"/>
      <family val="2"/>
    </font>
    <font>
      <sz val="9"/>
      <name val="Bembo (DFS)"/>
    </font>
    <font>
      <b/>
      <sz val="16"/>
      <name val="Times New Roman"/>
      <family val="1"/>
    </font>
    <font>
      <b/>
      <sz val="8"/>
      <name val="MS Sans Serif"/>
      <family val="2"/>
    </font>
    <font>
      <b/>
      <i/>
      <sz val="8"/>
      <name val="Times New Roman"/>
      <family val="1"/>
    </font>
    <font>
      <sz val="8"/>
      <color indexed="10"/>
      <name val="Helv"/>
    </font>
    <font>
      <sz val="10"/>
      <color indexed="16"/>
      <name val="MS Sans Serif"/>
      <family val="2"/>
    </font>
    <font>
      <sz val="14"/>
      <name val="Helv"/>
    </font>
    <font>
      <sz val="12"/>
      <color indexed="12"/>
      <name val="Times New Roman"/>
      <family val="1"/>
    </font>
    <font>
      <sz val="8"/>
      <name val="Helvetica"/>
      <family val="2"/>
    </font>
    <font>
      <sz val="7"/>
      <color indexed="12"/>
      <name val="Arial"/>
      <family val="2"/>
    </font>
    <font>
      <sz val="8"/>
      <color indexed="8"/>
      <name val="Times New Roman"/>
      <family val="1"/>
    </font>
    <font>
      <sz val="11"/>
      <name val="Times New Roman"/>
      <family val="1"/>
    </font>
    <font>
      <b/>
      <sz val="26"/>
      <name val="Times New Roman"/>
      <family val="1"/>
    </font>
    <font>
      <u val="singleAccounting"/>
      <sz val="11"/>
      <name val="Times New Roman"/>
      <family val="1"/>
    </font>
    <font>
      <sz val="12"/>
      <name val="Helv"/>
      <family val="2"/>
    </font>
    <font>
      <b/>
      <sz val="10"/>
      <name val="MS Sans Serif"/>
      <family val="2"/>
    </font>
    <font>
      <sz val="8"/>
      <name val="Wingdings"/>
      <charset val="2"/>
    </font>
    <font>
      <sz val="8"/>
      <name val="MS Sans Serif"/>
      <family val="2"/>
    </font>
    <font>
      <b/>
      <sz val="12"/>
      <name val="Courier"/>
      <family val="3"/>
    </font>
    <font>
      <b/>
      <sz val="16"/>
      <name val="Arial"/>
      <family val="2"/>
    </font>
    <font>
      <sz val="7"/>
      <name val="Arial"/>
      <family val="2"/>
    </font>
    <font>
      <i/>
      <sz val="10"/>
      <color indexed="8"/>
      <name val="Arial"/>
      <family val="2"/>
    </font>
    <font>
      <b/>
      <sz val="12"/>
      <color indexed="8"/>
      <name val="Times New Roman"/>
      <family val="1"/>
    </font>
    <font>
      <b/>
      <i/>
      <u/>
      <sz val="12"/>
      <color indexed="8"/>
      <name val="Times New Roman"/>
      <family val="1"/>
    </font>
    <font>
      <b/>
      <i/>
      <sz val="12"/>
      <color indexed="8"/>
      <name val="Arial"/>
      <family val="2"/>
    </font>
    <font>
      <sz val="12"/>
      <color indexed="8"/>
      <name val="HLV"/>
    </font>
    <font>
      <b/>
      <sz val="8"/>
      <color indexed="8"/>
      <name val="Helv"/>
    </font>
    <font>
      <b/>
      <sz val="12"/>
      <name val="Univers (WN)"/>
    </font>
    <font>
      <b/>
      <sz val="20"/>
      <name val="Univers (WN)"/>
    </font>
    <font>
      <b/>
      <sz val="18"/>
      <name val="Univers (WN)"/>
    </font>
    <font>
      <sz val="8.5"/>
      <name val="Arial Narrow"/>
      <family val="2"/>
    </font>
    <font>
      <b/>
      <sz val="9"/>
      <name val="Arial"/>
      <family val="2"/>
    </font>
    <font>
      <sz val="8"/>
      <name val="Helvetica-Narrow"/>
      <family val="2"/>
    </font>
    <font>
      <b/>
      <sz val="7"/>
      <name val="Helvetica-Narrow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u/>
      <sz val="8"/>
      <name val="Times New Roman"/>
      <family val="1"/>
    </font>
    <font>
      <b/>
      <sz val="8"/>
      <name val="Helv"/>
    </font>
    <font>
      <b/>
      <i/>
      <sz val="24"/>
      <name val="Arial"/>
      <family val="2"/>
    </font>
    <font>
      <b/>
      <u/>
      <sz val="8"/>
      <name val="Times New Roman"/>
      <family val="1"/>
    </font>
    <font>
      <b/>
      <u val="singleAccounting"/>
      <sz val="11"/>
      <name val="Times New Roman"/>
      <family val="1"/>
    </font>
    <font>
      <u/>
      <sz val="11"/>
      <name val="Times New Roman"/>
      <family val="1"/>
    </font>
    <font>
      <sz val="11"/>
      <name val="돋움"/>
      <family val="3"/>
      <charset val="129"/>
    </font>
    <font>
      <b/>
      <sz val="8"/>
      <color rgb="FF008000"/>
      <name val="Arial"/>
      <family val="2"/>
    </font>
    <font>
      <u/>
      <sz val="8"/>
      <color rgb="FF0000FF"/>
      <name val="Arial"/>
      <family val="2"/>
    </font>
    <font>
      <sz val="8"/>
      <name val="Tms Rmn"/>
      <family val="1"/>
    </font>
    <font>
      <sz val="10"/>
      <name val="GS TheSans"/>
      <family val="2"/>
    </font>
    <font>
      <sz val="8"/>
      <name val="Tahoma"/>
      <family val="2"/>
    </font>
    <font>
      <sz val="11"/>
      <name val="‚l‚r ƒSƒVƒbƒN"/>
      <family val="3"/>
      <charset val="128"/>
    </font>
    <font>
      <b/>
      <sz val="10"/>
      <name val="Helv"/>
      <family val="2"/>
    </font>
    <font>
      <sz val="12"/>
      <name val="Arial MT"/>
      <family val="2"/>
    </font>
    <font>
      <b/>
      <sz val="10"/>
      <color indexed="17"/>
      <name val="MS Sans Serif"/>
      <family val="2"/>
    </font>
    <font>
      <u/>
      <sz val="8"/>
      <color rgb="FF008000"/>
      <name val="Arial"/>
      <family val="2"/>
    </font>
    <font>
      <sz val="8"/>
      <color theme="0"/>
      <name val="Arial"/>
      <family val="2"/>
    </font>
    <font>
      <b/>
      <u/>
      <sz val="8"/>
      <color indexed="8"/>
      <name val="Arial"/>
      <family val="2"/>
    </font>
    <font>
      <sz val="9"/>
      <color indexed="12"/>
      <name val="Times New Roman"/>
      <family val="1"/>
    </font>
    <font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2"/>
      <name val="Tms Rmn"/>
    </font>
    <font>
      <sz val="8"/>
      <color indexed="13"/>
      <name val="Arial"/>
      <family val="2"/>
    </font>
    <font>
      <sz val="9"/>
      <color indexed="9"/>
      <name val="Times New Roman"/>
      <family val="1"/>
    </font>
    <font>
      <sz val="8"/>
      <color indexed="12"/>
      <name val="Tms Rmn"/>
      <family val="1"/>
    </font>
    <font>
      <b/>
      <i/>
      <sz val="8"/>
      <name val="Arial"/>
      <family val="2"/>
    </font>
    <font>
      <b/>
      <sz val="10"/>
      <name val="Bookman"/>
      <family val="1"/>
    </font>
    <font>
      <sz val="9"/>
      <name val="Arial"/>
      <family val="2"/>
    </font>
    <font>
      <sz val="10"/>
      <color indexed="48"/>
      <name val="Times New Roman"/>
      <family val="1"/>
    </font>
    <font>
      <i/>
      <sz val="9"/>
      <name val="MS Sans Serif"/>
      <family val="2"/>
    </font>
    <font>
      <b/>
      <sz val="14"/>
      <name val="Book Antiqua"/>
      <family val="1"/>
    </font>
    <font>
      <sz val="14"/>
      <color indexed="32"/>
      <name val="Times New Roman"/>
      <family val="1"/>
    </font>
    <font>
      <b/>
      <sz val="8.5"/>
      <color indexed="17"/>
      <name val="Arial"/>
      <family val="2"/>
    </font>
    <font>
      <b/>
      <sz val="7"/>
      <color indexed="17"/>
      <name val="Arial"/>
      <family val="2"/>
    </font>
    <font>
      <sz val="8.5"/>
      <color indexed="8"/>
      <name val="Arial"/>
      <family val="2"/>
    </font>
    <font>
      <sz val="9"/>
      <name val="Futura UBS Bk"/>
      <family val="2"/>
    </font>
    <font>
      <sz val="10"/>
      <color indexed="17"/>
      <name val="Arial"/>
      <family val="2"/>
    </font>
    <font>
      <i/>
      <sz val="10"/>
      <color indexed="58"/>
      <name val="Times New Roman"/>
      <family val="1"/>
    </font>
    <font>
      <sz val="10"/>
      <name val="GillSans Light"/>
      <family val="2"/>
    </font>
    <font>
      <sz val="8"/>
      <name val="Book Antiqua"/>
      <family val="1"/>
    </font>
    <font>
      <i/>
      <sz val="7"/>
      <name val="Book Antiqua"/>
      <family val="1"/>
    </font>
    <font>
      <b/>
      <i/>
      <sz val="16"/>
      <name val="Helv"/>
      <family val="2"/>
    </font>
    <font>
      <sz val="8"/>
      <name val="Helv"/>
      <family val="2"/>
    </font>
    <font>
      <sz val="9"/>
      <color theme="1"/>
      <name val="Times New Roman"/>
      <family val="2"/>
    </font>
    <font>
      <sz val="10"/>
      <color indexed="72"/>
      <name val="System"/>
      <family val="2"/>
    </font>
    <font>
      <b/>
      <sz val="13.5"/>
      <name val="MS Sans Serif"/>
      <family val="2"/>
    </font>
    <font>
      <sz val="9"/>
      <name val="Times New Roman"/>
      <family val="1"/>
    </font>
    <font>
      <sz val="10"/>
      <name val="Geneva"/>
      <family val="2"/>
    </font>
    <font>
      <sz val="8"/>
      <color indexed="32"/>
      <name val="Arial"/>
      <family val="2"/>
    </font>
    <font>
      <sz val="8"/>
      <color indexed="12"/>
      <name val="Helvetica"/>
      <family val="2"/>
    </font>
    <font>
      <sz val="12"/>
      <name val="Helvetica"/>
      <family val="2"/>
    </font>
    <font>
      <b/>
      <sz val="14"/>
      <name val="Bookman"/>
      <family val="1"/>
    </font>
    <font>
      <i/>
      <sz val="8"/>
      <name val="Times New Roman"/>
      <family val="1"/>
    </font>
    <font>
      <b/>
      <sz val="8"/>
      <name val="HelveticaNeue Condensed"/>
    </font>
    <font>
      <sz val="8"/>
      <name val="HelveticaNeue LightCond"/>
      <family val="2"/>
    </font>
    <font>
      <b/>
      <sz val="7"/>
      <name val="HelveticaNeue Condensed"/>
      <family val="2"/>
    </font>
    <font>
      <b/>
      <sz val="9"/>
      <name val="Times New Roman"/>
      <family val="1"/>
    </font>
    <font>
      <b/>
      <sz val="8.5"/>
      <color indexed="8"/>
      <name val="Arial"/>
      <family val="2"/>
    </font>
    <font>
      <b/>
      <u/>
      <sz val="9"/>
      <name val="Arial"/>
      <family val="2"/>
    </font>
    <font>
      <b/>
      <u/>
      <sz val="14"/>
      <name val="Book Antiqua"/>
      <family val="1"/>
    </font>
    <font>
      <b/>
      <sz val="11"/>
      <color indexed="9"/>
      <name val="GillSans"/>
      <family val="2"/>
    </font>
    <font>
      <b/>
      <sz val="11"/>
      <name val="GillSans"/>
      <family val="2"/>
    </font>
    <font>
      <b/>
      <sz val="7"/>
      <name val="Arial"/>
      <family val="2"/>
    </font>
    <font>
      <u/>
      <sz val="8"/>
      <name val="Tms Rmn"/>
      <family val="1"/>
    </font>
    <font>
      <sz val="8"/>
      <color indexed="16"/>
      <name val="Helv"/>
      <family val="2"/>
    </font>
    <font>
      <sz val="8"/>
      <color rgb="FF1B1B1B"/>
      <name val="Arial"/>
      <family val="2"/>
    </font>
    <font>
      <b/>
      <sz val="8"/>
      <color rgb="FF1B1B1B"/>
      <name val="Arial"/>
      <family val="2"/>
    </font>
    <font>
      <u/>
      <sz val="8"/>
      <color rgb="FF1B1B1B"/>
      <name val="Arial"/>
      <family val="2"/>
    </font>
    <font>
      <i/>
      <sz val="8"/>
      <color rgb="FF1B1B1B"/>
      <name val="Arial"/>
      <family val="2"/>
    </font>
    <font>
      <sz val="8"/>
      <color theme="4"/>
      <name val="Arial"/>
      <family val="2"/>
    </font>
    <font>
      <i/>
      <u/>
      <sz val="8"/>
      <color theme="1"/>
      <name val="Arial"/>
      <family val="2"/>
    </font>
    <font>
      <b/>
      <sz val="10"/>
      <color rgb="FF0000FF"/>
      <name val="Arial"/>
      <family val="2"/>
    </font>
    <font>
      <i/>
      <sz val="8"/>
      <color rgb="FF000000"/>
      <name val="Arial"/>
      <family val="2"/>
    </font>
    <font>
      <i/>
      <sz val="8"/>
      <color theme="4"/>
      <name val="Arial"/>
      <family val="2"/>
    </font>
    <font>
      <i/>
      <u/>
      <sz val="8"/>
      <name val="Arial"/>
      <family val="2"/>
    </font>
    <font>
      <i/>
      <u/>
      <sz val="8"/>
      <color rgb="FF0000FF"/>
      <name val="Arial"/>
      <family val="2"/>
    </font>
    <font>
      <sz val="8"/>
      <color theme="0" tint="-0.34998626667073579"/>
      <name val="Arial"/>
      <family val="2"/>
    </font>
    <font>
      <i/>
      <sz val="11"/>
      <name val="Arial"/>
      <family val="2"/>
    </font>
    <font>
      <u/>
      <sz val="8"/>
      <color indexed="12"/>
      <name val="Arial"/>
      <family val="2"/>
    </font>
    <font>
      <b/>
      <sz val="24"/>
      <name val="Arial"/>
      <family val="2"/>
    </font>
  </fonts>
  <fills count="10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11"/>
        <bgColor indexed="11"/>
      </patternFill>
    </fill>
    <fill>
      <patternFill patternType="solid">
        <fgColor indexed="22"/>
      </patternFill>
    </fill>
    <fill>
      <patternFill patternType="lightGray">
        <fgColor indexed="15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33"/>
        <bgColor indexed="33"/>
      </patternFill>
    </fill>
    <fill>
      <patternFill patternType="solid">
        <fgColor indexed="1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7"/>
      </patternFill>
    </fill>
    <fill>
      <patternFill patternType="solid">
        <fgColor indexed="31"/>
        <bgColor indexed="64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3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0"/>
      </patternFill>
    </fill>
    <fill>
      <patternFill patternType="solid">
        <fgColor indexed="23"/>
        <bgColor indexed="8"/>
      </patternFill>
    </fill>
    <fill>
      <patternFill patternType="gray0625">
        <fgColor indexed="11"/>
        <bgColor indexed="9"/>
      </patternFill>
    </fill>
    <fill>
      <patternFill patternType="solid">
        <fgColor indexed="21"/>
        <bgColor indexed="8"/>
      </patternFill>
    </fill>
    <fill>
      <patternFill patternType="solid">
        <fgColor indexed="15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DBE5F1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C6F9C1"/>
        <bgColor rgb="FF000000"/>
      </patternFill>
    </fill>
    <fill>
      <patternFill patternType="solid">
        <fgColor rgb="FFABEDA5"/>
        <bgColor rgb="FF000000"/>
      </patternFill>
    </fill>
    <fill>
      <patternFill patternType="solid">
        <fgColor rgb="FF94D88F"/>
        <bgColor rgb="FF000000"/>
      </patternFill>
    </fill>
    <fill>
      <patternFill patternType="solid">
        <fgColor rgb="FFFFFDBF"/>
        <bgColor rgb="FF000000"/>
      </patternFill>
    </fill>
    <fill>
      <patternFill patternType="solid">
        <fgColor rgb="FFFFFB8C"/>
        <bgColor rgb="FF000000"/>
      </patternFill>
    </fill>
    <fill>
      <patternFill patternType="solid">
        <fgColor rgb="FFFFF843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988C"/>
        <bgColor rgb="FF000000"/>
      </patternFill>
    </fill>
    <fill>
      <patternFill patternType="solid">
        <fgColor rgb="FFFF6758"/>
        <bgColor rgb="FF000000"/>
      </patternFill>
    </fill>
    <fill>
      <patternFill patternType="solid">
        <fgColor rgb="FFB7CFE8"/>
        <bgColor rgb="FF000000"/>
      </patternFill>
    </fill>
    <fill>
      <patternFill patternType="solid">
        <fgColor rgb="FFC3D6EB"/>
        <bgColor rgb="FF000000"/>
      </patternFill>
    </fill>
    <fill>
      <patternFill patternType="solid">
        <fgColor rgb="FFDBE5F2"/>
        <bgColor rgb="FF000000"/>
      </patternFill>
    </fill>
    <fill>
      <patternFill patternType="solid">
        <fgColor rgb="FFE9EFF7"/>
        <bgColor rgb="FF000000"/>
      </patternFill>
    </fill>
    <fill>
      <patternFill patternType="solid">
        <fgColor rgb="FFF1F5FB"/>
        <bgColor rgb="FF000000"/>
      </patternFill>
    </fill>
    <fill>
      <patternFill patternType="solid">
        <fgColor rgb="FFDBE5F1"/>
        <bgColor rgb="FFFFFFFF"/>
      </patternFill>
    </fill>
    <fill>
      <patternFill patternType="solid">
        <fgColor indexed="5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2"/>
      </patternFill>
    </fill>
    <fill>
      <patternFill patternType="darkUp"/>
    </fill>
    <fill>
      <patternFill patternType="mediumGray">
        <fgColor indexed="22"/>
      </patternFill>
    </fill>
    <fill>
      <patternFill patternType="darkVertical"/>
    </fill>
    <fill>
      <patternFill patternType="solid">
        <fgColor indexed="4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1"/>
        <bgColor indexed="64"/>
      </patternFill>
    </fill>
    <fill>
      <patternFill patternType="gray0625">
        <fgColor indexed="10"/>
        <bgColor indexed="9"/>
      </patternFill>
    </fill>
    <fill>
      <patternFill patternType="solid">
        <fgColor indexed="32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indexed="18"/>
        <bgColor indexed="64"/>
      </patternFill>
    </fill>
    <fill>
      <patternFill patternType="lightGray">
        <fgColor indexed="14"/>
        <bgColor indexed="9"/>
      </patternFill>
    </fill>
    <fill>
      <patternFill patternType="lightGray">
        <fgColor indexed="12"/>
        <bgColor indexed="9"/>
      </patternFill>
    </fill>
    <fill>
      <patternFill patternType="solid">
        <fgColor indexed="11"/>
        <bgColor indexed="9"/>
      </patternFill>
    </fill>
    <fill>
      <patternFill patternType="lightGray">
        <fgColor indexed="22"/>
        <bgColor indexed="9"/>
      </patternFill>
    </fill>
    <fill>
      <patternFill patternType="mediumGray"/>
    </fill>
    <fill>
      <patternFill patternType="solid">
        <fgColor theme="8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3" tint="0.79998168889431442"/>
        <bgColor indexed="64"/>
      </patternFill>
    </fill>
  </fills>
  <borders count="94">
    <border>
      <left/>
      <right/>
      <top/>
      <bottom/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indexed="25"/>
      </top>
      <bottom style="thin">
        <color indexed="25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tted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C0C0C0"/>
      </left>
      <right style="hair">
        <color rgb="FFC0C0C0"/>
      </right>
      <top style="thin">
        <color rgb="FF808080"/>
      </top>
      <bottom style="thin">
        <color rgb="FF808080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indexed="44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/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dashed">
        <color indexed="64"/>
      </right>
      <top style="hair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hair">
        <color auto="1"/>
      </bottom>
      <diagonal/>
    </border>
    <border>
      <left/>
      <right style="dashed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auto="1"/>
      </bottom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thick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9"/>
      </left>
      <right/>
      <top style="thin">
        <color indexed="9"/>
      </top>
      <bottom style="thin">
        <color indexed="23"/>
      </bottom>
      <diagonal/>
    </border>
    <border>
      <left style="thin">
        <color indexed="23"/>
      </left>
      <right style="dashed">
        <color indexed="9"/>
      </right>
      <top/>
      <bottom style="dashed">
        <color indexed="9"/>
      </bottom>
      <diagonal/>
    </border>
    <border>
      <left/>
      <right/>
      <top/>
      <bottom style="thin">
        <color indexed="8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1359">
    <xf numFmtId="0" fontId="0" fillId="0" borderId="0"/>
    <xf numFmtId="0" fontId="5" fillId="0" borderId="0"/>
    <xf numFmtId="0" fontId="5" fillId="0" borderId="0">
      <alignment horizontal="right"/>
    </xf>
    <xf numFmtId="0" fontId="7" fillId="0" borderId="0" applyNumberFormat="0" applyFill="0" applyBorder="0" applyAlignment="0" applyProtection="0"/>
    <xf numFmtId="0" fontId="8" fillId="0" borderId="0">
      <alignment vertical="top"/>
    </xf>
    <xf numFmtId="0" fontId="9" fillId="0" borderId="3">
      <alignment horizontal="centerContinuous"/>
    </xf>
    <xf numFmtId="0" fontId="23" fillId="0" borderId="0"/>
    <xf numFmtId="44" fontId="24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44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0" fontId="26" fillId="0" borderId="0"/>
    <xf numFmtId="170" fontId="5" fillId="0" borderId="0"/>
    <xf numFmtId="0" fontId="27" fillId="0" borderId="0" applyFill="0" applyBorder="0">
      <alignment horizontal="left" vertical="top" wrapText="1"/>
    </xf>
    <xf numFmtId="170" fontId="28" fillId="0" borderId="0"/>
    <xf numFmtId="171" fontId="27" fillId="0" borderId="11" applyFill="0" applyBorder="0" applyProtection="0">
      <alignment horizontal="right" vertical="top"/>
    </xf>
    <xf numFmtId="170" fontId="29" fillId="0" borderId="11">
      <alignment horizontal="left"/>
    </xf>
    <xf numFmtId="170" fontId="30" fillId="0" borderId="11">
      <alignment horizontal="center"/>
    </xf>
    <xf numFmtId="0" fontId="31" fillId="0" borderId="11">
      <alignment horizontal="right" wrapText="1"/>
    </xf>
    <xf numFmtId="170" fontId="27" fillId="0" borderId="0">
      <alignment horizontal="center"/>
    </xf>
    <xf numFmtId="172" fontId="27" fillId="0" borderId="0" applyFill="0" applyBorder="0">
      <alignment horizontal="right" vertical="top"/>
    </xf>
    <xf numFmtId="173" fontId="27" fillId="0" borderId="0" applyFill="0" applyBorder="0">
      <alignment horizontal="right" vertical="top"/>
    </xf>
    <xf numFmtId="49" fontId="27" fillId="0" borderId="0" applyNumberFormat="0" applyFill="0" applyBorder="0" applyProtection="0">
      <alignment horizontal="center" vertical="top"/>
    </xf>
    <xf numFmtId="170" fontId="32" fillId="0" borderId="0">
      <alignment horizontal="left" vertical="top"/>
    </xf>
    <xf numFmtId="175" fontId="26" fillId="0" borderId="0"/>
    <xf numFmtId="0" fontId="23" fillId="0" borderId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42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44" fillId="0" borderId="0" applyFont="0" applyFill="0" applyBorder="0" applyAlignment="0"/>
    <xf numFmtId="0" fontId="45" fillId="0" borderId="0"/>
    <xf numFmtId="0" fontId="46" fillId="0" borderId="0"/>
    <xf numFmtId="0" fontId="47" fillId="0" borderId="0" applyFont="0" applyFill="0" applyBorder="0" applyAlignment="0" applyProtection="0">
      <alignment vertical="center"/>
    </xf>
    <xf numFmtId="0" fontId="47" fillId="0" borderId="0" applyFont="0" applyFill="0" applyBorder="0" applyAlignment="0" applyProtection="0">
      <alignment vertical="center"/>
    </xf>
    <xf numFmtId="0" fontId="47" fillId="0" borderId="0" applyFont="0" applyFill="0" applyBorder="0" applyAlignment="0" applyProtection="0">
      <alignment vertical="center"/>
    </xf>
    <xf numFmtId="0" fontId="47" fillId="0" borderId="0" applyFont="0" applyFill="0" applyBorder="0" applyAlignment="0" applyProtection="0">
      <alignment vertical="center"/>
    </xf>
    <xf numFmtId="0" fontId="47" fillId="0" borderId="0" applyFont="0" applyFill="0" applyBorder="0" applyAlignment="0" applyProtection="0">
      <alignment vertical="center"/>
    </xf>
    <xf numFmtId="0" fontId="45" fillId="0" borderId="0"/>
    <xf numFmtId="0" fontId="48" fillId="0" borderId="0"/>
    <xf numFmtId="0" fontId="46" fillId="0" borderId="0"/>
    <xf numFmtId="0" fontId="47" fillId="0" borderId="0" applyFont="0" applyFill="0" applyBorder="0" applyAlignment="0" applyProtection="0">
      <alignment vertical="center"/>
    </xf>
    <xf numFmtId="0" fontId="47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46" fillId="0" borderId="0"/>
    <xf numFmtId="0" fontId="5" fillId="0" borderId="0" applyNumberFormat="0" applyFill="0" applyBorder="0" applyAlignment="0" applyProtection="0"/>
    <xf numFmtId="175" fontId="5" fillId="0" borderId="0" applyNumberFormat="0" applyFill="0" applyBorder="0" applyAlignment="0" applyProtection="0"/>
    <xf numFmtId="175" fontId="5" fillId="0" borderId="0" applyNumberFormat="0" applyFill="0" applyBorder="0" applyAlignment="0" applyProtection="0"/>
    <xf numFmtId="0" fontId="46" fillId="0" borderId="0"/>
    <xf numFmtId="0" fontId="46" fillId="0" borderId="0"/>
    <xf numFmtId="0" fontId="48" fillId="0" borderId="0"/>
    <xf numFmtId="0" fontId="48" fillId="0" borderId="0"/>
    <xf numFmtId="0" fontId="48" fillId="0" borderId="0"/>
    <xf numFmtId="0" fontId="45" fillId="0" borderId="0"/>
    <xf numFmtId="0" fontId="45" fillId="0" borderId="0"/>
    <xf numFmtId="0" fontId="45" fillId="0" borderId="0"/>
    <xf numFmtId="0" fontId="48" fillId="0" borderId="0"/>
    <xf numFmtId="0" fontId="48" fillId="0" borderId="0"/>
    <xf numFmtId="0" fontId="47" fillId="0" borderId="0" applyFont="0" applyFill="0" applyBorder="0" applyAlignment="0" applyProtection="0">
      <alignment vertical="center"/>
    </xf>
    <xf numFmtId="0" fontId="47" fillId="0" borderId="0" applyFont="0" applyFill="0" applyBorder="0" applyAlignment="0" applyProtection="0">
      <alignment vertical="center"/>
    </xf>
    <xf numFmtId="0" fontId="47" fillId="0" borderId="0" applyFont="0" applyFill="0" applyBorder="0" applyAlignment="0" applyProtection="0">
      <alignment vertical="center"/>
    </xf>
    <xf numFmtId="0" fontId="47" fillId="0" borderId="0" applyFont="0" applyFill="0" applyBorder="0" applyAlignment="0" applyProtection="0">
      <alignment vertical="center"/>
    </xf>
    <xf numFmtId="0" fontId="47" fillId="0" borderId="0" applyFont="0" applyFill="0" applyBorder="0" applyAlignment="0" applyProtection="0">
      <alignment vertical="center"/>
    </xf>
    <xf numFmtId="0" fontId="47" fillId="0" borderId="0" applyFont="0" applyFill="0" applyBorder="0" applyAlignment="0" applyProtection="0">
      <alignment vertical="center"/>
    </xf>
    <xf numFmtId="0" fontId="45" fillId="0" borderId="0"/>
    <xf numFmtId="0" fontId="45" fillId="0" borderId="0"/>
    <xf numFmtId="0" fontId="48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176" fontId="49" fillId="0" borderId="0">
      <protection locked="0"/>
    </xf>
    <xf numFmtId="177" fontId="49" fillId="0" borderId="0">
      <protection locked="0"/>
    </xf>
    <xf numFmtId="178" fontId="49" fillId="0" borderId="0">
      <protection locked="0"/>
    </xf>
    <xf numFmtId="0" fontId="49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49" fillId="0" borderId="18">
      <protection locked="0"/>
    </xf>
    <xf numFmtId="179" fontId="51" fillId="3" borderId="19" applyBorder="0"/>
    <xf numFmtId="0" fontId="52" fillId="4" borderId="16" applyNumberFormat="0" applyFill="0" applyBorder="0" applyAlignment="0">
      <alignment horizontal="left"/>
    </xf>
    <xf numFmtId="0" fontId="43" fillId="4" borderId="0" applyNumberFormat="0" applyFill="0" applyBorder="0" applyAlignment="0"/>
    <xf numFmtId="0" fontId="53" fillId="5" borderId="16" applyNumberFormat="0" applyFill="0" applyBorder="0" applyAlignment="0">
      <alignment horizontal="left"/>
    </xf>
    <xf numFmtId="0" fontId="54" fillId="6" borderId="0" applyNumberFormat="0" applyFill="0" applyBorder="0" applyAlignment="0"/>
    <xf numFmtId="0" fontId="55" fillId="0" borderId="0" applyNumberFormat="0" applyFill="0" applyBorder="0" applyAlignment="0"/>
    <xf numFmtId="0" fontId="56" fillId="0" borderId="4" applyNumberFormat="0" applyFill="0" applyBorder="0" applyAlignment="0">
      <alignment horizontal="left"/>
    </xf>
    <xf numFmtId="0" fontId="57" fillId="7" borderId="17" applyNumberFormat="0" applyFill="0" applyBorder="0" applyAlignment="0">
      <alignment horizontal="centerContinuous"/>
    </xf>
    <xf numFmtId="0" fontId="58" fillId="0" borderId="0" applyNumberFormat="0" applyFill="0" applyBorder="0" applyAlignment="0"/>
    <xf numFmtId="0" fontId="58" fillId="8" borderId="12" applyNumberFormat="0" applyFill="0" applyBorder="0" applyAlignment="0"/>
    <xf numFmtId="0" fontId="59" fillId="0" borderId="4" applyNumberFormat="0" applyFill="0" applyBorder="0" applyAlignment="0"/>
    <xf numFmtId="0" fontId="58" fillId="0" borderId="0" applyNumberFormat="0" applyFill="0" applyBorder="0" applyAlignment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2" borderId="0" applyNumberFormat="0" applyBorder="0" applyAlignment="0" applyProtection="0"/>
    <xf numFmtId="0" fontId="24" fillId="15" borderId="0" applyNumberFormat="0" applyBorder="0" applyAlignment="0" applyProtection="0"/>
    <xf numFmtId="0" fontId="24" fillId="18" borderId="0" applyNumberFormat="0" applyBorder="0" applyAlignment="0" applyProtection="0"/>
    <xf numFmtId="0" fontId="60" fillId="19" borderId="0" applyNumberFormat="0" applyBorder="0" applyAlignment="0" applyProtection="0"/>
    <xf numFmtId="0" fontId="60" fillId="16" borderId="0" applyNumberFormat="0" applyBorder="0" applyAlignment="0" applyProtection="0"/>
    <xf numFmtId="0" fontId="60" fillId="17" borderId="0" applyNumberFormat="0" applyBorder="0" applyAlignment="0" applyProtection="0"/>
    <xf numFmtId="0" fontId="60" fillId="20" borderId="0" applyNumberFormat="0" applyBorder="0" applyAlignment="0" applyProtection="0"/>
    <xf numFmtId="0" fontId="60" fillId="21" borderId="0" applyNumberFormat="0" applyBorder="0" applyAlignment="0" applyProtection="0"/>
    <xf numFmtId="0" fontId="60" fillId="22" borderId="0" applyNumberFormat="0" applyBorder="0" applyAlignment="0" applyProtection="0"/>
    <xf numFmtId="0" fontId="61" fillId="0" borderId="0">
      <alignment horizontal="right"/>
    </xf>
    <xf numFmtId="42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167" fontId="5" fillId="0" borderId="0" applyFont="0" applyFill="0" applyBorder="0" applyProtection="0"/>
    <xf numFmtId="180" fontId="62" fillId="0" borderId="0" applyFont="0" applyFill="0" applyBorder="0" applyAlignment="0" applyProtection="0"/>
    <xf numFmtId="181" fontId="62" fillId="0" borderId="0" applyFont="0" applyFill="0" applyBorder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0" fontId="5" fillId="0" borderId="0"/>
    <xf numFmtId="175" fontId="5" fillId="0" borderId="0"/>
    <xf numFmtId="175" fontId="5" fillId="0" borderId="0"/>
    <xf numFmtId="0" fontId="5" fillId="0" borderId="0" applyNumberFormat="0" applyFill="0" applyBorder="0" applyAlignment="0" applyProtection="0"/>
    <xf numFmtId="175" fontId="5" fillId="0" borderId="0" applyNumberFormat="0" applyFill="0" applyBorder="0" applyAlignment="0" applyProtection="0"/>
    <xf numFmtId="175" fontId="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75" fontId="26" fillId="0" borderId="0" applyNumberFormat="0" applyFill="0" applyBorder="0" applyAlignment="0" applyProtection="0"/>
    <xf numFmtId="175" fontId="26" fillId="0" borderId="0" applyNumberFormat="0" applyFill="0" applyBorder="0" applyAlignment="0" applyProtection="0"/>
    <xf numFmtId="0" fontId="47" fillId="23" borderId="0"/>
    <xf numFmtId="0" fontId="64" fillId="23" borderId="0"/>
    <xf numFmtId="0" fontId="65" fillId="0" borderId="0" applyNumberFormat="0" applyFill="0" applyBorder="0" applyAlignment="0" applyProtection="0"/>
    <xf numFmtId="38" fontId="66" fillId="0" borderId="0" applyNumberFormat="0" applyFill="0" applyBorder="0" applyAlignment="0" applyProtection="0">
      <alignment horizontal="right"/>
      <protection locked="0"/>
    </xf>
    <xf numFmtId="0" fontId="67" fillId="0" borderId="0" applyNumberFormat="0" applyFill="0" applyBorder="0" applyAlignment="0" applyProtection="0"/>
    <xf numFmtId="182" fontId="68" fillId="0" borderId="0" applyFont="0" applyFill="0" applyBorder="0" applyAlignment="0" applyProtection="0"/>
    <xf numFmtId="182" fontId="68" fillId="0" borderId="0" applyFont="0" applyFill="0" applyBorder="0" applyAlignment="0" applyProtection="0"/>
    <xf numFmtId="182" fontId="68" fillId="0" borderId="0" applyFont="0" applyFill="0" applyBorder="0" applyAlignment="0" applyProtection="0"/>
    <xf numFmtId="0" fontId="69" fillId="0" borderId="0"/>
    <xf numFmtId="0" fontId="70" fillId="0" borderId="0" applyFill="0" applyBorder="0" applyAlignment="0"/>
    <xf numFmtId="0" fontId="71" fillId="24" borderId="20" applyNumberFormat="0" applyAlignment="0" applyProtection="0"/>
    <xf numFmtId="183" fontId="72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25" borderId="0" applyNumberFormat="0" applyFont="0" applyBorder="0" applyAlignment="0"/>
    <xf numFmtId="0" fontId="73" fillId="0" borderId="21" applyNumberFormat="0" applyFill="0" applyAlignment="0" applyProtection="0"/>
    <xf numFmtId="0" fontId="74" fillId="26" borderId="22" applyNumberFormat="0" applyAlignment="0" applyProtection="0"/>
    <xf numFmtId="0" fontId="75" fillId="0" borderId="12" applyNumberFormat="0" applyFont="0" applyFill="0" applyProtection="0">
      <alignment horizontal="centerContinuous" vertical="center"/>
    </xf>
    <xf numFmtId="184" fontId="5" fillId="0" borderId="0" applyFont="0" applyFill="0" applyBorder="0" applyAlignment="0" applyProtection="0"/>
    <xf numFmtId="184" fontId="5" fillId="0" borderId="0" applyFont="0" applyFill="0" applyBorder="0" applyAlignment="0" applyProtection="0"/>
    <xf numFmtId="184" fontId="5" fillId="0" borderId="0" applyFont="0" applyFill="0" applyBorder="0" applyAlignment="0" applyProtection="0"/>
    <xf numFmtId="183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0" fontId="60" fillId="27" borderId="0" applyNumberFormat="0" applyBorder="0" applyAlignment="0" applyProtection="0"/>
    <xf numFmtId="0" fontId="60" fillId="28" borderId="0" applyNumberFormat="0" applyBorder="0" applyAlignment="0" applyProtection="0"/>
    <xf numFmtId="0" fontId="60" fillId="29" borderId="0" applyNumberFormat="0" applyBorder="0" applyAlignment="0" applyProtection="0"/>
    <xf numFmtId="0" fontId="60" fillId="20" borderId="0" applyNumberFormat="0" applyBorder="0" applyAlignment="0" applyProtection="0"/>
    <xf numFmtId="0" fontId="60" fillId="21" borderId="0" applyNumberFormat="0" applyBorder="0" applyAlignment="0" applyProtection="0"/>
    <xf numFmtId="0" fontId="60" fillId="30" borderId="0" applyNumberFormat="0" applyBorder="0" applyAlignment="0" applyProtection="0"/>
    <xf numFmtId="0" fontId="75" fillId="0" borderId="0" applyNumberFormat="0" applyFill="0" applyBorder="0" applyProtection="0">
      <alignment horizontal="center" vertical="center"/>
    </xf>
    <xf numFmtId="0" fontId="10" fillId="0" borderId="13">
      <alignment horizontal="center"/>
    </xf>
    <xf numFmtId="41" fontId="2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8" fillId="0" borderId="0" applyFont="0" applyFill="0" applyBorder="0" applyAlignment="0" applyProtection="0">
      <alignment horizontal="right"/>
    </xf>
    <xf numFmtId="0" fontId="7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5" fontId="5" fillId="0" borderId="0" applyFont="0" applyFill="0" applyBorder="0" applyAlignment="0" applyProtection="0"/>
    <xf numFmtId="175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3" fillId="0" borderId="0" applyFont="0" applyFill="0" applyBorder="0" applyAlignment="0" applyProtection="0"/>
    <xf numFmtId="3" fontId="80" fillId="0" borderId="0" applyFont="0" applyFill="0" applyBorder="0" applyAlignment="0" applyProtection="0"/>
    <xf numFmtId="186" fontId="44" fillId="0" borderId="0" applyFont="0" applyFill="0" applyBorder="0" applyAlignment="0" applyProtection="0"/>
    <xf numFmtId="0" fontId="78" fillId="0" borderId="0" applyFont="0" applyFill="0" applyBorder="0" applyAlignment="0" applyProtection="0">
      <alignment horizontal="right"/>
    </xf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187" fontId="80" fillId="0" borderId="0" applyFont="0" applyFill="0" applyBorder="0" applyAlignment="0" applyProtection="0"/>
    <xf numFmtId="0" fontId="47" fillId="31" borderId="0"/>
    <xf numFmtId="0" fontId="64" fillId="32" borderId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0" fontId="78" fillId="0" borderId="0" applyFont="0" applyFill="0" applyBorder="0" applyAlignment="0" applyProtection="0"/>
    <xf numFmtId="188" fontId="5" fillId="0" borderId="0" applyFont="0" applyFill="0" applyBorder="0" applyAlignment="0" applyProtection="0"/>
    <xf numFmtId="38" fontId="8" fillId="0" borderId="0" applyFont="0" applyFill="0" applyBorder="0" applyAlignment="0" applyProtection="0"/>
    <xf numFmtId="189" fontId="81" fillId="33" borderId="0" applyNumberFormat="0" applyBorder="0" applyAlignment="0" applyProtection="0"/>
    <xf numFmtId="190" fontId="44" fillId="0" borderId="0" applyFont="0" applyFill="0" applyBorder="0" applyAlignment="0" applyProtection="0"/>
    <xf numFmtId="0" fontId="78" fillId="0" borderId="23" applyNumberFormat="0" applyFont="0" applyFill="0" applyAlignment="0" applyProtection="0"/>
    <xf numFmtId="0" fontId="82" fillId="0" borderId="0" applyFill="0" applyBorder="0" applyAlignment="0" applyProtection="0"/>
    <xf numFmtId="191" fontId="79" fillId="0" borderId="0" applyFont="0" applyFill="0" applyBorder="0" applyAlignment="0" applyProtection="0"/>
    <xf numFmtId="0" fontId="83" fillId="0" borderId="0" applyFont="0" applyFill="0" applyBorder="0" applyAlignment="0" applyProtection="0"/>
    <xf numFmtId="192" fontId="76" fillId="0" borderId="0" applyFont="0" applyFill="0" applyBorder="0" applyAlignment="0" applyProtection="0"/>
    <xf numFmtId="193" fontId="76" fillId="0" borderId="0" applyFont="0" applyFill="0" applyBorder="0" applyAlignment="0" applyProtection="0"/>
    <xf numFmtId="175" fontId="5" fillId="0" borderId="0" applyFont="0" applyFill="0" applyBorder="0" applyAlignment="0" applyProtection="0"/>
    <xf numFmtId="175" fontId="5" fillId="0" borderId="0" applyFont="0" applyFill="0" applyBorder="0" applyAlignment="0" applyProtection="0"/>
    <xf numFmtId="175" fontId="5" fillId="0" borderId="0" applyFont="0" applyFill="0" applyBorder="0" applyAlignment="0" applyProtection="0"/>
    <xf numFmtId="194" fontId="5" fillId="0" borderId="0" applyFont="0" applyFill="0" applyBorder="0" applyAlignment="0" applyProtection="0"/>
    <xf numFmtId="195" fontId="5" fillId="0" borderId="0" applyFont="0" applyFill="0" applyBorder="0" applyAlignment="0" applyProtection="0"/>
    <xf numFmtId="0" fontId="49" fillId="0" borderId="0">
      <protection locked="0"/>
    </xf>
    <xf numFmtId="0" fontId="49" fillId="0" borderId="0">
      <protection locked="0"/>
    </xf>
    <xf numFmtId="0" fontId="84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2" fontId="80" fillId="0" borderId="0" applyFont="0" applyFill="0" applyBorder="0" applyAlignment="0" applyProtection="0"/>
    <xf numFmtId="15" fontId="5" fillId="0" borderId="0">
      <alignment vertical="center"/>
    </xf>
    <xf numFmtId="0" fontId="85" fillId="0" borderId="0" applyFill="0" applyBorder="0" applyProtection="0">
      <alignment horizontal="left"/>
    </xf>
    <xf numFmtId="189" fontId="86" fillId="0" borderId="0" applyNumberFormat="0" applyFill="0" applyBorder="0" applyAlignment="0" applyProtection="0"/>
    <xf numFmtId="189" fontId="86" fillId="0" borderId="0" applyNumberFormat="0" applyFill="0" applyBorder="0" applyAlignment="0" applyProtection="0"/>
    <xf numFmtId="189" fontId="86" fillId="0" borderId="0" applyNumberFormat="0" applyFill="0" applyBorder="0" applyAlignment="0" applyProtection="0"/>
    <xf numFmtId="43" fontId="87" fillId="0" borderId="0" applyNumberFormat="0" applyFill="0" applyBorder="0" applyAlignment="0" applyProtection="0">
      <alignment horizontal="center"/>
    </xf>
    <xf numFmtId="38" fontId="6" fillId="34" borderId="0" applyNumberFormat="0" applyBorder="0" applyAlignment="0" applyProtection="0"/>
    <xf numFmtId="38" fontId="6" fillId="34" borderId="0" applyNumberFormat="0" applyBorder="0" applyAlignment="0" applyProtection="0"/>
    <xf numFmtId="38" fontId="6" fillId="34" borderId="0" applyNumberFormat="0" applyBorder="0" applyAlignment="0" applyProtection="0"/>
    <xf numFmtId="0" fontId="78" fillId="0" borderId="0" applyFont="0" applyFill="0" applyBorder="0" applyAlignment="0" applyProtection="0">
      <alignment horizontal="right"/>
    </xf>
    <xf numFmtId="0" fontId="88" fillId="0" borderId="0" applyProtection="0">
      <alignment horizontal="right"/>
    </xf>
    <xf numFmtId="0" fontId="43" fillId="0" borderId="24" applyNumberFormat="0" applyAlignment="0" applyProtection="0">
      <alignment horizontal="left" vertical="center"/>
    </xf>
    <xf numFmtId="175" fontId="43" fillId="0" borderId="24" applyNumberFormat="0" applyAlignment="0" applyProtection="0">
      <alignment horizontal="left" vertical="center"/>
    </xf>
    <xf numFmtId="175" fontId="43" fillId="0" borderId="24" applyNumberFormat="0" applyAlignment="0" applyProtection="0">
      <alignment horizontal="left" vertical="center"/>
    </xf>
    <xf numFmtId="0" fontId="43" fillId="0" borderId="16">
      <alignment horizontal="left" vertical="center"/>
    </xf>
    <xf numFmtId="175" fontId="43" fillId="0" borderId="16">
      <alignment horizontal="left" vertical="center"/>
    </xf>
    <xf numFmtId="175" fontId="43" fillId="0" borderId="16">
      <alignment horizontal="left" vertical="center"/>
    </xf>
    <xf numFmtId="0" fontId="89" fillId="0" borderId="0">
      <alignment horizontal="center"/>
    </xf>
    <xf numFmtId="0" fontId="90" fillId="0" borderId="0" applyNumberFormat="0" applyFont="0" applyFill="0" applyBorder="0" applyAlignment="0" applyProtection="0"/>
    <xf numFmtId="0" fontId="91" fillId="0" borderId="0" applyProtection="0"/>
    <xf numFmtId="0" fontId="92" fillId="0" borderId="25" applyNumberFormat="0" applyFill="0" applyBorder="0" applyAlignment="0" applyProtection="0">
      <alignment horizontal="left"/>
    </xf>
    <xf numFmtId="197" fontId="93" fillId="3" borderId="0" applyNumberFormat="0" applyBorder="0" applyAlignment="0" applyProtection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175" fontId="94" fillId="0" borderId="0" applyNumberFormat="0" applyFill="0" applyBorder="0" applyAlignment="0" applyProtection="0">
      <alignment vertical="top"/>
      <protection locked="0"/>
    </xf>
    <xf numFmtId="0" fontId="95" fillId="0" borderId="0"/>
    <xf numFmtId="0" fontId="5" fillId="0" borderId="0"/>
    <xf numFmtId="10" fontId="6" fillId="35" borderId="15" applyNumberFormat="0" applyBorder="0" applyAlignment="0" applyProtection="0"/>
    <xf numFmtId="10" fontId="6" fillId="35" borderId="15" applyNumberFormat="0" applyBorder="0" applyAlignment="0" applyProtection="0"/>
    <xf numFmtId="10" fontId="6" fillId="35" borderId="15" applyNumberFormat="0" applyBorder="0" applyAlignment="0" applyProtection="0"/>
    <xf numFmtId="175" fontId="5" fillId="36" borderId="15" applyNumberFormat="0" applyFont="0" applyAlignment="0">
      <protection locked="0"/>
    </xf>
    <xf numFmtId="175" fontId="5" fillId="36" borderId="15" applyNumberFormat="0" applyFont="0" applyAlignment="0">
      <protection locked="0"/>
    </xf>
    <xf numFmtId="175" fontId="5" fillId="36" borderId="15" applyNumberFormat="0" applyFont="0" applyAlignment="0">
      <protection locked="0"/>
    </xf>
    <xf numFmtId="175" fontId="5" fillId="36" borderId="15" applyNumberFormat="0" applyFont="0" applyAlignment="0">
      <protection locked="0"/>
    </xf>
    <xf numFmtId="175" fontId="5" fillId="36" borderId="15" applyNumberFormat="0" applyFont="0" applyAlignment="0">
      <protection locked="0"/>
    </xf>
    <xf numFmtId="175" fontId="5" fillId="36" borderId="15" applyNumberFormat="0" applyFont="0" applyAlignment="0">
      <protection locked="0"/>
    </xf>
    <xf numFmtId="175" fontId="5" fillId="36" borderId="15" applyNumberFormat="0" applyFont="0" applyAlignment="0">
      <protection locked="0"/>
    </xf>
    <xf numFmtId="175" fontId="5" fillId="36" borderId="15" applyNumberFormat="0" applyFont="0" applyAlignment="0">
      <protection locked="0"/>
    </xf>
    <xf numFmtId="175" fontId="5" fillId="36" borderId="15" applyNumberFormat="0" applyFont="0" applyAlignment="0">
      <protection locked="0"/>
    </xf>
    <xf numFmtId="175" fontId="5" fillId="36" borderId="15" applyNumberFormat="0" applyFont="0" applyAlignment="0">
      <protection locked="0"/>
    </xf>
    <xf numFmtId="175" fontId="5" fillId="36" borderId="15" applyNumberFormat="0" applyFont="0" applyAlignment="0">
      <protection locked="0"/>
    </xf>
    <xf numFmtId="175" fontId="5" fillId="36" borderId="15" applyNumberFormat="0" applyFont="0" applyAlignment="0">
      <protection locked="0"/>
    </xf>
    <xf numFmtId="175" fontId="5" fillId="36" borderId="15" applyNumberFormat="0" applyFont="0" applyAlignment="0">
      <protection locked="0"/>
    </xf>
    <xf numFmtId="175" fontId="5" fillId="36" borderId="15" applyNumberFormat="0" applyFont="0" applyAlignment="0">
      <protection locked="0"/>
    </xf>
    <xf numFmtId="175" fontId="5" fillId="36" borderId="15" applyNumberFormat="0" applyFont="0" applyAlignment="0"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7" fillId="0" borderId="0">
      <alignment vertical="center"/>
    </xf>
    <xf numFmtId="198" fontId="5" fillId="0" borderId="0" applyFont="0" applyFill="0" applyBorder="0" applyAlignment="0" applyProtection="0"/>
    <xf numFmtId="199" fontId="5" fillId="0" borderId="0" applyFont="0" applyFill="0" applyBorder="0" applyAlignment="0" applyProtection="0"/>
    <xf numFmtId="200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2" fontId="44" fillId="0" borderId="0" applyFont="0" applyFill="0" applyBorder="0" applyAlignment="0" applyProtection="0"/>
    <xf numFmtId="203" fontId="44" fillId="0" borderId="0" applyFont="0" applyFill="0" applyBorder="0" applyAlignment="0" applyProtection="0"/>
    <xf numFmtId="204" fontId="44" fillId="0" borderId="0" applyFont="0" applyFill="0" applyBorder="0" applyAlignment="0" applyProtection="0"/>
    <xf numFmtId="190" fontId="62" fillId="0" borderId="0" applyFont="0" applyFill="0" applyBorder="0" applyAlignment="0" applyProtection="0"/>
    <xf numFmtId="0" fontId="98" fillId="37" borderId="0" applyNumberFormat="0" applyBorder="0" applyAlignment="0" applyProtection="0"/>
    <xf numFmtId="37" fontId="99" fillId="0" borderId="0"/>
    <xf numFmtId="205" fontId="44" fillId="0" borderId="0"/>
    <xf numFmtId="175" fontId="5" fillId="0" borderId="0"/>
    <xf numFmtId="175" fontId="5" fillId="0" borderId="0"/>
    <xf numFmtId="0" fontId="5" fillId="0" borderId="0"/>
    <xf numFmtId="0" fontId="5" fillId="0" borderId="0"/>
    <xf numFmtId="175" fontId="23" fillId="0" borderId="0"/>
    <xf numFmtId="0" fontId="5" fillId="0" borderId="0"/>
    <xf numFmtId="175" fontId="5" fillId="0" borderId="0"/>
    <xf numFmtId="175" fontId="5" fillId="0" borderId="0"/>
    <xf numFmtId="175" fontId="5" fillId="0" borderId="0"/>
    <xf numFmtId="0" fontId="23" fillId="0" borderId="0"/>
    <xf numFmtId="0" fontId="100" fillId="0" borderId="0"/>
    <xf numFmtId="0" fontId="23" fillId="0" borderId="0"/>
    <xf numFmtId="0" fontId="23" fillId="0" borderId="0"/>
    <xf numFmtId="0" fontId="5" fillId="0" borderId="0"/>
    <xf numFmtId="175" fontId="26" fillId="0" borderId="0"/>
    <xf numFmtId="175" fontId="26" fillId="0" borderId="0"/>
    <xf numFmtId="175" fontId="26" fillId="0" borderId="0"/>
    <xf numFmtId="175" fontId="26" fillId="0" borderId="0"/>
    <xf numFmtId="175" fontId="5" fillId="0" borderId="0"/>
    <xf numFmtId="0" fontId="72" fillId="0" borderId="0"/>
    <xf numFmtId="0" fontId="101" fillId="0" borderId="0"/>
    <xf numFmtId="0" fontId="76" fillId="0" borderId="0"/>
    <xf numFmtId="0" fontId="5" fillId="0" borderId="0"/>
    <xf numFmtId="0" fontId="102" fillId="0" borderId="0"/>
    <xf numFmtId="0" fontId="24" fillId="38" borderId="26" applyNumberFormat="0" applyFont="0" applyAlignment="0" applyProtection="0"/>
    <xf numFmtId="40" fontId="103" fillId="39" borderId="0">
      <alignment horizontal="right"/>
    </xf>
    <xf numFmtId="0" fontId="104" fillId="40" borderId="0">
      <alignment horizontal="center"/>
    </xf>
    <xf numFmtId="0" fontId="105" fillId="41" borderId="0"/>
    <xf numFmtId="0" fontId="106" fillId="39" borderId="0" applyBorder="0">
      <alignment horizontal="centerContinuous"/>
    </xf>
    <xf numFmtId="0" fontId="107" fillId="41" borderId="0" applyBorder="0">
      <alignment horizontal="centerContinuous"/>
    </xf>
    <xf numFmtId="0" fontId="43" fillId="0" borderId="0" applyNumberFormat="0" applyFill="0" applyBorder="0" applyAlignment="0" applyProtection="0"/>
    <xf numFmtId="175" fontId="43" fillId="0" borderId="0" applyNumberFormat="0" applyFill="0" applyBorder="0" applyAlignment="0" applyProtection="0"/>
    <xf numFmtId="175" fontId="43" fillId="0" borderId="0" applyNumberFormat="0" applyFill="0" applyBorder="0" applyAlignment="0" applyProtection="0"/>
    <xf numFmtId="0" fontId="108" fillId="0" borderId="0"/>
    <xf numFmtId="1" fontId="109" fillId="0" borderId="0" applyProtection="0">
      <alignment horizontal="right" vertical="center"/>
    </xf>
    <xf numFmtId="206" fontId="5" fillId="0" borderId="0" applyFont="0" applyFill="0" applyBorder="0" applyAlignment="0" applyProtection="0"/>
    <xf numFmtId="207" fontId="5" fillId="0" borderId="0" applyFont="0" applyFill="0" applyBorder="0" applyAlignment="0" applyProtection="0"/>
    <xf numFmtId="9" fontId="62" fillId="0" borderId="0" applyFont="0" applyFill="0" applyBorder="0" applyAlignment="0" applyProtection="0"/>
    <xf numFmtId="208" fontId="62" fillId="0" borderId="0" applyFont="0" applyFill="0" applyBorder="0" applyAlignment="0" applyProtection="0"/>
    <xf numFmtId="10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108" fillId="0" borderId="0"/>
    <xf numFmtId="0" fontId="110" fillId="0" borderId="0" applyNumberFormat="0" applyFill="0" applyBorder="0" applyAlignment="0" applyProtection="0">
      <alignment horizontal="left"/>
      <protection locked="0"/>
    </xf>
    <xf numFmtId="0" fontId="111" fillId="0" borderId="27">
      <alignment vertical="center"/>
    </xf>
    <xf numFmtId="4" fontId="64" fillId="37" borderId="28" applyNumberFormat="0" applyProtection="0">
      <alignment vertical="center"/>
    </xf>
    <xf numFmtId="4" fontId="112" fillId="36" borderId="28" applyNumberFormat="0" applyProtection="0">
      <alignment vertical="center"/>
    </xf>
    <xf numFmtId="4" fontId="64" fillId="36" borderId="28" applyNumberFormat="0" applyProtection="0">
      <alignment horizontal="left" vertical="center" indent="1"/>
    </xf>
    <xf numFmtId="0" fontId="64" fillId="36" borderId="28" applyNumberFormat="0" applyProtection="0">
      <alignment horizontal="left" vertical="top" indent="1"/>
    </xf>
    <xf numFmtId="0" fontId="5" fillId="42" borderId="29" applyNumberFormat="0" applyProtection="0">
      <alignment horizontal="left" vertical="center" indent="1"/>
    </xf>
    <xf numFmtId="4" fontId="103" fillId="10" borderId="28" applyNumberFormat="0" applyProtection="0">
      <alignment horizontal="right" vertical="center"/>
    </xf>
    <xf numFmtId="4" fontId="103" fillId="16" borderId="28" applyNumberFormat="0" applyProtection="0">
      <alignment horizontal="right" vertical="center"/>
    </xf>
    <xf numFmtId="4" fontId="103" fillId="28" borderId="28" applyNumberFormat="0" applyProtection="0">
      <alignment horizontal="right" vertical="center"/>
    </xf>
    <xf numFmtId="4" fontId="103" fillId="18" borderId="28" applyNumberFormat="0" applyProtection="0">
      <alignment horizontal="right" vertical="center"/>
    </xf>
    <xf numFmtId="4" fontId="103" fillId="22" borderId="28" applyNumberFormat="0" applyProtection="0">
      <alignment horizontal="right" vertical="center"/>
    </xf>
    <xf numFmtId="4" fontId="103" fillId="30" borderId="28" applyNumberFormat="0" applyProtection="0">
      <alignment horizontal="right" vertical="center"/>
    </xf>
    <xf numFmtId="4" fontId="103" fillId="29" borderId="28" applyNumberFormat="0" applyProtection="0">
      <alignment horizontal="right" vertical="center"/>
    </xf>
    <xf numFmtId="4" fontId="103" fillId="43" borderId="28" applyNumberFormat="0" applyProtection="0">
      <alignment horizontal="right" vertical="center"/>
    </xf>
    <xf numFmtId="4" fontId="103" fillId="17" borderId="28" applyNumberFormat="0" applyProtection="0">
      <alignment horizontal="right" vertical="center"/>
    </xf>
    <xf numFmtId="4" fontId="64" fillId="44" borderId="30" applyNumberFormat="0" applyProtection="0">
      <alignment horizontal="left" vertical="center" indent="1"/>
    </xf>
    <xf numFmtId="4" fontId="103" fillId="45" borderId="0" applyNumberFormat="0" applyProtection="0">
      <alignment horizontal="left" vertical="center" indent="1"/>
    </xf>
    <xf numFmtId="4" fontId="113" fillId="6" borderId="0" applyNumberFormat="0" applyProtection="0">
      <alignment horizontal="left" vertical="center" indent="1"/>
    </xf>
    <xf numFmtId="0" fontId="5" fillId="42" borderId="29" applyNumberFormat="0" applyProtection="0">
      <alignment horizontal="left" vertical="center" indent="1"/>
    </xf>
    <xf numFmtId="4" fontId="103" fillId="46" borderId="29" applyNumberFormat="0" applyProtection="0">
      <alignment horizontal="left" vertical="center" indent="1"/>
    </xf>
    <xf numFmtId="4" fontId="103" fillId="46" borderId="29" applyNumberFormat="0" applyProtection="0">
      <alignment horizontal="left" vertical="center" indent="1"/>
    </xf>
    <xf numFmtId="4" fontId="103" fillId="46" borderId="29" applyNumberFormat="0" applyProtection="0">
      <alignment horizontal="left" vertical="center" indent="1"/>
    </xf>
    <xf numFmtId="4" fontId="103" fillId="47" borderId="29" applyNumberFormat="0" applyProtection="0">
      <alignment horizontal="left" vertical="center" indent="1"/>
    </xf>
    <xf numFmtId="4" fontId="103" fillId="47" borderId="29" applyNumberFormat="0" applyProtection="0">
      <alignment horizontal="left" vertical="center" indent="1"/>
    </xf>
    <xf numFmtId="4" fontId="103" fillId="47" borderId="29" applyNumberFormat="0" applyProtection="0">
      <alignment horizontal="left" vertical="center" indent="1"/>
    </xf>
    <xf numFmtId="0" fontId="5" fillId="6" borderId="28" applyNumberFormat="0" applyProtection="0">
      <alignment horizontal="left" vertical="center" indent="1"/>
    </xf>
    <xf numFmtId="0" fontId="5" fillId="6" borderId="28" applyNumberFormat="0" applyProtection="0">
      <alignment horizontal="left" vertical="top" indent="1"/>
    </xf>
    <xf numFmtId="0" fontId="5" fillId="48" borderId="28" applyNumberFormat="0" applyProtection="0">
      <alignment horizontal="left" vertical="center" indent="1"/>
    </xf>
    <xf numFmtId="0" fontId="5" fillId="48" borderId="28" applyNumberFormat="0" applyProtection="0">
      <alignment horizontal="left" vertical="top" indent="1"/>
    </xf>
    <xf numFmtId="0" fontId="5" fillId="49" borderId="28" applyNumberFormat="0" applyProtection="0">
      <alignment horizontal="left" vertical="center" indent="1"/>
    </xf>
    <xf numFmtId="0" fontId="5" fillId="49" borderId="28" applyNumberFormat="0" applyProtection="0">
      <alignment horizontal="left" vertical="top" indent="1"/>
    </xf>
    <xf numFmtId="0" fontId="5" fillId="50" borderId="28" applyNumberFormat="0" applyProtection="0">
      <alignment horizontal="left" vertical="center" indent="1"/>
    </xf>
    <xf numFmtId="0" fontId="5" fillId="50" borderId="28" applyNumberFormat="0" applyProtection="0">
      <alignment horizontal="left" vertical="top" indent="1"/>
    </xf>
    <xf numFmtId="4" fontId="103" fillId="35" borderId="28" applyNumberFormat="0" applyProtection="0">
      <alignment vertical="center"/>
    </xf>
    <xf numFmtId="4" fontId="114" fillId="35" borderId="28" applyNumberFormat="0" applyProtection="0">
      <alignment vertical="center"/>
    </xf>
    <xf numFmtId="4" fontId="103" fillId="35" borderId="28" applyNumberFormat="0" applyProtection="0">
      <alignment horizontal="left" vertical="center" indent="1"/>
    </xf>
    <xf numFmtId="0" fontId="103" fillId="35" borderId="28" applyNumberFormat="0" applyProtection="0">
      <alignment horizontal="left" vertical="top" indent="1"/>
    </xf>
    <xf numFmtId="4" fontId="103" fillId="46" borderId="29" applyNumberFormat="0" applyProtection="0">
      <alignment horizontal="right" vertical="center"/>
    </xf>
    <xf numFmtId="4" fontId="114" fillId="45" borderId="28" applyNumberFormat="0" applyProtection="0">
      <alignment horizontal="right" vertical="center"/>
    </xf>
    <xf numFmtId="4" fontId="103" fillId="51" borderId="28" applyNumberFormat="0" applyProtection="0">
      <alignment horizontal="left" vertical="center" indent="1"/>
    </xf>
    <xf numFmtId="0" fontId="5" fillId="42" borderId="29" applyNumberFormat="0" applyProtection="0">
      <alignment horizontal="left" vertical="center" indent="1"/>
    </xf>
    <xf numFmtId="0" fontId="115" fillId="0" borderId="0"/>
    <xf numFmtId="4" fontId="116" fillId="46" borderId="29" applyNumberFormat="0" applyProtection="0">
      <alignment horizontal="right" vertical="center"/>
    </xf>
    <xf numFmtId="4" fontId="116" fillId="46" borderId="29" applyNumberFormat="0" applyProtection="0">
      <alignment horizontal="right" vertical="center"/>
    </xf>
    <xf numFmtId="4" fontId="116" fillId="46" borderId="29" applyNumberFormat="0" applyProtection="0">
      <alignment horizontal="right" vertical="center"/>
    </xf>
    <xf numFmtId="0" fontId="117" fillId="0" borderId="31"/>
    <xf numFmtId="0" fontId="68" fillId="0" borderId="0" applyFill="0" applyBorder="0" applyAlignment="0" applyProtection="0"/>
    <xf numFmtId="175" fontId="68" fillId="0" borderId="0" applyFill="0" applyBorder="0" applyAlignment="0" applyProtection="0"/>
    <xf numFmtId="175" fontId="68" fillId="0" borderId="0" applyFill="0" applyBorder="0" applyAlignment="0" applyProtection="0"/>
    <xf numFmtId="0" fontId="61" fillId="0" borderId="0" applyNumberFormat="0" applyFill="0" applyBorder="0" applyAlignment="0" applyProtection="0">
      <alignment horizontal="center"/>
    </xf>
    <xf numFmtId="0" fontId="118" fillId="0" borderId="0"/>
    <xf numFmtId="3" fontId="119" fillId="52" borderId="32">
      <alignment horizontal="center"/>
    </xf>
    <xf numFmtId="209" fontId="120" fillId="34" borderId="0"/>
    <xf numFmtId="210" fontId="121" fillId="34" borderId="0" applyNumberFormat="0" applyBorder="0">
      <alignment horizontal="left"/>
    </xf>
    <xf numFmtId="211" fontId="122" fillId="53" borderId="0" applyBorder="0">
      <alignment horizontal="left"/>
    </xf>
    <xf numFmtId="211" fontId="120" fillId="53" borderId="0" applyBorder="0">
      <alignment horizontal="left"/>
    </xf>
    <xf numFmtId="212" fontId="123" fillId="34" borderId="0"/>
    <xf numFmtId="213" fontId="124" fillId="0" borderId="0" applyNumberFormat="0" applyBorder="0"/>
    <xf numFmtId="212" fontId="125" fillId="34" borderId="0"/>
    <xf numFmtId="1" fontId="122" fillId="34" borderId="0" applyBorder="0">
      <alignment horizontal="left"/>
    </xf>
    <xf numFmtId="212" fontId="126" fillId="54" borderId="33" applyNumberFormat="0">
      <alignment horizontal="center"/>
    </xf>
    <xf numFmtId="3" fontId="127" fillId="34" borderId="0" applyNumberFormat="0" applyBorder="0">
      <alignment horizontal="left"/>
    </xf>
    <xf numFmtId="0" fontId="47" fillId="0" borderId="0" applyFont="0" applyFill="0" applyBorder="0" applyAlignment="0" applyProtection="0">
      <alignment vertical="center"/>
    </xf>
    <xf numFmtId="0" fontId="79" fillId="0" borderId="0" applyNumberFormat="0" applyFont="0" applyFill="0" applyBorder="0" applyAlignment="0" applyProtection="0">
      <alignment vertical="top"/>
    </xf>
    <xf numFmtId="175" fontId="79" fillId="0" borderId="0" applyNumberFormat="0" applyFont="0" applyFill="0" applyBorder="0" applyAlignment="0" applyProtection="0">
      <alignment vertical="top"/>
    </xf>
    <xf numFmtId="175" fontId="79" fillId="0" borderId="0" applyNumberFormat="0" applyFont="0" applyFill="0" applyBorder="0" applyAlignment="0" applyProtection="0">
      <alignment vertical="top"/>
    </xf>
    <xf numFmtId="0" fontId="79" fillId="0" borderId="0" applyNumberFormat="0" applyFont="0" applyFill="0" applyBorder="0" applyAlignment="0" applyProtection="0">
      <alignment vertical="top"/>
    </xf>
    <xf numFmtId="175" fontId="79" fillId="0" borderId="0" applyNumberFormat="0" applyFont="0" applyFill="0" applyBorder="0" applyAlignment="0" applyProtection="0">
      <alignment vertical="top"/>
    </xf>
    <xf numFmtId="175" fontId="79" fillId="0" borderId="0" applyNumberFormat="0" applyFont="0" applyFill="0" applyBorder="0" applyAlignment="0" applyProtection="0">
      <alignment vertical="top"/>
    </xf>
    <xf numFmtId="0" fontId="79" fillId="0" borderId="0" applyNumberFormat="0" applyFont="0" applyFill="0" applyBorder="0" applyAlignment="0" applyProtection="0">
      <alignment vertical="top"/>
    </xf>
    <xf numFmtId="175" fontId="79" fillId="0" borderId="0" applyNumberFormat="0" applyFont="0" applyFill="0" applyBorder="0" applyAlignment="0" applyProtection="0">
      <alignment vertical="top"/>
    </xf>
    <xf numFmtId="175" fontId="79" fillId="0" borderId="0" applyNumberFormat="0" applyFont="0" applyFill="0" applyBorder="0" applyAlignment="0" applyProtection="0">
      <alignment vertical="top"/>
    </xf>
    <xf numFmtId="0" fontId="100" fillId="0" borderId="0"/>
    <xf numFmtId="0" fontId="47" fillId="0" borderId="0"/>
    <xf numFmtId="175" fontId="47" fillId="0" borderId="0"/>
    <xf numFmtId="175" fontId="47" fillId="0" borderId="0"/>
    <xf numFmtId="3" fontId="128" fillId="55" borderId="0" applyBorder="0"/>
    <xf numFmtId="0" fontId="129" fillId="0" borderId="0"/>
    <xf numFmtId="0" fontId="130" fillId="0" borderId="0" applyBorder="0" applyProtection="0">
      <alignment vertical="center"/>
    </xf>
    <xf numFmtId="0" fontId="130" fillId="0" borderId="12" applyBorder="0" applyProtection="0">
      <alignment horizontal="right" vertical="center"/>
    </xf>
    <xf numFmtId="0" fontId="131" fillId="56" borderId="0" applyBorder="0" applyProtection="0">
      <alignment horizontal="centerContinuous" vertical="center"/>
    </xf>
    <xf numFmtId="0" fontId="131" fillId="57" borderId="12" applyBorder="0" applyProtection="0">
      <alignment horizontal="centerContinuous" vertical="center"/>
    </xf>
    <xf numFmtId="0" fontId="132" fillId="0" borderId="0"/>
    <xf numFmtId="0" fontId="101" fillId="0" borderId="0"/>
    <xf numFmtId="0" fontId="133" fillId="0" borderId="0" applyFill="0" applyBorder="0" applyProtection="0">
      <alignment horizontal="left"/>
    </xf>
    <xf numFmtId="0" fontId="85" fillId="0" borderId="14" applyFill="0" applyBorder="0" applyProtection="0">
      <alignment horizontal="left" vertical="top"/>
    </xf>
    <xf numFmtId="0" fontId="134" fillId="0" borderId="0">
      <alignment horizontal="centerContinuous"/>
    </xf>
    <xf numFmtId="0" fontId="135" fillId="0" borderId="0" applyNumberFormat="0" applyFill="0" applyBorder="0" applyAlignment="0" applyProtection="0"/>
    <xf numFmtId="0" fontId="136" fillId="0" borderId="0" applyNumberFormat="0" applyFill="0" applyBorder="0" applyAlignment="0" applyProtection="0"/>
    <xf numFmtId="0" fontId="137" fillId="0" borderId="0"/>
    <xf numFmtId="0" fontId="138" fillId="0" borderId="0"/>
    <xf numFmtId="0" fontId="8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175" fontId="62" fillId="0" borderId="0" applyNumberFormat="0" applyFill="0" applyBorder="0" applyAlignment="0" applyProtection="0"/>
    <xf numFmtId="175" fontId="62" fillId="0" borderId="0" applyNumberFormat="0" applyFill="0" applyBorder="0" applyAlignment="0" applyProtection="0"/>
    <xf numFmtId="175" fontId="56" fillId="0" borderId="0"/>
    <xf numFmtId="175" fontId="56" fillId="0" borderId="0"/>
    <xf numFmtId="0" fontId="139" fillId="0" borderId="0" applyNumberFormat="0" applyFill="0" applyBorder="0" applyAlignment="0" applyProtection="0"/>
    <xf numFmtId="0" fontId="140" fillId="0" borderId="34" applyNumberFormat="0" applyFill="0" applyAlignment="0" applyProtection="0"/>
    <xf numFmtId="0" fontId="141" fillId="0" borderId="35" applyNumberFormat="0" applyFill="0" applyAlignment="0" applyProtection="0"/>
    <xf numFmtId="0" fontId="142" fillId="0" borderId="36" applyNumberFormat="0" applyFill="0" applyAlignment="0" applyProtection="0"/>
    <xf numFmtId="0" fontId="142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175" fontId="116" fillId="0" borderId="0" applyNumberFormat="0" applyFill="0" applyBorder="0" applyAlignment="0" applyProtection="0"/>
    <xf numFmtId="175" fontId="116" fillId="0" borderId="0" applyNumberFormat="0" applyFill="0" applyBorder="0" applyAlignment="0" applyProtection="0"/>
    <xf numFmtId="0" fontId="143" fillId="0" borderId="37" applyNumberFormat="0" applyFill="0" applyAlignment="0" applyProtection="0"/>
    <xf numFmtId="0" fontId="144" fillId="0" borderId="0"/>
    <xf numFmtId="0" fontId="145" fillId="10" borderId="0" applyNumberFormat="0" applyBorder="0" applyAlignment="0" applyProtection="0"/>
    <xf numFmtId="0" fontId="146" fillId="11" borderId="0" applyNumberFormat="0" applyBorder="0" applyAlignment="0" applyProtection="0"/>
    <xf numFmtId="214" fontId="5" fillId="0" borderId="0" applyFont="0" applyFill="0" applyBorder="0" applyAlignment="0" applyProtection="0"/>
    <xf numFmtId="215" fontId="5" fillId="0" borderId="0" applyFont="0" applyFill="0" applyBorder="0" applyAlignment="0" applyProtection="0"/>
    <xf numFmtId="0" fontId="144" fillId="0" borderId="0"/>
    <xf numFmtId="42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6" fontId="79" fillId="0" borderId="0" applyFont="0" applyFill="0" applyBorder="0" applyAlignment="0" applyProtection="0"/>
    <xf numFmtId="8" fontId="79" fillId="0" borderId="0" applyFont="0" applyFill="0" applyBorder="0" applyAlignment="0" applyProtection="0"/>
    <xf numFmtId="0" fontId="5" fillId="17" borderId="0" applyNumberFormat="0" applyBorder="0" applyAlignment="0" applyProtection="0"/>
    <xf numFmtId="175" fontId="5" fillId="17" borderId="0" applyNumberFormat="0" applyBorder="0" applyAlignment="0" applyProtection="0"/>
    <xf numFmtId="175" fontId="5" fillId="17" borderId="0" applyNumberFormat="0" applyBorder="0" applyAlignment="0" applyProtection="0"/>
    <xf numFmtId="0" fontId="147" fillId="0" borderId="12" applyBorder="0" applyProtection="0">
      <alignment horizontal="right"/>
    </xf>
    <xf numFmtId="216" fontId="68" fillId="0" borderId="0" applyFont="0" applyFill="0" applyBorder="0" applyAlignment="0" applyProtection="0"/>
    <xf numFmtId="216" fontId="68" fillId="0" borderId="0" applyFont="0" applyFill="0" applyBorder="0" applyAlignment="0" applyProtection="0"/>
    <xf numFmtId="216" fontId="68" fillId="0" borderId="0" applyFont="0" applyFill="0" applyBorder="0" applyAlignment="0" applyProtection="0"/>
    <xf numFmtId="217" fontId="5" fillId="0" borderId="0" applyFont="0" applyFill="0" applyBorder="0" applyAlignment="0" applyProtection="0"/>
    <xf numFmtId="217" fontId="5" fillId="0" borderId="0" applyFont="0" applyFill="0" applyBorder="0" applyAlignment="0" applyProtection="0"/>
    <xf numFmtId="217" fontId="5" fillId="0" borderId="0" applyFont="0" applyFill="0" applyBorder="0" applyAlignment="0" applyProtection="0"/>
    <xf numFmtId="0" fontId="148" fillId="14" borderId="20" applyNumberFormat="0" applyAlignment="0" applyProtection="0"/>
    <xf numFmtId="3" fontId="149" fillId="0" borderId="0">
      <alignment horizontal="center" vertical="center" textRotation="90" wrapText="1"/>
    </xf>
    <xf numFmtId="14" fontId="150" fillId="0" borderId="0"/>
    <xf numFmtId="218" fontId="151" fillId="0" borderId="0"/>
    <xf numFmtId="0" fontId="152" fillId="3" borderId="0" applyFill="0"/>
    <xf numFmtId="0" fontId="153" fillId="0" borderId="0"/>
    <xf numFmtId="0" fontId="100" fillId="0" borderId="0"/>
    <xf numFmtId="9" fontId="153" fillId="0" borderId="0" applyFont="0" applyFill="0" applyBorder="0" applyAlignment="0" applyProtection="0"/>
    <xf numFmtId="49" fontId="154" fillId="0" borderId="0"/>
    <xf numFmtId="49" fontId="155" fillId="0" borderId="0">
      <alignment vertical="top"/>
    </xf>
    <xf numFmtId="219" fontId="27" fillId="0" borderId="0"/>
    <xf numFmtId="38" fontId="156" fillId="0" borderId="0" applyFont="0" applyFill="0" applyBorder="0" applyAlignment="0" applyProtection="0"/>
    <xf numFmtId="40" fontId="156" fillId="0" borderId="0" applyFont="0" applyFill="0" applyBorder="0" applyAlignment="0" applyProtection="0"/>
    <xf numFmtId="0" fontId="153" fillId="0" borderId="0" applyFont="0" applyFill="0" applyBorder="0" applyAlignment="0" applyProtection="0"/>
    <xf numFmtId="220" fontId="100" fillId="0" borderId="0" applyFont="0" applyFill="0" applyBorder="0" applyAlignment="0" applyProtection="0"/>
    <xf numFmtId="221" fontId="49" fillId="0" borderId="0">
      <protection locked="0"/>
    </xf>
    <xf numFmtId="49" fontId="157" fillId="0" borderId="15" applyNumberFormat="0" applyFill="0" applyAlignment="0" applyProtection="0"/>
    <xf numFmtId="0" fontId="41" fillId="0" borderId="41" applyNumberFormat="0" applyFont="0" applyFill="0" applyAlignment="0" applyProtection="0"/>
    <xf numFmtId="223" fontId="165" fillId="0" borderId="42" applyNumberFormat="0" applyProtection="0">
      <alignment horizontal="right" vertical="center"/>
    </xf>
    <xf numFmtId="223" fontId="166" fillId="0" borderId="43" applyNumberFormat="0" applyProtection="0">
      <alignment horizontal="right" vertical="center"/>
    </xf>
    <xf numFmtId="0" fontId="166" fillId="58" borderId="41" applyNumberFormat="0" applyAlignment="0" applyProtection="0">
      <alignment horizontal="left" vertical="center" indent="1"/>
    </xf>
    <xf numFmtId="0" fontId="167" fillId="59" borderId="43" applyNumberFormat="0" applyAlignment="0" applyProtection="0">
      <alignment horizontal="left" vertical="center" indent="1"/>
    </xf>
    <xf numFmtId="0" fontId="167" fillId="59" borderId="43" applyNumberFormat="0" applyAlignment="0" applyProtection="0">
      <alignment horizontal="left" vertical="center" indent="1"/>
    </xf>
    <xf numFmtId="0" fontId="168" fillId="0" borderId="44" applyNumberFormat="0" applyFill="0" applyBorder="0" applyAlignment="0" applyProtection="0"/>
    <xf numFmtId="223" fontId="169" fillId="60" borderId="45" applyNumberFormat="0" applyBorder="0" applyAlignment="0" applyProtection="0">
      <alignment horizontal="right" vertical="center" indent="1"/>
    </xf>
    <xf numFmtId="223" fontId="170" fillId="61" borderId="45" applyNumberFormat="0" applyBorder="0" applyAlignment="0" applyProtection="0">
      <alignment horizontal="right" vertical="center" indent="1"/>
    </xf>
    <xf numFmtId="223" fontId="170" fillId="62" borderId="45" applyNumberFormat="0" applyBorder="0" applyAlignment="0" applyProtection="0">
      <alignment horizontal="right" vertical="center" indent="1"/>
    </xf>
    <xf numFmtId="223" fontId="171" fillId="63" borderId="45" applyNumberFormat="0" applyBorder="0" applyAlignment="0" applyProtection="0">
      <alignment horizontal="right" vertical="center" indent="1"/>
    </xf>
    <xf numFmtId="223" fontId="171" fillId="64" borderId="45" applyNumberFormat="0" applyBorder="0" applyAlignment="0" applyProtection="0">
      <alignment horizontal="right" vertical="center" indent="1"/>
    </xf>
    <xf numFmtId="223" fontId="171" fillId="65" borderId="45" applyNumberFormat="0" applyBorder="0" applyAlignment="0" applyProtection="0">
      <alignment horizontal="right" vertical="center" indent="1"/>
    </xf>
    <xf numFmtId="223" fontId="172" fillId="66" borderId="45" applyNumberFormat="0" applyBorder="0" applyAlignment="0" applyProtection="0">
      <alignment horizontal="right" vertical="center" indent="1"/>
    </xf>
    <xf numFmtId="223" fontId="172" fillId="67" borderId="45" applyNumberFormat="0" applyBorder="0" applyAlignment="0" applyProtection="0">
      <alignment horizontal="right" vertical="center" indent="1"/>
    </xf>
    <xf numFmtId="223" fontId="172" fillId="68" borderId="45" applyNumberFormat="0" applyBorder="0" applyAlignment="0" applyProtection="0">
      <alignment horizontal="right" vertical="center" indent="1"/>
    </xf>
    <xf numFmtId="0" fontId="167" fillId="69" borderId="41" applyNumberFormat="0" applyAlignment="0" applyProtection="0">
      <alignment horizontal="left" vertical="center" indent="1"/>
    </xf>
    <xf numFmtId="0" fontId="167" fillId="70" borderId="41" applyNumberFormat="0" applyAlignment="0" applyProtection="0">
      <alignment horizontal="left" vertical="center" indent="1"/>
    </xf>
    <xf numFmtId="0" fontId="167" fillId="71" borderId="41" applyNumberFormat="0" applyAlignment="0" applyProtection="0">
      <alignment horizontal="left" vertical="center" indent="1"/>
    </xf>
    <xf numFmtId="0" fontId="167" fillId="72" borderId="41" applyNumberFormat="0" applyAlignment="0" applyProtection="0">
      <alignment horizontal="left" vertical="center" indent="1"/>
    </xf>
    <xf numFmtId="0" fontId="167" fillId="73" borderId="43" applyNumberFormat="0" applyAlignment="0" applyProtection="0">
      <alignment horizontal="left" vertical="center" indent="1"/>
    </xf>
    <xf numFmtId="223" fontId="165" fillId="72" borderId="42" applyNumberFormat="0" applyBorder="0" applyProtection="0">
      <alignment horizontal="right" vertical="center"/>
    </xf>
    <xf numFmtId="223" fontId="166" fillId="72" borderId="43" applyNumberFormat="0" applyBorder="0" applyProtection="0">
      <alignment horizontal="right" vertical="center"/>
    </xf>
    <xf numFmtId="223" fontId="165" fillId="74" borderId="41" applyNumberFormat="0" applyAlignment="0" applyProtection="0">
      <alignment horizontal="left" vertical="center" indent="1"/>
    </xf>
    <xf numFmtId="0" fontId="166" fillId="58" borderId="43" applyNumberFormat="0" applyAlignment="0" applyProtection="0">
      <alignment horizontal="left" vertical="center" indent="1"/>
    </xf>
    <xf numFmtId="0" fontId="167" fillId="73" borderId="43" applyNumberFormat="0" applyAlignment="0" applyProtection="0">
      <alignment horizontal="left" vertical="center" indent="1"/>
    </xf>
    <xf numFmtId="223" fontId="166" fillId="73" borderId="43" applyNumberFormat="0" applyProtection="0">
      <alignment horizontal="right" vertical="center"/>
    </xf>
    <xf numFmtId="9" fontId="39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226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03" fillId="0" borderId="0" applyAlignment="0"/>
    <xf numFmtId="0" fontId="177" fillId="0" borderId="0" applyAlignment="0"/>
    <xf numFmtId="0" fontId="177" fillId="0" borderId="0" applyAlignment="0"/>
    <xf numFmtId="0" fontId="177" fillId="0" borderId="0" applyAlignment="0"/>
    <xf numFmtId="0" fontId="177" fillId="0" borderId="0" applyAlignment="0"/>
    <xf numFmtId="0" fontId="160" fillId="78" borderId="0" applyAlignment="0"/>
    <xf numFmtId="0" fontId="178" fillId="0" borderId="0" applyAlignment="0"/>
    <xf numFmtId="0" fontId="179" fillId="79" borderId="0" applyAlignment="0"/>
    <xf numFmtId="0" fontId="105" fillId="4" borderId="0" applyAlignment="0"/>
    <xf numFmtId="0" fontId="180" fillId="0" borderId="0" applyAlignment="0"/>
    <xf numFmtId="0" fontId="181" fillId="75" borderId="0" applyAlignment="0"/>
    <xf numFmtId="0" fontId="182" fillId="0" borderId="0" applyAlignment="0"/>
    <xf numFmtId="0" fontId="183" fillId="0" borderId="0" applyAlignment="0"/>
    <xf numFmtId="0" fontId="21" fillId="0" borderId="0" applyAlignment="0"/>
    <xf numFmtId="0" fontId="158" fillId="0" borderId="0" applyAlignment="0"/>
    <xf numFmtId="0" fontId="22" fillId="0" borderId="0" applyAlignment="0"/>
    <xf numFmtId="0" fontId="184" fillId="0" borderId="0" applyAlignment="0"/>
    <xf numFmtId="0" fontId="5" fillId="0" borderId="0"/>
    <xf numFmtId="0" fontId="5" fillId="0" borderId="0"/>
    <xf numFmtId="230" fontId="5" fillId="0" borderId="0" applyFont="0" applyFill="0" applyBorder="0" applyAlignment="0" applyProtection="0"/>
    <xf numFmtId="231" fontId="5" fillId="0" borderId="0" applyFont="0" applyFill="0" applyBorder="0" applyAlignment="0" applyProtection="0"/>
    <xf numFmtId="232" fontId="5" fillId="0" borderId="0" applyFont="0" applyFill="0" applyBorder="0" applyAlignment="0" applyProtection="0"/>
    <xf numFmtId="233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235" fontId="5" fillId="0" borderId="0" applyFont="0" applyFill="0" applyBorder="0" applyAlignment="0" applyProtection="0"/>
    <xf numFmtId="0" fontId="187" fillId="0" borderId="0" applyNumberFormat="0" applyFill="0" applyBorder="0" applyAlignment="0" applyProtection="0"/>
    <xf numFmtId="0" fontId="5" fillId="37" borderId="0" applyNumberFormat="0" applyFont="0" applyAlignment="0" applyProtection="0"/>
    <xf numFmtId="236" fontId="5" fillId="0" borderId="0" applyFont="0" applyFill="0" applyBorder="0" applyAlignment="0" applyProtection="0"/>
    <xf numFmtId="237" fontId="5" fillId="0" borderId="0" applyFont="0" applyFill="0" applyBorder="0" applyProtection="0">
      <alignment horizontal="right"/>
    </xf>
    <xf numFmtId="0" fontId="188" fillId="0" borderId="0" applyNumberFormat="0" applyFill="0" applyBorder="0" applyProtection="0">
      <alignment vertical="top"/>
    </xf>
    <xf numFmtId="0" fontId="189" fillId="0" borderId="51" applyNumberFormat="0" applyFill="0" applyAlignment="0" applyProtection="0"/>
    <xf numFmtId="0" fontId="190" fillId="0" borderId="52" applyNumberFormat="0" applyFill="0" applyProtection="0">
      <alignment horizontal="center"/>
    </xf>
    <xf numFmtId="0" fontId="190" fillId="0" borderId="0" applyNumberFormat="0" applyFill="0" applyBorder="0" applyProtection="0">
      <alignment horizontal="left"/>
    </xf>
    <xf numFmtId="0" fontId="191" fillId="0" borderId="0" applyNumberFormat="0" applyFill="0" applyBorder="0" applyProtection="0">
      <alignment horizontal="centerContinuous"/>
    </xf>
    <xf numFmtId="238" fontId="62" fillId="0" borderId="0" applyFont="0" applyFill="0" applyBorder="0" applyAlignment="0" applyProtection="0"/>
    <xf numFmtId="239" fontId="62" fillId="0" borderId="0" applyFont="0" applyFill="0" applyBorder="0" applyAlignment="0" applyProtection="0"/>
    <xf numFmtId="0" fontId="5" fillId="0" borderId="0"/>
    <xf numFmtId="1" fontId="79" fillId="0" borderId="0"/>
    <xf numFmtId="1" fontId="79" fillId="0" borderId="0"/>
    <xf numFmtId="0" fontId="5" fillId="0" borderId="0" applyProtection="0"/>
    <xf numFmtId="0" fontId="8" fillId="0" borderId="15" applyNumberFormat="0" applyAlignment="0"/>
    <xf numFmtId="0" fontId="192" fillId="0" borderId="0">
      <alignment horizontal="center" wrapText="1"/>
      <protection locked="0"/>
    </xf>
    <xf numFmtId="0" fontId="6" fillId="0" borderId="53" applyNumberFormat="0" applyFill="0" applyAlignment="0" applyProtection="0"/>
    <xf numFmtId="0" fontId="193" fillId="0" borderId="0" applyNumberFormat="0" applyFill="0" applyBorder="0" applyAlignment="0" applyProtection="0"/>
    <xf numFmtId="0" fontId="22" fillId="3" borderId="0" applyNumberFormat="0" applyFill="0" applyBorder="0" applyAlignment="0" applyProtection="0">
      <protection locked="0"/>
    </xf>
    <xf numFmtId="37" fontId="194" fillId="0" borderId="0" applyNumberFormat="0" applyFill="0" applyBorder="0" applyAlignment="0" applyProtection="0">
      <protection locked="0"/>
    </xf>
    <xf numFmtId="0" fontId="195" fillId="0" borderId="0" applyNumberFormat="0"/>
    <xf numFmtId="0" fontId="75" fillId="0" borderId="54" applyNumberFormat="0" applyFill="0" applyAlignment="0" applyProtection="0"/>
    <xf numFmtId="37" fontId="194" fillId="0" borderId="0" applyNumberFormat="0" applyFill="0" applyBorder="0" applyAlignment="0" applyProtection="0">
      <protection locked="0"/>
    </xf>
    <xf numFmtId="0" fontId="21" fillId="3" borderId="47" applyNumberFormat="0" applyFill="0" applyBorder="0" applyAlignment="0" applyProtection="0">
      <protection locked="0"/>
    </xf>
    <xf numFmtId="9" fontId="5" fillId="0" borderId="55" applyNumberFormat="0" applyFont="0" applyFill="0" applyAlignment="0" applyProtection="0"/>
    <xf numFmtId="0" fontId="192" fillId="0" borderId="46" applyNumberFormat="0" applyFont="0" applyFill="0" applyAlignment="0" applyProtection="0"/>
    <xf numFmtId="0" fontId="192" fillId="0" borderId="56" applyNumberFormat="0" applyFont="0" applyFill="0" applyAlignment="0" applyProtection="0"/>
    <xf numFmtId="38" fontId="196" fillId="80" borderId="0" applyNumberFormat="0" applyFont="0" applyBorder="0" applyAlignment="0" applyProtection="0">
      <alignment horizontal="center"/>
    </xf>
    <xf numFmtId="240" fontId="62" fillId="0" borderId="0" applyFont="0" applyFill="0" applyBorder="0" applyAlignment="0" applyProtection="0"/>
    <xf numFmtId="241" fontId="5" fillId="0" borderId="0" applyFill="0" applyBorder="0" applyAlignment="0"/>
    <xf numFmtId="242" fontId="5" fillId="0" borderId="0" applyFill="0" applyBorder="0" applyAlignment="0"/>
    <xf numFmtId="243" fontId="5" fillId="0" borderId="0" applyFill="0" applyBorder="0" applyAlignment="0"/>
    <xf numFmtId="244" fontId="5" fillId="0" borderId="0" applyFill="0" applyBorder="0" applyAlignment="0"/>
    <xf numFmtId="245" fontId="5" fillId="0" borderId="0" applyFill="0" applyBorder="0" applyAlignment="0"/>
    <xf numFmtId="246" fontId="5" fillId="0" borderId="0" applyFill="0" applyBorder="0" applyAlignment="0"/>
    <xf numFmtId="241" fontId="5" fillId="0" borderId="0" applyFill="0" applyBorder="0" applyAlignment="0"/>
    <xf numFmtId="197" fontId="194" fillId="0" borderId="0" applyFont="0" applyFill="0" applyBorder="0" applyAlignment="0">
      <alignment horizontal="center"/>
    </xf>
    <xf numFmtId="0" fontId="81" fillId="0" borderId="0" applyFill="0" applyBorder="0" applyProtection="0">
      <alignment horizontal="center"/>
      <protection locked="0"/>
    </xf>
    <xf numFmtId="1" fontId="197" fillId="0" borderId="0"/>
    <xf numFmtId="38" fontId="198" fillId="0" borderId="38"/>
    <xf numFmtId="37" fontId="6" fillId="0" borderId="0" applyFont="0" applyFill="0" applyBorder="0" applyAlignment="0" applyProtection="0"/>
    <xf numFmtId="247" fontId="5" fillId="0" borderId="0"/>
    <xf numFmtId="247" fontId="5" fillId="0" borderId="0"/>
    <xf numFmtId="247" fontId="5" fillId="0" borderId="0"/>
    <xf numFmtId="247" fontId="5" fillId="0" borderId="0"/>
    <xf numFmtId="247" fontId="5" fillId="0" borderId="0"/>
    <xf numFmtId="247" fontId="5" fillId="0" borderId="0"/>
    <xf numFmtId="247" fontId="5" fillId="0" borderId="0"/>
    <xf numFmtId="247" fontId="5" fillId="0" borderId="0"/>
    <xf numFmtId="245" fontId="5" fillId="0" borderId="0" applyFont="0" applyFill="0" applyBorder="0" applyAlignment="0" applyProtection="0"/>
    <xf numFmtId="40" fontId="194" fillId="0" borderId="0" applyFont="0" applyFill="0" applyBorder="0" applyAlignment="0" applyProtection="0">
      <alignment horizontal="center"/>
    </xf>
    <xf numFmtId="248" fontId="194" fillId="0" borderId="0" applyFont="0" applyFill="0" applyBorder="0" applyAlignment="0" applyProtection="0">
      <alignment horizontal="center"/>
    </xf>
    <xf numFmtId="249" fontId="8" fillId="0" borderId="0" applyFont="0" applyFill="0" applyBorder="0" applyAlignment="0" applyProtection="0"/>
    <xf numFmtId="250" fontId="199" fillId="0" borderId="0" applyFont="0" applyFill="0" applyBorder="0" applyAlignment="0" applyProtection="0"/>
    <xf numFmtId="251" fontId="199" fillId="0" borderId="0" applyFont="0" applyFill="0" applyBorder="0" applyAlignment="0" applyProtection="0"/>
    <xf numFmtId="252" fontId="134" fillId="0" borderId="0">
      <alignment vertical="center"/>
    </xf>
    <xf numFmtId="253" fontId="8" fillId="0" borderId="0">
      <alignment vertical="center"/>
    </xf>
    <xf numFmtId="197" fontId="200" fillId="0" borderId="0" applyFont="0" applyFill="0" applyBorder="0" applyAlignment="0" applyProtection="0"/>
    <xf numFmtId="254" fontId="78" fillId="0" borderId="0" applyFont="0" applyFill="0" applyBorder="0" applyAlignment="0" applyProtection="0"/>
    <xf numFmtId="0" fontId="46" fillId="0" borderId="0"/>
    <xf numFmtId="3" fontId="201" fillId="0" borderId="0" applyFont="0" applyFill="0" applyBorder="0" applyAlignment="0" applyProtection="0"/>
    <xf numFmtId="0" fontId="202" fillId="0" borderId="0" applyFill="0" applyBorder="0" applyAlignment="0" applyProtection="0">
      <protection locked="0"/>
    </xf>
    <xf numFmtId="212" fontId="203" fillId="0" borderId="0" applyFill="0" applyBorder="0">
      <alignment horizontal="left"/>
    </xf>
    <xf numFmtId="0" fontId="204" fillId="0" borderId="0" applyNumberFormat="0" applyAlignment="0">
      <alignment horizontal="left"/>
    </xf>
    <xf numFmtId="0" fontId="46" fillId="0" borderId="0"/>
    <xf numFmtId="241" fontId="5" fillId="0" borderId="0" applyFont="0" applyFill="0" applyBorder="0" applyAlignment="0" applyProtection="0"/>
    <xf numFmtId="8" fontId="192" fillId="0" borderId="0" applyFont="0" applyFill="0" applyBorder="0" applyAlignment="0" applyProtection="0"/>
    <xf numFmtId="255" fontId="192" fillId="0" borderId="0" applyFont="0" applyFill="0" applyBorder="0" applyAlignment="0" applyProtection="0"/>
    <xf numFmtId="256" fontId="199" fillId="0" borderId="0" applyFont="0" applyFill="0" applyBorder="0" applyAlignment="0" applyProtection="0"/>
    <xf numFmtId="257" fontId="199" fillId="0" borderId="0" applyFont="0" applyFill="0" applyBorder="0" applyAlignment="0" applyProtection="0"/>
    <xf numFmtId="258" fontId="199" fillId="0" borderId="0" applyFont="0" applyFill="0" applyBorder="0" applyAlignment="0" applyProtection="0"/>
    <xf numFmtId="259" fontId="8" fillId="0" borderId="57">
      <alignment vertical="center"/>
    </xf>
    <xf numFmtId="260" fontId="8" fillId="0" borderId="0">
      <alignment vertical="center"/>
    </xf>
    <xf numFmtId="261" fontId="205" fillId="0" borderId="0" applyFont="0" applyFill="0" applyBorder="0" applyAlignment="0" applyProtection="0"/>
    <xf numFmtId="203" fontId="77" fillId="0" borderId="0"/>
    <xf numFmtId="7" fontId="206" fillId="0" borderId="0" applyFill="0" applyBorder="0" applyProtection="0"/>
    <xf numFmtId="262" fontId="8" fillId="34" borderId="0" applyFont="0" applyBorder="0"/>
    <xf numFmtId="263" fontId="62" fillId="0" borderId="0" applyFont="0" applyFill="0" applyBorder="0" applyAlignment="0" applyProtection="0"/>
    <xf numFmtId="8" fontId="207" fillId="0" borderId="0" applyNumberFormat="0" applyFill="0" applyBorder="0" applyAlignment="0"/>
    <xf numFmtId="15" fontId="10" fillId="0" borderId="0" applyFill="0" applyBorder="0" applyAlignment="0"/>
    <xf numFmtId="0" fontId="10" fillId="35" borderId="0" applyFont="0" applyFill="0" applyBorder="0" applyAlignment="0" applyProtection="0"/>
    <xf numFmtId="0" fontId="208" fillId="35" borderId="58" applyFont="0" applyFill="0" applyBorder="0" applyAlignment="0" applyProtection="0"/>
    <xf numFmtId="17" fontId="10" fillId="0" borderId="0" applyFill="0" applyBorder="0">
      <alignment horizontal="right"/>
    </xf>
    <xf numFmtId="14" fontId="103" fillId="0" borderId="0" applyFill="0" applyBorder="0" applyAlignment="0"/>
    <xf numFmtId="14" fontId="209" fillId="0" borderId="0">
      <alignment horizontal="right"/>
      <protection locked="0"/>
    </xf>
    <xf numFmtId="0" fontId="210" fillId="0" borderId="0">
      <protection locked="0"/>
    </xf>
    <xf numFmtId="265" fontId="7" fillId="0" borderId="0"/>
    <xf numFmtId="0" fontId="192" fillId="0" borderId="0"/>
    <xf numFmtId="0" fontId="77" fillId="0" borderId="0">
      <protection locked="0"/>
    </xf>
    <xf numFmtId="7" fontId="192" fillId="0" borderId="0"/>
    <xf numFmtId="245" fontId="5" fillId="0" borderId="0" applyFill="0" applyBorder="0" applyAlignment="0"/>
    <xf numFmtId="241" fontId="5" fillId="0" borderId="0" applyFill="0" applyBorder="0" applyAlignment="0"/>
    <xf numFmtId="245" fontId="5" fillId="0" borderId="0" applyFill="0" applyBorder="0" applyAlignment="0"/>
    <xf numFmtId="246" fontId="5" fillId="0" borderId="0" applyFill="0" applyBorder="0" applyAlignment="0"/>
    <xf numFmtId="241" fontId="5" fillId="0" borderId="0" applyFill="0" applyBorder="0" applyAlignment="0"/>
    <xf numFmtId="0" fontId="211" fillId="0" borderId="0" applyNumberFormat="0" applyAlignment="0">
      <alignment horizontal="left"/>
    </xf>
    <xf numFmtId="266" fontId="212" fillId="0" borderId="0"/>
    <xf numFmtId="3" fontId="213" fillId="0" borderId="0" applyNumberFormat="0" applyFont="0" applyFill="0" applyBorder="0" applyAlignment="0" applyProtection="0">
      <alignment horizontal="left"/>
    </xf>
    <xf numFmtId="0" fontId="5" fillId="35" borderId="0" applyFont="0" applyFill="0" applyBorder="0" applyAlignment="0"/>
    <xf numFmtId="267" fontId="206" fillId="0" borderId="0" applyFill="0" applyBorder="0" applyProtection="0"/>
    <xf numFmtId="197" fontId="6" fillId="3" borderId="15" applyFont="0" applyBorder="0" applyAlignment="0" applyProtection="0">
      <alignment vertical="top"/>
    </xf>
    <xf numFmtId="268" fontId="62" fillId="0" borderId="0" applyBorder="0" applyProtection="0"/>
    <xf numFmtId="0" fontId="214" fillId="0" borderId="0" applyNumberFormat="0" applyFill="0" applyBorder="0" applyAlignment="0" applyProtection="0"/>
    <xf numFmtId="212" fontId="215" fillId="0" borderId="0">
      <alignment horizontal="right"/>
    </xf>
    <xf numFmtId="0" fontId="81" fillId="0" borderId="0" applyFill="0" applyAlignment="0" applyProtection="0">
      <protection locked="0"/>
    </xf>
    <xf numFmtId="212" fontId="215" fillId="0" borderId="0">
      <alignment horizontal="left"/>
    </xf>
    <xf numFmtId="0" fontId="81" fillId="0" borderId="54" applyFill="0" applyAlignment="0" applyProtection="0">
      <protection locked="0"/>
    </xf>
    <xf numFmtId="37" fontId="75" fillId="0" borderId="0">
      <alignment horizontal="left"/>
    </xf>
    <xf numFmtId="0" fontId="216" fillId="0" borderId="0">
      <alignment horizontal="center"/>
    </xf>
    <xf numFmtId="0" fontId="8" fillId="0" borderId="0"/>
    <xf numFmtId="269" fontId="5" fillId="81" borderId="0" applyNumberFormat="0" applyFont="0" applyBorder="0" applyAlignment="0"/>
    <xf numFmtId="8" fontId="6" fillId="35" borderId="0" applyFont="0" applyBorder="0" applyAlignment="0" applyProtection="0">
      <protection locked="0"/>
    </xf>
    <xf numFmtId="15" fontId="6" fillId="35" borderId="0" applyFont="0" applyBorder="0" applyAlignment="0" applyProtection="0">
      <protection locked="0"/>
    </xf>
    <xf numFmtId="0" fontId="6" fillId="35" borderId="0" applyFont="0" applyBorder="0" applyAlignment="0">
      <protection locked="0"/>
    </xf>
    <xf numFmtId="38" fontId="6" fillId="35" borderId="0">
      <protection locked="0"/>
    </xf>
    <xf numFmtId="0" fontId="6" fillId="35" borderId="0" applyFont="0" applyBorder="0" applyAlignment="0">
      <protection locked="0"/>
    </xf>
    <xf numFmtId="10" fontId="6" fillId="35" borderId="0">
      <protection locked="0"/>
    </xf>
    <xf numFmtId="0" fontId="37" fillId="35" borderId="0" applyNumberFormat="0" applyBorder="0" applyAlignment="0">
      <protection locked="0"/>
    </xf>
    <xf numFmtId="270" fontId="6" fillId="35" borderId="0" applyNumberFormat="0" applyFont="0" applyBorder="0" applyAlignment="0" applyProtection="0">
      <alignment horizontal="center"/>
      <protection locked="0"/>
    </xf>
    <xf numFmtId="208" fontId="6" fillId="35" borderId="54" applyNumberFormat="0" applyFont="0" applyAlignment="0" applyProtection="0">
      <alignment horizontal="center"/>
      <protection locked="0"/>
    </xf>
    <xf numFmtId="271" fontId="7" fillId="0" borderId="0"/>
    <xf numFmtId="197" fontId="217" fillId="0" borderId="0">
      <alignment horizontal="center"/>
    </xf>
    <xf numFmtId="1" fontId="218" fillId="1" borderId="59">
      <protection locked="0"/>
    </xf>
    <xf numFmtId="272" fontId="192" fillId="47" borderId="0" applyFill="0" applyProtection="0">
      <alignment horizontal="left"/>
    </xf>
    <xf numFmtId="273" fontId="192" fillId="0" borderId="0">
      <alignment horizontal="left"/>
    </xf>
    <xf numFmtId="245" fontId="5" fillId="0" borderId="0" applyFill="0" applyBorder="0" applyAlignment="0"/>
    <xf numFmtId="241" fontId="5" fillId="0" borderId="0" applyFill="0" applyBorder="0" applyAlignment="0"/>
    <xf numFmtId="245" fontId="5" fillId="0" borderId="0" applyFill="0" applyBorder="0" applyAlignment="0"/>
    <xf numFmtId="246" fontId="5" fillId="0" borderId="0" applyFill="0" applyBorder="0" applyAlignment="0"/>
    <xf numFmtId="241" fontId="5" fillId="0" borderId="0" applyFill="0" applyBorder="0" applyAlignment="0"/>
    <xf numFmtId="37" fontId="219" fillId="0" borderId="0" applyNumberFormat="0" applyFill="0" applyBorder="0" applyAlignment="0" applyProtection="0">
      <alignment horizontal="right"/>
    </xf>
    <xf numFmtId="274" fontId="5" fillId="0" borderId="0" applyFont="0">
      <alignment horizontal="right"/>
    </xf>
    <xf numFmtId="275" fontId="5" fillId="0" borderId="0">
      <alignment horizontal="right"/>
    </xf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276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79" fillId="0" borderId="0" applyNumberFormat="0">
      <alignment horizontal="left"/>
    </xf>
    <xf numFmtId="0" fontId="208" fillId="34" borderId="0" applyFont="0" applyBorder="0" applyAlignment="0" applyProtection="0">
      <alignment horizontal="right"/>
      <protection hidden="1"/>
    </xf>
    <xf numFmtId="37" fontId="220" fillId="0" borderId="60" applyNumberFormat="0" applyFont="0" applyFill="0" applyBorder="0" applyAlignment="0" applyProtection="0">
      <alignment horizontal="left"/>
    </xf>
    <xf numFmtId="38" fontId="6" fillId="0" borderId="0" applyFont="0" applyFill="0" applyBorder="0" applyAlignment="0"/>
    <xf numFmtId="0" fontId="5" fillId="0" borderId="0" applyFont="0" applyFill="0" applyBorder="0" applyAlignment="0"/>
    <xf numFmtId="40" fontId="6" fillId="0" borderId="0" applyFont="0" applyFill="0" applyBorder="0" applyAlignment="0"/>
    <xf numFmtId="0" fontId="6" fillId="0" borderId="0" applyFont="0" applyFill="0" applyBorder="0" applyAlignment="0"/>
    <xf numFmtId="0" fontId="10" fillId="0" borderId="0" applyNumberFormat="0" applyFill="0" applyBorder="0" applyAlignment="0" applyProtection="0"/>
    <xf numFmtId="0" fontId="6" fillId="0" borderId="0" applyFont="0" applyFill="0" applyBorder="0" applyAlignment="0" applyProtection="0"/>
    <xf numFmtId="269" fontId="221" fillId="0" borderId="0">
      <alignment horizontal="left"/>
      <protection locked="0"/>
    </xf>
    <xf numFmtId="269" fontId="75" fillId="0" borderId="0">
      <alignment horizontal="left"/>
      <protection locked="0"/>
    </xf>
    <xf numFmtId="0" fontId="222" fillId="0" borderId="0" applyFill="0" applyBorder="0" applyAlignment="0" applyProtection="0"/>
    <xf numFmtId="37" fontId="223" fillId="0" borderId="0" applyNumberFormat="0" applyFont="0" applyFill="0" applyBorder="0" applyAlignment="0" applyProtection="0"/>
    <xf numFmtId="0" fontId="208" fillId="0" borderId="0" applyFont="0" applyFill="0" applyBorder="0" applyAlignment="0" applyProtection="0"/>
    <xf numFmtId="1" fontId="77" fillId="0" borderId="0">
      <alignment horizontal="right"/>
      <protection locked="0"/>
    </xf>
    <xf numFmtId="277" fontId="224" fillId="0" borderId="0">
      <alignment horizontal="right"/>
      <protection locked="0"/>
    </xf>
    <xf numFmtId="269" fontId="20" fillId="0" borderId="0">
      <protection locked="0"/>
    </xf>
    <xf numFmtId="2" fontId="224" fillId="0" borderId="0">
      <alignment horizontal="right"/>
      <protection locked="0"/>
    </xf>
    <xf numFmtId="2" fontId="77" fillId="0" borderId="0">
      <alignment horizontal="right"/>
      <protection locked="0"/>
    </xf>
    <xf numFmtId="278" fontId="225" fillId="0" borderId="0" applyFill="0" applyBorder="0" applyAlignment="0" applyProtection="0"/>
    <xf numFmtId="0" fontId="20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226" fillId="0" borderId="0" applyProtection="0">
      <alignment horizontal="left"/>
    </xf>
    <xf numFmtId="0" fontId="226" fillId="0" borderId="0" applyFill="0" applyBorder="0" applyProtection="0">
      <alignment horizontal="left"/>
    </xf>
    <xf numFmtId="0" fontId="129" fillId="0" borderId="0" applyFill="0" applyBorder="0" applyProtection="0">
      <alignment horizontal="left"/>
    </xf>
    <xf numFmtId="0" fontId="6" fillId="0" borderId="0"/>
    <xf numFmtId="14" fontId="192" fillId="0" borderId="0">
      <alignment horizontal="center" wrapText="1"/>
      <protection locked="0"/>
    </xf>
    <xf numFmtId="208" fontId="192" fillId="0" borderId="0">
      <alignment horizontal="right"/>
    </xf>
    <xf numFmtId="279" fontId="199" fillId="0" borderId="0" applyFont="0" applyFill="0" applyBorder="0" applyAlignment="0" applyProtection="0"/>
    <xf numFmtId="280" fontId="8" fillId="0" borderId="0" applyFont="0" applyFill="0" applyBorder="0" applyAlignment="0" applyProtection="0"/>
    <xf numFmtId="281" fontId="227" fillId="0" borderId="0" applyFont="0" applyFill="0" applyBorder="0" applyAlignment="0" applyProtection="0"/>
    <xf numFmtId="282" fontId="5" fillId="0" borderId="0" applyFont="0" applyFill="0" applyBorder="0" applyAlignment="0" applyProtection="0"/>
    <xf numFmtId="283" fontId="5" fillId="0" borderId="0" applyFont="0" applyFill="0" applyBorder="0" applyAlignment="0" applyProtection="0"/>
    <xf numFmtId="284" fontId="194" fillId="0" borderId="0" applyFont="0" applyFill="0" applyBorder="0" applyAlignment="0" applyProtection="0">
      <alignment horizontal="center"/>
    </xf>
    <xf numFmtId="208" fontId="79" fillId="0" borderId="0"/>
    <xf numFmtId="285" fontId="199" fillId="0" borderId="0" applyFont="0" applyFill="0" applyBorder="0" applyAlignment="0" applyProtection="0"/>
    <xf numFmtId="286" fontId="8" fillId="0" borderId="0" applyFont="0" applyFill="0" applyBorder="0" applyAlignment="0" applyProtection="0"/>
    <xf numFmtId="287" fontId="227" fillId="0" borderId="0" applyFont="0" applyFill="0" applyBorder="0" applyAlignment="0" applyProtection="0"/>
    <xf numFmtId="208" fontId="79" fillId="0" borderId="0"/>
    <xf numFmtId="288" fontId="199" fillId="0" borderId="0" applyFont="0" applyFill="0" applyBorder="0" applyAlignment="0" applyProtection="0"/>
    <xf numFmtId="289" fontId="8" fillId="0" borderId="0" applyFont="0" applyFill="0" applyBorder="0" applyAlignment="0" applyProtection="0"/>
    <xf numFmtId="290" fontId="227" fillId="0" borderId="0" applyFont="0" applyFill="0" applyBorder="0" applyAlignment="0" applyProtection="0"/>
    <xf numFmtId="291" fontId="199" fillId="0" borderId="0" applyFont="0" applyFill="0" applyBorder="0" applyAlignment="0" applyProtection="0"/>
    <xf numFmtId="292" fontId="8" fillId="0" borderId="0" applyFont="0" applyFill="0" applyBorder="0" applyAlignment="0" applyProtection="0"/>
    <xf numFmtId="293" fontId="227" fillId="0" borderId="0" applyFont="0" applyFill="0" applyBorder="0" applyAlignment="0" applyProtection="0"/>
    <xf numFmtId="294" fontId="8" fillId="0" borderId="0" applyFont="0" applyFill="0" applyBorder="0" applyAlignment="0" applyProtection="0"/>
    <xf numFmtId="295" fontId="8" fillId="0" borderId="0" applyFont="0" applyFill="0" applyBorder="0" applyAlignment="0" applyProtection="0"/>
    <xf numFmtId="49" fontId="225" fillId="0" borderId="0">
      <alignment vertical="center"/>
    </xf>
    <xf numFmtId="296" fontId="225" fillId="0" borderId="0">
      <alignment vertical="center"/>
    </xf>
    <xf numFmtId="297" fontId="200" fillId="0" borderId="0" applyFont="0" applyFill="0" applyBorder="0" applyAlignment="0" applyProtection="0"/>
    <xf numFmtId="298" fontId="192" fillId="0" borderId="0" applyFont="0" applyFill="0" applyBorder="0" applyProtection="0">
      <alignment horizontal="right"/>
    </xf>
    <xf numFmtId="9" fontId="8" fillId="0" borderId="0" applyFill="0" applyBorder="0" applyAlignment="0" applyProtection="0"/>
    <xf numFmtId="208" fontId="192" fillId="0" borderId="0"/>
    <xf numFmtId="208" fontId="77" fillId="0" borderId="0"/>
    <xf numFmtId="10" fontId="192" fillId="0" borderId="0"/>
    <xf numFmtId="10" fontId="77" fillId="0" borderId="0">
      <protection locked="0"/>
    </xf>
    <xf numFmtId="0" fontId="208" fillId="0" borderId="0" applyFont="0" applyFill="0" applyBorder="0" applyAlignment="0" applyProtection="0"/>
    <xf numFmtId="284" fontId="206" fillId="0" borderId="0" applyFill="0" applyBorder="0" applyProtection="0"/>
    <xf numFmtId="245" fontId="5" fillId="0" borderId="0" applyFill="0" applyBorder="0" applyAlignment="0"/>
    <xf numFmtId="241" fontId="5" fillId="0" borderId="0" applyFill="0" applyBorder="0" applyAlignment="0"/>
    <xf numFmtId="245" fontId="5" fillId="0" borderId="0" applyFill="0" applyBorder="0" applyAlignment="0"/>
    <xf numFmtId="246" fontId="5" fillId="0" borderId="0" applyFill="0" applyBorder="0" applyAlignment="0"/>
    <xf numFmtId="241" fontId="5" fillId="0" borderId="0" applyFill="0" applyBorder="0" applyAlignment="0"/>
    <xf numFmtId="299" fontId="192" fillId="0" borderId="0" applyProtection="0">
      <alignment horizontal="right"/>
    </xf>
    <xf numFmtId="299" fontId="77" fillId="0" borderId="0">
      <alignment horizontal="right"/>
      <protection locked="0"/>
    </xf>
    <xf numFmtId="0" fontId="228" fillId="0" borderId="0"/>
    <xf numFmtId="37" fontId="26" fillId="39" borderId="0" applyNumberFormat="0" applyFont="0" applyFill="0" applyBorder="0" applyAlignment="0" applyProtection="0"/>
    <xf numFmtId="0" fontId="10" fillId="34" borderId="15" applyNumberFormat="0" applyFont="0" applyAlignment="0" applyProtection="0"/>
    <xf numFmtId="270" fontId="6" fillId="34" borderId="0" applyNumberFormat="0" applyFont="0" applyBorder="0" applyAlignment="0" applyProtection="0">
      <alignment horizontal="center"/>
      <protection locked="0"/>
    </xf>
    <xf numFmtId="9" fontId="70" fillId="0" borderId="0" applyFont="0" applyFill="0" applyProtection="0"/>
    <xf numFmtId="44" fontId="8" fillId="0" borderId="0">
      <alignment horizontal="center"/>
    </xf>
    <xf numFmtId="0" fontId="79" fillId="0" borderId="0" applyNumberFormat="0" applyFont="0" applyFill="0" applyBorder="0" applyAlignment="0" applyProtection="0">
      <alignment horizontal="left"/>
    </xf>
    <xf numFmtId="15" fontId="79" fillId="0" borderId="0" applyFont="0" applyFill="0" applyBorder="0" applyAlignment="0" applyProtection="0"/>
    <xf numFmtId="4" fontId="79" fillId="0" borderId="0" applyFont="0" applyFill="0" applyBorder="0" applyAlignment="0" applyProtection="0"/>
    <xf numFmtId="0" fontId="229" fillId="0" borderId="46">
      <alignment horizontal="center"/>
    </xf>
    <xf numFmtId="3" fontId="79" fillId="0" borderId="0" applyFont="0" applyFill="0" applyBorder="0" applyAlignment="0" applyProtection="0"/>
    <xf numFmtId="0" fontId="79" fillId="82" borderId="0" applyNumberFormat="0" applyFont="0" applyBorder="0" applyAlignment="0" applyProtection="0"/>
    <xf numFmtId="38" fontId="79" fillId="0" borderId="0"/>
    <xf numFmtId="0" fontId="33" fillId="0" borderId="0" applyNumberFormat="0" applyFill="0" applyBorder="0" applyAlignment="0" applyProtection="0">
      <alignment horizontal="left"/>
    </xf>
    <xf numFmtId="0" fontId="230" fillId="83" borderId="0" applyNumberFormat="0" applyFont="0" applyBorder="0" applyAlignment="0">
      <alignment horizontal="center"/>
    </xf>
    <xf numFmtId="14" fontId="206" fillId="0" borderId="0" applyNumberFormat="0" applyFill="0" applyBorder="0" applyAlignment="0" applyProtection="0">
      <alignment horizontal="left"/>
    </xf>
    <xf numFmtId="0" fontId="8" fillId="0" borderId="15" applyNumberFormat="0" applyAlignment="0"/>
    <xf numFmtId="30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" fillId="4" borderId="0" applyNumberFormat="0" applyFont="0" applyBorder="0" applyAlignment="0" applyProtection="0"/>
    <xf numFmtId="0" fontId="230" fillId="1" borderId="55" applyNumberFormat="0" applyFont="0" applyAlignment="0">
      <alignment horizontal="center"/>
    </xf>
    <xf numFmtId="0" fontId="231" fillId="0" borderId="0" applyNumberFormat="0" applyFill="0" applyBorder="0" applyAlignment="0">
      <alignment horizontal="center"/>
    </xf>
    <xf numFmtId="0" fontId="70" fillId="0" borderId="0"/>
    <xf numFmtId="0" fontId="6" fillId="84" borderId="0" applyNumberFormat="0" applyFont="0" applyBorder="0" applyAlignment="0">
      <protection hidden="1"/>
    </xf>
    <xf numFmtId="0" fontId="232" fillId="0" borderId="61"/>
    <xf numFmtId="0" fontId="232" fillId="0" borderId="61"/>
    <xf numFmtId="0" fontId="10" fillId="0" borderId="25" applyNumberFormat="0" applyFill="0" applyProtection="0"/>
    <xf numFmtId="0" fontId="81" fillId="0" borderId="0" applyNumberFormat="0" applyFill="0" applyBorder="0" applyProtection="0"/>
    <xf numFmtId="0" fontId="10" fillId="0" borderId="25" applyNumberFormat="0" applyFill="0" applyProtection="0">
      <alignment horizontal="center" wrapText="1"/>
    </xf>
    <xf numFmtId="0" fontId="10" fillId="0" borderId="0" applyNumberFormat="0" applyFill="0" applyBorder="0" applyProtection="0">
      <alignment horizontal="center"/>
    </xf>
    <xf numFmtId="0" fontId="10" fillId="0" borderId="0" applyNumberFormat="0" applyFill="0" applyBorder="0" applyProtection="0"/>
    <xf numFmtId="4" fontId="6" fillId="0" borderId="0" applyFill="0" applyBorder="0" applyProtection="0">
      <alignment horizontal="right"/>
    </xf>
    <xf numFmtId="0" fontId="6" fillId="0" borderId="0" applyNumberFormat="0" applyFill="0" applyBorder="0" applyProtection="0">
      <alignment horizontal="left"/>
    </xf>
    <xf numFmtId="301" fontId="6" fillId="0" borderId="0" applyFill="0" applyBorder="0" applyProtection="0">
      <alignment horizontal="left" vertical="top" wrapText="1"/>
    </xf>
    <xf numFmtId="0" fontId="6" fillId="0" borderId="0" applyNumberFormat="0" applyFill="0" applyBorder="0" applyProtection="0">
      <alignment horizontal="left" vertical="top" wrapText="1"/>
    </xf>
    <xf numFmtId="0" fontId="6" fillId="0" borderId="0" applyNumberFormat="0" applyFill="0" applyBorder="0" applyProtection="0">
      <alignment horizontal="left" vertical="top" wrapText="1"/>
    </xf>
    <xf numFmtId="301" fontId="174" fillId="79" borderId="0" applyBorder="0" applyProtection="0">
      <alignment horizontal="left" vertical="top" wrapText="1"/>
    </xf>
    <xf numFmtId="301" fontId="18" fillId="0" borderId="0" applyFill="0" applyBorder="0" applyProtection="0">
      <alignment horizontal="left" vertical="top" wrapText="1"/>
    </xf>
    <xf numFmtId="0" fontId="173" fillId="79" borderId="0" applyNumberFormat="0" applyBorder="0" applyProtection="0">
      <alignment vertical="top" wrapText="1"/>
    </xf>
    <xf numFmtId="0" fontId="21" fillId="4" borderId="0" applyNumberFormat="0" applyBorder="0" applyProtection="0">
      <alignment vertical="top" wrapText="1"/>
    </xf>
    <xf numFmtId="301" fontId="34" fillId="0" borderId="0" applyFill="0" applyBorder="0" applyProtection="0">
      <alignment horizontal="left" wrapText="1"/>
    </xf>
    <xf numFmtId="3" fontId="10" fillId="0" borderId="0" applyFill="0" applyBorder="0" applyProtection="0">
      <alignment horizontal="left" wrapText="1"/>
    </xf>
    <xf numFmtId="0" fontId="233" fillId="0" borderId="25" applyNumberFormat="0" applyFill="0" applyProtection="0">
      <alignment horizontal="left" vertical="top" wrapText="1"/>
    </xf>
    <xf numFmtId="264" fontId="6" fillId="0" borderId="0" applyFill="0" applyBorder="0" applyProtection="0">
      <alignment horizontal="left" wrapText="1"/>
    </xf>
    <xf numFmtId="301" fontId="10" fillId="0" borderId="0" applyFill="0" applyBorder="0" applyProtection="0">
      <alignment horizontal="center" wrapText="1"/>
    </xf>
    <xf numFmtId="301" fontId="34" fillId="0" borderId="0" applyFill="0" applyBorder="0" applyProtection="0">
      <alignment horizontal="center" wrapText="1"/>
    </xf>
    <xf numFmtId="301" fontId="158" fillId="4" borderId="0" applyBorder="0" applyProtection="0">
      <alignment horizontal="left" wrapText="1"/>
    </xf>
    <xf numFmtId="0" fontId="10" fillId="0" borderId="0" applyNumberFormat="0" applyFill="0" applyBorder="0" applyProtection="0">
      <alignment horizontal="center" wrapText="1"/>
    </xf>
    <xf numFmtId="0" fontId="34" fillId="0" borderId="0" applyNumberFormat="0" applyFill="0" applyBorder="0" applyProtection="0">
      <alignment horizontal="left" vertical="top" wrapText="1"/>
    </xf>
    <xf numFmtId="4" fontId="34" fillId="0" borderId="0" applyFill="0" applyBorder="0" applyProtection="0">
      <alignment horizontal="left" vertical="top" wrapText="1"/>
    </xf>
    <xf numFmtId="0" fontId="34" fillId="0" borderId="0" applyNumberFormat="0" applyFill="0" applyBorder="0" applyProtection="0">
      <alignment horizontal="left" wrapText="1"/>
    </xf>
    <xf numFmtId="0" fontId="34" fillId="0" borderId="0" applyNumberFormat="0" applyFill="0" applyBorder="0" applyProtection="0">
      <alignment horizontal="right" vertical="top" wrapText="1"/>
    </xf>
    <xf numFmtId="0" fontId="34" fillId="0" borderId="0" applyNumberFormat="0" applyFill="0" applyBorder="0" applyProtection="0">
      <alignment horizontal="right" wrapText="1"/>
    </xf>
    <xf numFmtId="0" fontId="34" fillId="0" borderId="0" applyNumberFormat="0" applyFill="0" applyBorder="0" applyProtection="0">
      <alignment horizontal="center" vertical="top" wrapText="1"/>
    </xf>
    <xf numFmtId="0" fontId="34" fillId="0" borderId="0" applyNumberFormat="0" applyFill="0" applyBorder="0" applyProtection="0">
      <alignment horizontal="center" wrapText="1"/>
    </xf>
    <xf numFmtId="0" fontId="18" fillId="0" borderId="0" applyNumberFormat="0" applyFill="0" applyBorder="0" applyProtection="0">
      <alignment horizontal="left" vertical="top" wrapText="1"/>
    </xf>
    <xf numFmtId="0" fontId="18" fillId="0" borderId="0" applyNumberFormat="0" applyFill="0" applyBorder="0" applyProtection="0">
      <alignment horizontal="left" wrapText="1"/>
    </xf>
    <xf numFmtId="0" fontId="18" fillId="0" borderId="0" applyNumberFormat="0" applyFill="0" applyBorder="0" applyProtection="0">
      <alignment horizontal="right" vertical="top" wrapText="1"/>
    </xf>
    <xf numFmtId="0" fontId="18" fillId="0" borderId="0" applyNumberFormat="0" applyFill="0" applyBorder="0" applyProtection="0">
      <alignment horizontal="right" wrapText="1"/>
    </xf>
    <xf numFmtId="0" fontId="18" fillId="0" borderId="0" applyNumberFormat="0" applyFill="0" applyBorder="0" applyProtection="0">
      <alignment horizontal="center" vertical="top" wrapText="1"/>
    </xf>
    <xf numFmtId="0" fontId="18" fillId="0" borderId="0" applyNumberFormat="0" applyFill="0" applyBorder="0" applyProtection="0">
      <alignment horizontal="center" wrapText="1"/>
    </xf>
    <xf numFmtId="0" fontId="173" fillId="79" borderId="0" applyNumberFormat="0" applyBorder="0" applyProtection="0">
      <alignment horizontal="left" wrapText="1"/>
    </xf>
    <xf numFmtId="0" fontId="173" fillId="79" borderId="0" applyNumberFormat="0" applyBorder="0" applyProtection="0">
      <alignment horizontal="left"/>
    </xf>
    <xf numFmtId="0" fontId="21" fillId="4" borderId="0" applyNumberFormat="0" applyBorder="0" applyProtection="0">
      <alignment vertical="top" wrapText="1"/>
    </xf>
    <xf numFmtId="4" fontId="6" fillId="0" borderId="0" applyFill="0" applyBorder="0" applyProtection="0">
      <alignment horizontal="right"/>
    </xf>
    <xf numFmtId="301" fontId="6" fillId="0" borderId="0" applyFill="0" applyBorder="0" applyProtection="0">
      <alignment horizontal="right"/>
    </xf>
    <xf numFmtId="4" fontId="10" fillId="0" borderId="0" applyFill="0" applyBorder="0" applyProtection="0">
      <alignment horizontal="right"/>
    </xf>
    <xf numFmtId="4" fontId="18" fillId="0" borderId="0" applyFill="0" applyBorder="0" applyProtection="0">
      <alignment horizontal="right"/>
    </xf>
    <xf numFmtId="14" fontId="6" fillId="0" borderId="0" applyFill="0" applyBorder="0" applyProtection="0">
      <alignment horizontal="right" vertical="top" wrapText="1"/>
    </xf>
    <xf numFmtId="0" fontId="58" fillId="0" borderId="25" applyNumberFormat="0" applyFill="0" applyProtection="0">
      <alignment horizontal="left" vertical="top"/>
    </xf>
    <xf numFmtId="0" fontId="173" fillId="79" borderId="0" applyNumberFormat="0" applyBorder="0" applyProtection="0">
      <alignment horizontal="right"/>
    </xf>
    <xf numFmtId="0" fontId="21" fillId="4" borderId="0" applyNumberFormat="0" applyBorder="0" applyProtection="0">
      <alignment vertical="top" wrapText="1"/>
    </xf>
    <xf numFmtId="302" fontId="21" fillId="4" borderId="0" applyBorder="0" applyProtection="0">
      <alignment vertical="top" wrapText="1"/>
    </xf>
    <xf numFmtId="4" fontId="6" fillId="0" borderId="0" applyFill="0" applyBorder="0" applyProtection="0">
      <alignment horizontal="right"/>
    </xf>
    <xf numFmtId="302" fontId="6" fillId="0" borderId="0" applyFill="0" applyBorder="0" applyProtection="0">
      <alignment horizontal="right"/>
    </xf>
    <xf numFmtId="3" fontId="6" fillId="0" borderId="0" applyFill="0" applyBorder="0" applyProtection="0">
      <alignment horizontal="right"/>
    </xf>
    <xf numFmtId="301" fontId="6" fillId="0" borderId="0" applyFill="0" applyBorder="0" applyProtection="0">
      <alignment horizontal="right"/>
    </xf>
    <xf numFmtId="4" fontId="10" fillId="0" borderId="0" applyFill="0" applyBorder="0" applyProtection="0">
      <alignment horizontal="right"/>
    </xf>
    <xf numFmtId="4" fontId="18" fillId="0" borderId="0" applyFill="0" applyBorder="0" applyProtection="0">
      <alignment horizontal="right"/>
    </xf>
    <xf numFmtId="303" fontId="6" fillId="0" borderId="0" applyFill="0" applyBorder="0" applyProtection="0">
      <alignment horizontal="right" vertical="top" wrapText="1"/>
    </xf>
    <xf numFmtId="0" fontId="58" fillId="0" borderId="25" applyNumberFormat="0" applyFill="0" applyProtection="0">
      <alignment horizontal="left" vertical="top"/>
    </xf>
    <xf numFmtId="4" fontId="6" fillId="0" borderId="0" applyFill="0" applyBorder="0" applyProtection="0">
      <alignment horizontal="left"/>
    </xf>
    <xf numFmtId="4" fontId="6" fillId="0" borderId="0" applyFill="0" applyBorder="0" applyProtection="0">
      <alignment horizontal="center"/>
    </xf>
    <xf numFmtId="304" fontId="6" fillId="0" borderId="0" applyFill="0" applyBorder="0" applyProtection="0">
      <alignment horizontal="right"/>
    </xf>
    <xf numFmtId="305" fontId="6" fillId="0" borderId="0" applyFill="0" applyBorder="0" applyProtection="0">
      <alignment horizontal="right"/>
    </xf>
    <xf numFmtId="306" fontId="6" fillId="0" borderId="0" applyFill="0" applyBorder="0" applyProtection="0">
      <alignment horizontal="right"/>
    </xf>
    <xf numFmtId="264" fontId="6" fillId="0" borderId="0" applyFill="0" applyBorder="0" applyProtection="0">
      <alignment horizontal="right"/>
    </xf>
    <xf numFmtId="190" fontId="6" fillId="0" borderId="0" applyFill="0" applyBorder="0" applyProtection="0">
      <alignment horizontal="right"/>
    </xf>
    <xf numFmtId="4" fontId="6" fillId="0" borderId="0" applyFill="0" applyBorder="0" applyProtection="0">
      <alignment horizontal="center"/>
    </xf>
    <xf numFmtId="301" fontId="6" fillId="0" borderId="0" applyFill="0" applyBorder="0" applyProtection="0">
      <alignment horizontal="center"/>
    </xf>
    <xf numFmtId="0" fontId="6" fillId="0" borderId="0" applyNumberFormat="0" applyFill="0" applyBorder="0" applyProtection="0">
      <alignment horizontal="left" vertical="top" wrapText="1"/>
    </xf>
    <xf numFmtId="305" fontId="37" fillId="0" borderId="0" applyFill="0" applyBorder="0" applyProtection="0">
      <alignment horizontal="right"/>
    </xf>
    <xf numFmtId="304" fontId="37" fillId="0" borderId="0" applyFill="0" applyBorder="0" applyProtection="0">
      <alignment horizontal="right"/>
    </xf>
    <xf numFmtId="306" fontId="37" fillId="0" borderId="0" applyFill="0" applyBorder="0" applyProtection="0">
      <alignment horizontal="right"/>
    </xf>
    <xf numFmtId="14" fontId="37" fillId="0" borderId="0" applyFill="0" applyBorder="0" applyProtection="0">
      <alignment horizontal="right"/>
    </xf>
    <xf numFmtId="0" fontId="234" fillId="0" borderId="0" applyNumberFormat="0" applyFill="0" applyBorder="0" applyProtection="0">
      <alignment horizontal="left"/>
    </xf>
    <xf numFmtId="307" fontId="6" fillId="0" borderId="0" applyFill="0" applyBorder="0" applyProtection="0">
      <alignment horizontal="right"/>
    </xf>
    <xf numFmtId="308" fontId="6" fillId="0" borderId="0" applyFill="0" applyBorder="0" applyProtection="0">
      <alignment horizontal="right"/>
    </xf>
    <xf numFmtId="306" fontId="6" fillId="0" borderId="0" applyFill="0" applyBorder="0" applyProtection="0">
      <alignment horizontal="right"/>
    </xf>
    <xf numFmtId="0" fontId="10" fillId="0" borderId="0" applyNumberFormat="0" applyFill="0" applyBorder="0" applyProtection="0">
      <alignment horizontal="center"/>
    </xf>
    <xf numFmtId="190" fontId="6" fillId="0" borderId="0" applyFill="0" applyBorder="0" applyProtection="0">
      <alignment horizontal="right"/>
    </xf>
    <xf numFmtId="14" fontId="37" fillId="0" borderId="0" applyFill="0" applyBorder="0" applyProtection="0">
      <alignment horizontal="right"/>
    </xf>
    <xf numFmtId="0" fontId="234" fillId="0" borderId="0" applyNumberFormat="0" applyFill="0" applyBorder="0" applyProtection="0">
      <alignment horizontal="left"/>
    </xf>
    <xf numFmtId="0" fontId="6" fillId="0" borderId="0" applyNumberFormat="0" applyFill="0" applyBorder="0" applyProtection="0">
      <alignment horizontal="left" vertical="top" wrapText="1"/>
    </xf>
    <xf numFmtId="0" fontId="81" fillId="0" borderId="0" applyNumberFormat="0" applyFill="0" applyBorder="0" applyProtection="0"/>
    <xf numFmtId="0" fontId="10" fillId="0" borderId="25" applyNumberFormat="0" applyFill="0" applyProtection="0">
      <alignment horizontal="center" wrapText="1"/>
    </xf>
    <xf numFmtId="0" fontId="10" fillId="0" borderId="0" applyNumberFormat="0" applyFill="0" applyBorder="0" applyProtection="0">
      <alignment horizontal="center"/>
    </xf>
    <xf numFmtId="0" fontId="10" fillId="0" borderId="0" applyNumberFormat="0" applyFill="0" applyBorder="0" applyProtection="0"/>
    <xf numFmtId="14" fontId="37" fillId="0" borderId="0" applyFill="0" applyBorder="0" applyProtection="0">
      <alignment horizontal="right"/>
    </xf>
    <xf numFmtId="0" fontId="10" fillId="0" borderId="0" applyNumberFormat="0" applyFill="0" applyBorder="0" applyProtection="0">
      <alignment horizontal="left"/>
    </xf>
    <xf numFmtId="0" fontId="103" fillId="0" borderId="0" applyNumberFormat="0" applyBorder="0" applyAlignment="0"/>
    <xf numFmtId="0" fontId="235" fillId="0" borderId="0" applyNumberFormat="0" applyBorder="0" applyAlignment="0"/>
    <xf numFmtId="0" fontId="236" fillId="0" borderId="0" applyNumberFormat="0" applyBorder="0" applyAlignment="0"/>
    <xf numFmtId="0" fontId="104" fillId="0" borderId="0" applyNumberFormat="0" applyBorder="0" applyAlignment="0"/>
    <xf numFmtId="0" fontId="189" fillId="0" borderId="0" applyNumberFormat="0" applyBorder="0" applyAlignment="0"/>
    <xf numFmtId="0" fontId="237" fillId="0" borderId="0" applyNumberFormat="0" applyBorder="0" applyAlignment="0"/>
    <xf numFmtId="0" fontId="113" fillId="0" borderId="0" applyNumberFormat="0" applyBorder="0" applyAlignment="0"/>
    <xf numFmtId="0" fontId="64" fillId="0" borderId="0" applyNumberFormat="0" applyBorder="0" applyAlignment="0"/>
    <xf numFmtId="0" fontId="103" fillId="0" borderId="0" applyNumberFormat="0" applyBorder="0" applyAlignment="0"/>
    <xf numFmtId="0" fontId="238" fillId="0" borderId="0" applyNumberFormat="0" applyBorder="0" applyAlignment="0"/>
    <xf numFmtId="0" fontId="104" fillId="0" borderId="0" applyNumberFormat="0" applyBorder="0" applyAlignment="0"/>
    <xf numFmtId="0" fontId="239" fillId="85" borderId="0"/>
    <xf numFmtId="0" fontId="239" fillId="85" borderId="0"/>
    <xf numFmtId="0" fontId="239" fillId="85" borderId="0"/>
    <xf numFmtId="0" fontId="239" fillId="85" borderId="0"/>
    <xf numFmtId="0" fontId="239" fillId="85" borderId="0"/>
    <xf numFmtId="0" fontId="239" fillId="85" borderId="0"/>
    <xf numFmtId="0" fontId="239" fillId="85" borderId="0"/>
    <xf numFmtId="0" fontId="239" fillId="85" borderId="0"/>
    <xf numFmtId="0" fontId="5" fillId="0" borderId="0">
      <alignment horizontal="left"/>
    </xf>
    <xf numFmtId="40" fontId="240" fillId="0" borderId="0" applyBorder="0">
      <alignment horizontal="right"/>
    </xf>
    <xf numFmtId="38" fontId="241" fillId="0" borderId="0"/>
    <xf numFmtId="248" fontId="241" fillId="0" borderId="0" applyFill="0" applyBorder="0" applyProtection="0"/>
    <xf numFmtId="297" fontId="241" fillId="0" borderId="0" applyFill="0" applyBorder="0" applyProtection="0"/>
    <xf numFmtId="297" fontId="196" fillId="0" borderId="0" applyFill="0" applyBorder="0" applyProtection="0"/>
    <xf numFmtId="197" fontId="241" fillId="0" borderId="0" applyFill="0" applyBorder="0" applyProtection="0"/>
    <xf numFmtId="38" fontId="242" fillId="0" borderId="0" applyNumberFormat="0" applyFill="0" applyBorder="0" applyProtection="0">
      <alignment horizontal="center"/>
    </xf>
    <xf numFmtId="38" fontId="243" fillId="0" borderId="0" applyNumberFormat="0" applyFill="0" applyBorder="0" applyProtection="0">
      <alignment horizontal="center"/>
    </xf>
    <xf numFmtId="38" fontId="196" fillId="0" borderId="0" applyNumberFormat="0" applyFill="0" applyBorder="0" applyProtection="0">
      <alignment horizontal="center"/>
    </xf>
    <xf numFmtId="309" fontId="241" fillId="0" borderId="50" applyNumberFormat="0" applyBorder="0">
      <alignment horizontal="center"/>
    </xf>
    <xf numFmtId="0" fontId="10" fillId="34" borderId="0" applyNumberFormat="0" applyFont="0" applyBorder="0" applyAlignment="0" applyProtection="0"/>
    <xf numFmtId="208" fontId="103" fillId="42" borderId="0" applyNumberFormat="0" applyFont="0" applyBorder="0" applyAlignment="0"/>
    <xf numFmtId="0" fontId="244" fillId="0" borderId="62" applyNumberFormat="0" applyFont="0"/>
    <xf numFmtId="0" fontId="245" fillId="0" borderId="0" applyFill="0" applyBorder="0" applyProtection="0">
      <alignment horizontal="center" vertical="center"/>
    </xf>
    <xf numFmtId="0" fontId="245" fillId="0" borderId="0" applyFill="0" applyBorder="0" applyProtection="0"/>
    <xf numFmtId="0" fontId="22" fillId="3" borderId="40" applyNumberFormat="0" applyFont="0" applyFill="0" applyAlignment="0" applyProtection="0">
      <protection locked="0"/>
    </xf>
    <xf numFmtId="310" fontId="246" fillId="0" borderId="25" applyNumberFormat="0" applyFill="0" applyBorder="0">
      <alignment horizontal="left"/>
    </xf>
    <xf numFmtId="310" fontId="246" fillId="0" borderId="25" applyNumberFormat="0" applyFill="0" applyBorder="0">
      <alignment horizontal="right"/>
    </xf>
    <xf numFmtId="310" fontId="247" fillId="0" borderId="25" applyNumberFormat="0" applyFill="0" applyBorder="0">
      <alignment horizontal="right"/>
    </xf>
    <xf numFmtId="0" fontId="22" fillId="3" borderId="63" applyNumberFormat="0" applyFont="0" applyFill="0" applyAlignment="0" applyProtection="0">
      <protection locked="0"/>
    </xf>
    <xf numFmtId="0" fontId="5" fillId="86" borderId="0" applyNumberFormat="0" applyFont="0" applyBorder="0" applyAlignment="0" applyProtection="0"/>
    <xf numFmtId="0" fontId="10" fillId="0" borderId="0" applyNumberFormat="0" applyFill="0" applyBorder="0" applyAlignment="0" applyProtection="0"/>
    <xf numFmtId="212" fontId="77" fillId="0" borderId="0">
      <alignment horizontal="left"/>
      <protection locked="0"/>
    </xf>
    <xf numFmtId="49" fontId="103" fillId="0" borderId="0" applyFill="0" applyBorder="0" applyAlignment="0"/>
    <xf numFmtId="0" fontId="103" fillId="0" borderId="0" applyFill="0" applyBorder="0" applyAlignment="0"/>
    <xf numFmtId="311" fontId="5" fillId="0" borderId="0" applyFill="0" applyBorder="0" applyAlignment="0"/>
    <xf numFmtId="49" fontId="5" fillId="0" borderId="0" applyFont="0" applyFill="0" applyBorder="0" applyAlignment="0" applyProtection="0"/>
    <xf numFmtId="0" fontId="234" fillId="0" borderId="0" applyFill="0" applyBorder="0" applyAlignment="0" applyProtection="0">
      <alignment horizontal="right"/>
    </xf>
    <xf numFmtId="0" fontId="5" fillId="0" borderId="0"/>
    <xf numFmtId="312" fontId="62" fillId="0" borderId="0" applyBorder="0" applyProtection="0">
      <alignment horizontal="right"/>
    </xf>
    <xf numFmtId="0" fontId="248" fillId="0" borderId="0" applyFill="0" applyBorder="0" applyProtection="0">
      <alignment horizontal="left" vertical="top"/>
    </xf>
    <xf numFmtId="18" fontId="22" fillId="3" borderId="0" applyFont="0" applyFill="0" applyBorder="0" applyAlignment="0" applyProtection="0">
      <protection locked="0"/>
    </xf>
    <xf numFmtId="0" fontId="249" fillId="0" borderId="0" applyNumberFormat="0" applyBorder="0" applyAlignment="0"/>
    <xf numFmtId="273" fontId="134" fillId="0" borderId="0">
      <alignment horizontal="centerContinuous"/>
    </xf>
    <xf numFmtId="273" fontId="250" fillId="0" borderId="61">
      <alignment horizontal="centerContinuous"/>
    </xf>
    <xf numFmtId="273" fontId="194" fillId="0" borderId="0">
      <alignment horizontal="centerContinuous"/>
      <protection locked="0"/>
    </xf>
    <xf numFmtId="273" fontId="194" fillId="0" borderId="0">
      <alignment horizontal="left"/>
    </xf>
    <xf numFmtId="212" fontId="251" fillId="0" borderId="0">
      <alignment horizontal="center"/>
    </xf>
    <xf numFmtId="212" fontId="251" fillId="0" borderId="0">
      <alignment horizontal="left"/>
    </xf>
    <xf numFmtId="0" fontId="252" fillId="0" borderId="0"/>
    <xf numFmtId="313" fontId="192" fillId="0" borderId="0">
      <alignment horizontal="right"/>
    </xf>
    <xf numFmtId="314" fontId="62" fillId="0" borderId="0" applyBorder="0" applyProtection="0">
      <alignment horizontal="right"/>
    </xf>
    <xf numFmtId="10" fontId="200" fillId="0" borderId="54" applyNumberFormat="0" applyFont="0" applyFill="0" applyAlignment="0" applyProtection="0"/>
    <xf numFmtId="38" fontId="207" fillId="0" borderId="0" applyNumberFormat="0" applyBorder="0" applyAlignment="0">
      <protection locked="0"/>
    </xf>
    <xf numFmtId="208" fontId="103" fillId="36" borderId="0" applyNumberFormat="0" applyFont="0" applyBorder="0" applyAlignment="0">
      <protection locked="0"/>
    </xf>
    <xf numFmtId="0" fontId="174" fillId="0" borderId="0" applyNumberFormat="0" applyFill="0" applyBorder="0" applyAlignment="0" applyProtection="0"/>
    <xf numFmtId="0" fontId="10" fillId="3" borderId="0" applyNumberFormat="0" applyFont="0" applyAlignment="0" applyProtection="0"/>
    <xf numFmtId="0" fontId="10" fillId="3" borderId="40" applyNumberFormat="0" applyFont="0" applyAlignment="0" applyProtection="0">
      <protection locked="0"/>
    </xf>
    <xf numFmtId="0" fontId="174" fillId="0" borderId="0" applyNumberFormat="0" applyFill="0" applyBorder="0" applyAlignment="0" applyProtection="0"/>
    <xf numFmtId="315" fontId="8" fillId="0" borderId="0" applyFont="0" applyFill="0" applyBorder="0" applyAlignment="0" applyProtection="0"/>
    <xf numFmtId="316" fontId="8" fillId="0" borderId="0" applyFont="0" applyFill="0" applyBorder="0" applyAlignment="0" applyProtection="0"/>
    <xf numFmtId="317" fontId="8" fillId="0" borderId="0" applyFont="0" applyFill="0" applyBorder="0" applyAlignment="0" applyProtection="0"/>
    <xf numFmtId="318" fontId="8" fillId="0" borderId="0" applyFont="0" applyFill="0" applyBorder="0" applyAlignment="0" applyProtection="0"/>
    <xf numFmtId="319" fontId="8" fillId="0" borderId="0" applyFont="0" applyFill="0" applyBorder="0" applyAlignment="0" applyProtection="0"/>
    <xf numFmtId="320" fontId="8" fillId="0" borderId="0" applyFont="0" applyFill="0" applyBorder="0" applyAlignment="0" applyProtection="0"/>
    <xf numFmtId="321" fontId="8" fillId="0" borderId="0" applyFont="0" applyFill="0" applyBorder="0" applyAlignment="0" applyProtection="0"/>
    <xf numFmtId="322" fontId="8" fillId="0" borderId="0" applyFont="0" applyFill="0" applyBorder="0" applyAlignment="0" applyProtection="0"/>
    <xf numFmtId="323" fontId="192" fillId="0" borderId="0" applyFont="0" applyFill="0" applyBorder="0" applyProtection="0">
      <alignment horizontal="right"/>
    </xf>
    <xf numFmtId="0" fontId="253" fillId="0" borderId="0">
      <alignment horizontal="right"/>
      <protection locked="0"/>
    </xf>
    <xf numFmtId="324" fontId="254" fillId="0" borderId="57" applyFont="0" applyBorder="0">
      <alignment vertical="center"/>
    </xf>
    <xf numFmtId="325" fontId="255" fillId="0" borderId="0"/>
    <xf numFmtId="171" fontId="256" fillId="0" borderId="0" applyFont="0" applyFill="0" applyBorder="0" applyAlignment="0" applyProtection="0"/>
    <xf numFmtId="220" fontId="256" fillId="0" borderId="0" applyFont="0" applyFill="0" applyBorder="0" applyAlignment="0" applyProtection="0"/>
    <xf numFmtId="326" fontId="256" fillId="0" borderId="0" applyFont="0" applyFill="0" applyBorder="0" applyAlignment="0" applyProtection="0"/>
    <xf numFmtId="327" fontId="256" fillId="0" borderId="0" applyFont="0" applyFill="0" applyBorder="0" applyAlignment="0" applyProtection="0"/>
    <xf numFmtId="0" fontId="225" fillId="0" borderId="0"/>
    <xf numFmtId="43" fontId="5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0" fontId="5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0" fillId="0" borderId="0">
      <alignment horizontal="right"/>
    </xf>
    <xf numFmtId="0" fontId="5" fillId="0" borderId="0"/>
    <xf numFmtId="37" fontId="6" fillId="0" borderId="0">
      <alignment horizontal="right" vertical="top" wrapText="1"/>
    </xf>
    <xf numFmtId="313" fontId="259" fillId="0" borderId="0">
      <alignment horizontal="right"/>
    </xf>
    <xf numFmtId="332" fontId="5" fillId="0" borderId="0" applyFont="0" applyFill="0" applyBorder="0" applyAlignment="0" applyProtection="0"/>
    <xf numFmtId="333" fontId="5" fillId="0" borderId="0" applyFont="0" applyFill="0" applyBorder="0" applyAlignment="0" applyProtection="0"/>
    <xf numFmtId="232" fontId="5" fillId="0" borderId="0" applyFont="0" applyFill="0" applyBorder="0" applyAlignment="0" applyProtection="0"/>
    <xf numFmtId="232" fontId="5" fillId="0" borderId="0" applyFont="0" applyFill="0" applyBorder="0" applyAlignment="0" applyProtection="0"/>
    <xf numFmtId="232" fontId="260" fillId="0" borderId="0" applyFont="0" applyFill="0" applyBorder="0" applyAlignment="0" applyProtection="0"/>
    <xf numFmtId="232" fontId="260" fillId="0" borderId="0" applyFont="0" applyFill="0" applyBorder="0" applyAlignment="0" applyProtection="0"/>
    <xf numFmtId="232" fontId="260" fillId="0" borderId="0" applyFont="0" applyFill="0" applyBorder="0" applyAlignment="0" applyProtection="0"/>
    <xf numFmtId="232" fontId="261" fillId="0" borderId="0" applyFont="0" applyFill="0" applyBorder="0" applyAlignment="0" applyProtection="0"/>
    <xf numFmtId="232" fontId="5" fillId="0" borderId="0" applyFont="0" applyFill="0" applyBorder="0" applyAlignment="0" applyProtection="0"/>
    <xf numFmtId="232" fontId="5" fillId="0" borderId="0" applyFont="0" applyFill="0" applyBorder="0" applyAlignment="0" applyProtection="0"/>
    <xf numFmtId="269" fontId="5" fillId="0" borderId="0" applyFont="0" applyFill="0" applyBorder="0" applyAlignment="0" applyProtection="0"/>
    <xf numFmtId="269" fontId="5" fillId="0" borderId="0" applyFont="0" applyFill="0" applyBorder="0" applyAlignment="0" applyProtection="0"/>
    <xf numFmtId="232" fontId="5" fillId="0" borderId="0" applyFont="0" applyFill="0" applyBorder="0" applyAlignment="0" applyProtection="0"/>
    <xf numFmtId="232" fontId="229" fillId="0" borderId="0" applyFont="0" applyFill="0" applyBorder="0" applyAlignment="0" applyProtection="0"/>
    <xf numFmtId="232" fontId="5" fillId="0" borderId="0" applyFont="0" applyFill="0" applyBorder="0" applyAlignment="0" applyProtection="0"/>
    <xf numFmtId="232" fontId="5" fillId="0" borderId="0" applyFont="0" applyFill="0" applyBorder="0" applyAlignment="0" applyProtection="0"/>
    <xf numFmtId="232" fontId="5" fillId="0" borderId="0" applyFont="0" applyFill="0" applyBorder="0" applyAlignment="0" applyProtection="0"/>
    <xf numFmtId="232" fontId="260" fillId="0" borderId="0" applyFont="0" applyFill="0" applyBorder="0" applyAlignment="0" applyProtection="0"/>
    <xf numFmtId="269" fontId="5" fillId="0" borderId="0" applyFont="0" applyFill="0" applyBorder="0" applyAlignment="0" applyProtection="0"/>
    <xf numFmtId="269" fontId="5" fillId="0" borderId="0" applyFont="0" applyFill="0" applyBorder="0" applyAlignment="0" applyProtection="0"/>
    <xf numFmtId="269" fontId="5" fillId="0" borderId="0" applyFont="0" applyFill="0" applyBorder="0" applyAlignment="0" applyProtection="0"/>
    <xf numFmtId="232" fontId="260" fillId="0" borderId="0" applyFont="0" applyFill="0" applyBorder="0" applyAlignment="0" applyProtection="0"/>
    <xf numFmtId="232" fontId="5" fillId="0" borderId="0" applyFont="0" applyFill="0" applyBorder="0" applyAlignment="0" applyProtection="0"/>
    <xf numFmtId="232" fontId="5" fillId="0" borderId="0" applyFont="0" applyFill="0" applyBorder="0" applyAlignment="0" applyProtection="0"/>
    <xf numFmtId="232" fontId="260" fillId="0" borderId="0" applyFont="0" applyFill="0" applyBorder="0" applyAlignment="0" applyProtection="0"/>
    <xf numFmtId="269" fontId="5" fillId="0" borderId="0" applyFont="0" applyFill="0" applyBorder="0" applyAlignment="0" applyProtection="0"/>
    <xf numFmtId="269" fontId="5" fillId="0" borderId="0" applyFont="0" applyFill="0" applyBorder="0" applyAlignment="0" applyProtection="0"/>
    <xf numFmtId="269" fontId="5" fillId="0" borderId="0" applyFont="0" applyFill="0" applyBorder="0" applyAlignment="0" applyProtection="0"/>
    <xf numFmtId="232" fontId="260" fillId="0" borderId="0" applyFont="0" applyFill="0" applyBorder="0" applyAlignment="0" applyProtection="0"/>
    <xf numFmtId="232" fontId="5" fillId="0" borderId="0" applyFont="0" applyFill="0" applyBorder="0" applyAlignment="0" applyProtection="0"/>
    <xf numFmtId="232" fontId="5" fillId="0" borderId="0" applyFont="0" applyFill="0" applyBorder="0" applyAlignment="0" applyProtection="0"/>
    <xf numFmtId="232" fontId="5" fillId="0" borderId="0" applyFont="0" applyFill="0" applyBorder="0" applyAlignment="0" applyProtection="0"/>
    <xf numFmtId="233" fontId="5" fillId="0" borderId="0" applyFont="0" applyFill="0" applyBorder="0" applyAlignment="0" applyProtection="0"/>
    <xf numFmtId="233" fontId="5" fillId="0" borderId="0" applyFont="0" applyFill="0" applyBorder="0" applyAlignment="0" applyProtection="0"/>
    <xf numFmtId="334" fontId="5" fillId="0" borderId="0" applyFont="0" applyFill="0" applyBorder="0" applyAlignment="0" applyProtection="0"/>
    <xf numFmtId="334" fontId="5" fillId="0" borderId="0" applyFont="0" applyFill="0" applyBorder="0" applyAlignment="0" applyProtection="0"/>
    <xf numFmtId="233" fontId="261" fillId="0" borderId="0" applyFont="0" applyFill="0" applyBorder="0" applyAlignment="0" applyProtection="0"/>
    <xf numFmtId="334" fontId="5" fillId="0" borderId="0" applyFont="0" applyFill="0" applyBorder="0" applyAlignment="0" applyProtection="0"/>
    <xf numFmtId="233" fontId="5" fillId="0" borderId="0" applyFont="0" applyFill="0" applyBorder="0" applyAlignment="0" applyProtection="0"/>
    <xf numFmtId="334" fontId="5" fillId="0" borderId="0" applyFont="0" applyFill="0" applyBorder="0" applyAlignment="0" applyProtection="0"/>
    <xf numFmtId="233" fontId="5" fillId="0" borderId="0" applyFont="0" applyFill="0" applyBorder="0" applyAlignment="0" applyProtection="0"/>
    <xf numFmtId="334" fontId="5" fillId="0" borderId="0" applyFont="0" applyFill="0" applyBorder="0" applyAlignment="0" applyProtection="0"/>
    <xf numFmtId="334" fontId="5" fillId="0" borderId="0" applyFont="0" applyFill="0" applyBorder="0" applyAlignment="0" applyProtection="0"/>
    <xf numFmtId="233" fontId="5" fillId="0" borderId="0" applyFont="0" applyFill="0" applyBorder="0" applyAlignment="0" applyProtection="0"/>
    <xf numFmtId="233" fontId="229" fillId="0" borderId="0" applyFont="0" applyFill="0" applyBorder="0" applyAlignment="0" applyProtection="0"/>
    <xf numFmtId="233" fontId="5" fillId="0" borderId="0" applyFont="0" applyFill="0" applyBorder="0" applyAlignment="0" applyProtection="0"/>
    <xf numFmtId="233" fontId="5" fillId="0" borderId="0" applyFont="0" applyFill="0" applyBorder="0" applyAlignment="0" applyProtection="0"/>
    <xf numFmtId="233" fontId="5" fillId="0" borderId="0" applyFont="0" applyFill="0" applyBorder="0" applyAlignment="0" applyProtection="0"/>
    <xf numFmtId="334" fontId="5" fillId="0" borderId="0" applyFont="0" applyFill="0" applyBorder="0" applyAlignment="0" applyProtection="0"/>
    <xf numFmtId="334" fontId="5" fillId="0" borderId="0" applyFont="0" applyFill="0" applyBorder="0" applyAlignment="0" applyProtection="0"/>
    <xf numFmtId="334" fontId="5" fillId="0" borderId="0" applyFont="0" applyFill="0" applyBorder="0" applyAlignment="0" applyProtection="0"/>
    <xf numFmtId="334" fontId="5" fillId="0" borderId="0" applyFont="0" applyFill="0" applyBorder="0" applyAlignment="0" applyProtection="0"/>
    <xf numFmtId="334" fontId="5" fillId="0" borderId="0" applyFont="0" applyFill="0" applyBorder="0" applyAlignment="0" applyProtection="0"/>
    <xf numFmtId="233" fontId="260" fillId="0" borderId="0" applyFont="0" applyFill="0" applyBorder="0" applyAlignment="0" applyProtection="0"/>
    <xf numFmtId="334" fontId="5" fillId="0" borderId="0" applyFont="0" applyFill="0" applyBorder="0" applyAlignment="0" applyProtection="0"/>
    <xf numFmtId="233" fontId="5" fillId="0" borderId="0" applyFont="0" applyFill="0" applyBorder="0" applyAlignment="0" applyProtection="0"/>
    <xf numFmtId="233" fontId="5" fillId="0" borderId="0" applyFont="0" applyFill="0" applyBorder="0" applyAlignment="0" applyProtection="0"/>
    <xf numFmtId="233" fontId="260" fillId="0" borderId="0" applyFont="0" applyFill="0" applyBorder="0" applyAlignment="0" applyProtection="0"/>
    <xf numFmtId="233" fontId="260" fillId="0" borderId="0" applyFont="0" applyFill="0" applyBorder="0" applyAlignment="0" applyProtection="0"/>
    <xf numFmtId="233" fontId="260" fillId="0" borderId="0" applyFont="0" applyFill="0" applyBorder="0" applyAlignment="0" applyProtection="0"/>
    <xf numFmtId="334" fontId="5" fillId="0" borderId="0" applyFont="0" applyFill="0" applyBorder="0" applyAlignment="0" applyProtection="0"/>
    <xf numFmtId="233" fontId="260" fillId="0" borderId="0" applyFont="0" applyFill="0" applyBorder="0" applyAlignment="0" applyProtection="0"/>
    <xf numFmtId="334" fontId="5" fillId="0" borderId="0" applyFont="0" applyFill="0" applyBorder="0" applyAlignment="0" applyProtection="0"/>
    <xf numFmtId="233" fontId="260" fillId="0" borderId="0" applyFont="0" applyFill="0" applyBorder="0" applyAlignment="0" applyProtection="0"/>
    <xf numFmtId="334" fontId="5" fillId="0" borderId="0" applyFont="0" applyFill="0" applyBorder="0" applyAlignment="0" applyProtection="0"/>
    <xf numFmtId="233" fontId="5" fillId="0" borderId="0" applyFont="0" applyFill="0" applyBorder="0" applyAlignment="0" applyProtection="0"/>
    <xf numFmtId="233" fontId="5" fillId="0" borderId="0" applyFont="0" applyFill="0" applyBorder="0" applyAlignment="0" applyProtection="0"/>
    <xf numFmtId="233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39" fontId="5" fillId="0" borderId="0" applyFont="0" applyFill="0" applyBorder="0" applyAlignment="0" applyProtection="0"/>
    <xf numFmtId="39" fontId="5" fillId="0" borderId="0" applyFont="0" applyFill="0" applyBorder="0" applyAlignment="0" applyProtection="0"/>
    <xf numFmtId="234" fontId="261" fillId="0" borderId="0" applyFont="0" applyFill="0" applyBorder="0" applyAlignment="0" applyProtection="0"/>
    <xf numFmtId="39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39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39" fontId="5" fillId="0" borderId="0" applyFont="0" applyFill="0" applyBorder="0" applyAlignment="0" applyProtection="0"/>
    <xf numFmtId="39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234" fontId="229" fillId="0" borderId="0" applyFont="0" applyFill="0" applyBorder="0" applyAlignment="0" applyProtection="0"/>
    <xf numFmtId="234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39" fontId="5" fillId="0" borderId="0" applyFont="0" applyFill="0" applyBorder="0" applyAlignment="0" applyProtection="0"/>
    <xf numFmtId="39" fontId="5" fillId="0" borderId="0" applyFont="0" applyFill="0" applyBorder="0" applyAlignment="0" applyProtection="0"/>
    <xf numFmtId="39" fontId="5" fillId="0" borderId="0" applyFont="0" applyFill="0" applyBorder="0" applyAlignment="0" applyProtection="0"/>
    <xf numFmtId="39" fontId="5" fillId="0" borderId="0" applyFont="0" applyFill="0" applyBorder="0" applyAlignment="0" applyProtection="0"/>
    <xf numFmtId="39" fontId="5" fillId="0" borderId="0" applyFont="0" applyFill="0" applyBorder="0" applyAlignment="0" applyProtection="0"/>
    <xf numFmtId="234" fontId="260" fillId="0" borderId="0" applyFont="0" applyFill="0" applyBorder="0" applyAlignment="0" applyProtection="0"/>
    <xf numFmtId="39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234" fontId="260" fillId="0" borderId="0" applyFont="0" applyFill="0" applyBorder="0" applyAlignment="0" applyProtection="0"/>
    <xf numFmtId="234" fontId="260" fillId="0" borderId="0" applyFont="0" applyFill="0" applyBorder="0" applyAlignment="0" applyProtection="0"/>
    <xf numFmtId="234" fontId="260" fillId="0" borderId="0" applyFont="0" applyFill="0" applyBorder="0" applyAlignment="0" applyProtection="0"/>
    <xf numFmtId="39" fontId="5" fillId="0" borderId="0" applyFont="0" applyFill="0" applyBorder="0" applyAlignment="0" applyProtection="0"/>
    <xf numFmtId="234" fontId="260" fillId="0" borderId="0" applyFont="0" applyFill="0" applyBorder="0" applyAlignment="0" applyProtection="0"/>
    <xf numFmtId="39" fontId="5" fillId="0" borderId="0" applyFont="0" applyFill="0" applyBorder="0" applyAlignment="0" applyProtection="0"/>
    <xf numFmtId="234" fontId="260" fillId="0" borderId="0" applyFont="0" applyFill="0" applyBorder="0" applyAlignment="0" applyProtection="0"/>
    <xf numFmtId="39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334" fontId="5" fillId="0" borderId="0" applyFont="0" applyFill="0" applyBorder="0" applyAlignment="0" applyProtection="0"/>
    <xf numFmtId="0" fontId="187" fillId="0" borderId="0" applyNumberFormat="0" applyFill="0" applyBorder="0" applyAlignment="0" applyProtection="0"/>
    <xf numFmtId="236" fontId="5" fillId="0" borderId="0" applyFont="0" applyFill="0" applyBorder="0" applyAlignment="0" applyProtection="0"/>
    <xf numFmtId="236" fontId="5" fillId="0" borderId="0" applyFont="0" applyFill="0" applyBorder="0" applyAlignment="0" applyProtection="0"/>
    <xf numFmtId="335" fontId="5" fillId="0" borderId="0" applyFont="0" applyFill="0" applyBorder="0" applyAlignment="0" applyProtection="0"/>
    <xf numFmtId="335" fontId="5" fillId="0" borderId="0" applyFont="0" applyFill="0" applyBorder="0" applyAlignment="0" applyProtection="0"/>
    <xf numFmtId="236" fontId="261" fillId="0" borderId="0" applyFont="0" applyFill="0" applyBorder="0" applyAlignment="0" applyProtection="0"/>
    <xf numFmtId="335" fontId="5" fillId="0" borderId="0" applyFont="0" applyFill="0" applyBorder="0" applyAlignment="0" applyProtection="0"/>
    <xf numFmtId="236" fontId="5" fillId="0" borderId="0" applyFont="0" applyFill="0" applyBorder="0" applyAlignment="0" applyProtection="0"/>
    <xf numFmtId="335" fontId="5" fillId="0" borderId="0" applyFont="0" applyFill="0" applyBorder="0" applyAlignment="0" applyProtection="0"/>
    <xf numFmtId="236" fontId="5" fillId="0" borderId="0" applyFont="0" applyFill="0" applyBorder="0" applyAlignment="0" applyProtection="0"/>
    <xf numFmtId="335" fontId="5" fillId="0" borderId="0" applyFont="0" applyFill="0" applyBorder="0" applyAlignment="0" applyProtection="0"/>
    <xf numFmtId="335" fontId="5" fillId="0" borderId="0" applyFont="0" applyFill="0" applyBorder="0" applyAlignment="0" applyProtection="0"/>
    <xf numFmtId="236" fontId="5" fillId="0" borderId="0" applyFont="0" applyFill="0" applyBorder="0" applyAlignment="0" applyProtection="0"/>
    <xf numFmtId="236" fontId="229" fillId="0" borderId="0" applyFont="0" applyFill="0" applyBorder="0" applyAlignment="0" applyProtection="0"/>
    <xf numFmtId="336" fontId="5" fillId="0" borderId="0" applyFont="0" applyFill="0" applyBorder="0" applyAlignment="0" applyProtection="0"/>
    <xf numFmtId="336" fontId="5" fillId="0" borderId="0" applyFont="0" applyFill="0" applyBorder="0" applyAlignment="0" applyProtection="0"/>
    <xf numFmtId="336" fontId="5" fillId="0" borderId="0" applyFont="0" applyFill="0" applyBorder="0" applyAlignment="0" applyProtection="0"/>
    <xf numFmtId="335" fontId="5" fillId="0" borderId="0" applyFont="0" applyFill="0" applyBorder="0" applyAlignment="0" applyProtection="0"/>
    <xf numFmtId="335" fontId="5" fillId="0" borderId="0" applyFont="0" applyFill="0" applyBorder="0" applyAlignment="0" applyProtection="0"/>
    <xf numFmtId="335" fontId="5" fillId="0" borderId="0" applyFont="0" applyFill="0" applyBorder="0" applyAlignment="0" applyProtection="0"/>
    <xf numFmtId="335" fontId="5" fillId="0" borderId="0" applyFont="0" applyFill="0" applyBorder="0" applyAlignment="0" applyProtection="0"/>
    <xf numFmtId="335" fontId="5" fillId="0" borderId="0" applyFont="0" applyFill="0" applyBorder="0" applyAlignment="0" applyProtection="0"/>
    <xf numFmtId="236" fontId="260" fillId="0" borderId="0" applyFont="0" applyFill="0" applyBorder="0" applyAlignment="0" applyProtection="0"/>
    <xf numFmtId="335" fontId="5" fillId="0" borderId="0" applyFont="0" applyFill="0" applyBorder="0" applyAlignment="0" applyProtection="0"/>
    <xf numFmtId="236" fontId="5" fillId="0" borderId="0" applyFont="0" applyFill="0" applyBorder="0" applyAlignment="0" applyProtection="0"/>
    <xf numFmtId="236" fontId="5" fillId="0" borderId="0" applyFont="0" applyFill="0" applyBorder="0" applyAlignment="0" applyProtection="0"/>
    <xf numFmtId="236" fontId="260" fillId="0" borderId="0" applyFont="0" applyFill="0" applyBorder="0" applyAlignment="0" applyProtection="0"/>
    <xf numFmtId="236" fontId="260" fillId="0" borderId="0" applyFont="0" applyFill="0" applyBorder="0" applyAlignment="0" applyProtection="0"/>
    <xf numFmtId="236" fontId="260" fillId="0" borderId="0" applyFont="0" applyFill="0" applyBorder="0" applyAlignment="0" applyProtection="0"/>
    <xf numFmtId="335" fontId="5" fillId="0" borderId="0" applyFont="0" applyFill="0" applyBorder="0" applyAlignment="0" applyProtection="0"/>
    <xf numFmtId="236" fontId="260" fillId="0" borderId="0" applyFont="0" applyFill="0" applyBorder="0" applyAlignment="0" applyProtection="0"/>
    <xf numFmtId="335" fontId="5" fillId="0" borderId="0" applyFont="0" applyFill="0" applyBorder="0" applyAlignment="0" applyProtection="0"/>
    <xf numFmtId="236" fontId="260" fillId="0" borderId="0" applyFont="0" applyFill="0" applyBorder="0" applyAlignment="0" applyProtection="0"/>
    <xf numFmtId="335" fontId="5" fillId="0" borderId="0" applyFont="0" applyFill="0" applyBorder="0" applyAlignment="0" applyProtection="0"/>
    <xf numFmtId="236" fontId="5" fillId="0" borderId="0" applyFont="0" applyFill="0" applyBorder="0" applyAlignment="0" applyProtection="0"/>
    <xf numFmtId="236" fontId="5" fillId="0" borderId="0" applyFont="0" applyFill="0" applyBorder="0" applyAlignment="0" applyProtection="0"/>
    <xf numFmtId="236" fontId="5" fillId="0" borderId="0" applyFont="0" applyFill="0" applyBorder="0" applyAlignment="0" applyProtection="0"/>
    <xf numFmtId="237" fontId="5" fillId="0" borderId="0" applyFont="0" applyFill="0" applyBorder="0" applyProtection="0">
      <alignment horizontal="right"/>
    </xf>
    <xf numFmtId="237" fontId="5" fillId="0" borderId="0" applyFont="0" applyFill="0" applyBorder="0" applyProtection="0">
      <alignment horizontal="right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37" fontId="261" fillId="0" borderId="0" applyFont="0" applyFill="0" applyBorder="0" applyProtection="0">
      <alignment horizontal="right"/>
    </xf>
    <xf numFmtId="0" fontId="5" fillId="0" borderId="0" applyFont="0" applyFill="0" applyBorder="0" applyAlignment="0" applyProtection="0"/>
    <xf numFmtId="237" fontId="5" fillId="0" borderId="0" applyFont="0" applyFill="0" applyBorder="0" applyProtection="0">
      <alignment horizontal="right"/>
    </xf>
    <xf numFmtId="0" fontId="5" fillId="0" borderId="0" applyFont="0" applyFill="0" applyBorder="0" applyAlignment="0" applyProtection="0"/>
    <xf numFmtId="237" fontId="5" fillId="0" borderId="0" applyFont="0" applyFill="0" applyBorder="0" applyProtection="0">
      <alignment horizontal="right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37" fontId="5" fillId="0" borderId="0" applyFont="0" applyFill="0" applyBorder="0" applyProtection="0">
      <alignment horizontal="right"/>
    </xf>
    <xf numFmtId="237" fontId="229" fillId="0" borderId="0" applyFont="0" applyFill="0" applyBorder="0" applyProtection="0">
      <alignment horizontal="right"/>
    </xf>
    <xf numFmtId="337" fontId="5" fillId="0" borderId="0" applyFont="0" applyFill="0" applyBorder="0" applyAlignment="0" applyProtection="0"/>
    <xf numFmtId="337" fontId="5" fillId="0" borderId="0" applyFont="0" applyFill="0" applyBorder="0" applyAlignment="0" applyProtection="0"/>
    <xf numFmtId="337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37" fontId="260" fillId="0" borderId="0" applyFont="0" applyFill="0" applyBorder="0" applyProtection="0">
      <alignment horizontal="right"/>
    </xf>
    <xf numFmtId="0" fontId="5" fillId="0" borderId="0" applyFont="0" applyFill="0" applyBorder="0" applyAlignment="0" applyProtection="0"/>
    <xf numFmtId="237" fontId="5" fillId="0" borderId="0" applyFont="0" applyFill="0" applyBorder="0" applyProtection="0">
      <alignment horizontal="right"/>
    </xf>
    <xf numFmtId="237" fontId="5" fillId="0" borderId="0" applyFont="0" applyFill="0" applyBorder="0" applyProtection="0">
      <alignment horizontal="right"/>
    </xf>
    <xf numFmtId="237" fontId="260" fillId="0" borderId="0" applyFont="0" applyFill="0" applyBorder="0" applyProtection="0">
      <alignment horizontal="right"/>
    </xf>
    <xf numFmtId="237" fontId="260" fillId="0" borderId="0" applyFont="0" applyFill="0" applyBorder="0" applyProtection="0">
      <alignment horizontal="right"/>
    </xf>
    <xf numFmtId="237" fontId="260" fillId="0" borderId="0" applyFont="0" applyFill="0" applyBorder="0" applyProtection="0">
      <alignment horizontal="right"/>
    </xf>
    <xf numFmtId="0" fontId="5" fillId="0" borderId="0" applyFont="0" applyFill="0" applyBorder="0" applyAlignment="0" applyProtection="0"/>
    <xf numFmtId="237" fontId="260" fillId="0" borderId="0" applyFont="0" applyFill="0" applyBorder="0" applyProtection="0">
      <alignment horizontal="right"/>
    </xf>
    <xf numFmtId="0" fontId="5" fillId="0" borderId="0" applyFont="0" applyFill="0" applyBorder="0" applyAlignment="0" applyProtection="0"/>
    <xf numFmtId="237" fontId="260" fillId="0" borderId="0" applyFont="0" applyFill="0" applyBorder="0" applyProtection="0">
      <alignment horizontal="right"/>
    </xf>
    <xf numFmtId="0" fontId="5" fillId="0" borderId="0" applyFont="0" applyFill="0" applyBorder="0" applyAlignment="0" applyProtection="0"/>
    <xf numFmtId="237" fontId="5" fillId="0" borderId="0" applyFont="0" applyFill="0" applyBorder="0" applyProtection="0">
      <alignment horizontal="right"/>
    </xf>
    <xf numFmtId="237" fontId="5" fillId="0" borderId="0" applyFont="0" applyFill="0" applyBorder="0" applyProtection="0">
      <alignment horizontal="right"/>
    </xf>
    <xf numFmtId="237" fontId="5" fillId="0" borderId="0" applyFont="0" applyFill="0" applyBorder="0" applyProtection="0">
      <alignment horizontal="right"/>
    </xf>
    <xf numFmtId="338" fontId="5" fillId="0" borderId="0" applyFont="0" applyFill="0" applyBorder="0" applyAlignment="0" applyProtection="0"/>
    <xf numFmtId="230" fontId="5" fillId="0" borderId="0" applyFont="0" applyFill="0" applyBorder="0" applyProtection="0">
      <alignment horizontal="right"/>
    </xf>
    <xf numFmtId="230" fontId="5" fillId="0" borderId="0" applyFont="0" applyFill="0" applyBorder="0" applyAlignment="0" applyProtection="0"/>
    <xf numFmtId="230" fontId="5" fillId="0" borderId="0" applyFont="0" applyFill="0" applyBorder="0" applyAlignment="0" applyProtection="0"/>
    <xf numFmtId="230" fontId="5" fillId="0" borderId="0" applyFont="0" applyFill="0" applyBorder="0" applyAlignment="0" applyProtection="0"/>
    <xf numFmtId="339" fontId="5" fillId="0" borderId="0" applyFont="0" applyFill="0" applyBorder="0" applyAlignment="0" applyProtection="0"/>
    <xf numFmtId="231" fontId="5" fillId="0" borderId="0" applyFont="0" applyFill="0" applyBorder="0" applyProtection="0">
      <alignment horizontal="right"/>
    </xf>
    <xf numFmtId="231" fontId="5" fillId="0" borderId="0" applyFont="0" applyFill="0" applyBorder="0" applyProtection="0">
      <alignment horizontal="right"/>
    </xf>
    <xf numFmtId="231" fontId="5" fillId="0" borderId="0" applyFont="0" applyFill="0" applyBorder="0" applyAlignment="0" applyProtection="0"/>
    <xf numFmtId="231" fontId="5" fillId="0" borderId="0" applyFont="0" applyFill="0" applyBorder="0" applyAlignment="0" applyProtection="0"/>
    <xf numFmtId="231" fontId="5" fillId="0" borderId="0" applyFont="0" applyFill="0" applyBorder="0" applyAlignment="0" applyProtection="0"/>
    <xf numFmtId="0" fontId="188" fillId="0" borderId="0" applyNumberFormat="0" applyFill="0" applyBorder="0" applyProtection="0">
      <alignment vertical="top"/>
    </xf>
    <xf numFmtId="0" fontId="188" fillId="0" borderId="0" applyNumberFormat="0" applyFill="0" applyBorder="0" applyAlignment="0" applyProtection="0">
      <alignment vertical="top"/>
    </xf>
    <xf numFmtId="0" fontId="188" fillId="0" borderId="0" applyNumberFormat="0" applyFill="0" applyBorder="0" applyProtection="0">
      <alignment vertical="top"/>
    </xf>
    <xf numFmtId="0" fontId="188" fillId="0" borderId="0" applyNumberFormat="0" applyFill="0" applyBorder="0" applyProtection="0">
      <alignment vertical="top"/>
    </xf>
    <xf numFmtId="0" fontId="188" fillId="0" borderId="0" applyNumberFormat="0" applyFill="0" applyBorder="0" applyProtection="0">
      <alignment vertical="top"/>
    </xf>
    <xf numFmtId="0" fontId="188" fillId="0" borderId="0" applyNumberFormat="0" applyFill="0" applyBorder="0" applyProtection="0">
      <alignment vertical="top"/>
    </xf>
    <xf numFmtId="0" fontId="188" fillId="0" borderId="0" applyNumberFormat="0" applyFill="0" applyBorder="0" applyProtection="0">
      <alignment vertical="top"/>
    </xf>
    <xf numFmtId="0" fontId="188" fillId="0" borderId="0" applyNumberFormat="0" applyFill="0" applyBorder="0" applyProtection="0">
      <alignment vertical="top"/>
    </xf>
    <xf numFmtId="0" fontId="188" fillId="0" borderId="0" applyNumberFormat="0" applyFill="0" applyBorder="0" applyProtection="0">
      <alignment vertical="top"/>
    </xf>
    <xf numFmtId="0" fontId="188" fillId="0" borderId="0" applyNumberFormat="0" applyFill="0" applyBorder="0" applyProtection="0">
      <alignment vertical="top"/>
    </xf>
    <xf numFmtId="0" fontId="188" fillId="0" borderId="0" applyNumberFormat="0" applyFill="0" applyBorder="0" applyProtection="0">
      <alignment vertical="top"/>
    </xf>
    <xf numFmtId="0" fontId="5" fillId="0" borderId="0"/>
    <xf numFmtId="0" fontId="189" fillId="0" borderId="64" applyNumberFormat="0" applyFill="0" applyAlignment="0" applyProtection="0"/>
    <xf numFmtId="0" fontId="189" fillId="0" borderId="65" applyNumberFormat="0" applyFill="0" applyAlignment="0" applyProtection="0"/>
    <xf numFmtId="0" fontId="189" fillId="0" borderId="64" applyNumberFormat="0" applyFill="0" applyAlignment="0" applyProtection="0"/>
    <xf numFmtId="0" fontId="189" fillId="0" borderId="64" applyNumberFormat="0" applyFill="0" applyAlignment="0" applyProtection="0"/>
    <xf numFmtId="0" fontId="191" fillId="0" borderId="0" applyNumberFormat="0" applyFill="0" applyBorder="0" applyProtection="0">
      <alignment horizontal="centerContinuous"/>
    </xf>
    <xf numFmtId="0" fontId="191" fillId="0" borderId="0" applyNumberFormat="0" applyFill="0" applyProtection="0">
      <alignment horizontal="centerContinuous"/>
    </xf>
    <xf numFmtId="0" fontId="191" fillId="0" borderId="0" applyNumberFormat="0" applyFill="0" applyBorder="0" applyProtection="0">
      <alignment horizontal="centerContinuous"/>
    </xf>
    <xf numFmtId="0" fontId="191" fillId="0" borderId="0" applyNumberFormat="0" applyFill="0" applyBorder="0" applyProtection="0">
      <alignment horizontal="centerContinuous"/>
    </xf>
    <xf numFmtId="0" fontId="5" fillId="0" borderId="0" applyFont="0" applyFill="0" applyBorder="0" applyAlignment="0" applyProtection="0"/>
    <xf numFmtId="44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0" fontId="79" fillId="0" borderId="0"/>
    <xf numFmtId="0" fontId="262" fillId="0" borderId="0"/>
    <xf numFmtId="0" fontId="8" fillId="0" borderId="0"/>
    <xf numFmtId="9" fontId="5" fillId="0" borderId="0"/>
    <xf numFmtId="277" fontId="79" fillId="0" borderId="0"/>
    <xf numFmtId="208" fontId="79" fillId="0" borderId="0"/>
    <xf numFmtId="277" fontId="79" fillId="0" borderId="0"/>
    <xf numFmtId="2" fontId="79" fillId="0" borderId="0"/>
    <xf numFmtId="10" fontId="79" fillId="0" borderId="0"/>
    <xf numFmtId="210" fontId="79" fillId="0" borderId="0"/>
    <xf numFmtId="21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21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269" fontId="79" fillId="0" borderId="0"/>
    <xf numFmtId="0" fontId="79" fillId="0" borderId="0"/>
    <xf numFmtId="210" fontId="79" fillId="0" borderId="0"/>
    <xf numFmtId="0" fontId="79" fillId="0" borderId="0"/>
    <xf numFmtId="0" fontId="79" fillId="0" borderId="0"/>
    <xf numFmtId="269" fontId="5" fillId="0" borderId="0"/>
    <xf numFmtId="301" fontId="263" fillId="0" borderId="0" applyFont="0" applyAlignment="0"/>
    <xf numFmtId="37" fontId="264" fillId="0" borderId="0">
      <alignment horizontal="center"/>
    </xf>
    <xf numFmtId="269" fontId="265" fillId="0" borderId="10">
      <alignment horizontal="right"/>
    </xf>
    <xf numFmtId="43" fontId="39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344" fontId="269" fillId="0" borderId="0" applyFont="0" applyFill="0" applyBorder="0" applyAlignment="0" applyProtection="0"/>
    <xf numFmtId="345" fontId="270" fillId="87" borderId="0" applyNumberFormat="0" applyFont="0" applyBorder="0" applyAlignment="0">
      <alignment horizontal="right"/>
    </xf>
    <xf numFmtId="346" fontId="271" fillId="87" borderId="55" applyFont="0">
      <alignment horizontal="right"/>
    </xf>
    <xf numFmtId="0" fontId="6" fillId="0" borderId="0" applyNumberFormat="0" applyFill="0" applyBorder="0" applyAlignment="0" applyProtection="0"/>
    <xf numFmtId="2" fontId="222" fillId="0" borderId="0" applyNumberFormat="0" applyBorder="0" applyAlignment="0"/>
    <xf numFmtId="301" fontId="272" fillId="0" borderId="0"/>
    <xf numFmtId="1" fontId="273" fillId="88" borderId="14" applyNumberFormat="0" applyBorder="0" applyAlignment="0">
      <alignment horizontal="center" vertical="top" wrapText="1"/>
      <protection hidden="1"/>
    </xf>
    <xf numFmtId="0" fontId="274" fillId="0" borderId="0" applyNumberFormat="0" applyFill="0" applyBorder="0" applyAlignment="0"/>
    <xf numFmtId="0" fontId="74" fillId="89" borderId="0"/>
    <xf numFmtId="0" fontId="275" fillId="0" borderId="0" applyNumberFormat="0" applyFill="0" applyBorder="0" applyAlignment="0" applyProtection="0"/>
    <xf numFmtId="0" fontId="105" fillId="90" borderId="78">
      <alignment horizontal="center"/>
    </xf>
    <xf numFmtId="347" fontId="5" fillId="0" borderId="0" applyFont="0" applyFill="0" applyBorder="0" applyAlignment="0" applyProtection="0"/>
    <xf numFmtId="0" fontId="271" fillId="0" borderId="0"/>
    <xf numFmtId="0" fontId="6" fillId="0" borderId="0"/>
    <xf numFmtId="2" fontId="6" fillId="91" borderId="0" applyNumberFormat="0" applyFont="0" applyBorder="0" applyAlignment="0" applyProtection="0"/>
    <xf numFmtId="0" fontId="259" fillId="0" borderId="0">
      <alignment horizontal="right"/>
    </xf>
    <xf numFmtId="299" fontId="259" fillId="0" borderId="0"/>
    <xf numFmtId="0" fontId="6" fillId="0" borderId="0">
      <alignment vertical="top" wrapText="1"/>
    </xf>
    <xf numFmtId="0" fontId="6" fillId="0" borderId="0" applyNumberFormat="0" applyFill="0" applyBorder="0" applyAlignment="0" applyProtection="0"/>
    <xf numFmtId="0" fontId="27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273" fontId="277" fillId="0" borderId="0" applyNumberFormat="0" applyFill="0" applyBorder="0" applyProtection="0">
      <alignment horizontal="right"/>
    </xf>
    <xf numFmtId="0" fontId="6" fillId="0" borderId="0">
      <alignment vertical="top" wrapText="1"/>
    </xf>
    <xf numFmtId="277" fontId="10" fillId="0" borderId="0" applyBorder="0">
      <alignment horizontal="right"/>
    </xf>
    <xf numFmtId="277" fontId="10" fillId="0" borderId="46" applyAlignment="0">
      <alignment horizontal="right"/>
    </xf>
    <xf numFmtId="347" fontId="278" fillId="0" borderId="79" applyFill="0" applyBorder="0" applyProtection="0"/>
    <xf numFmtId="348" fontId="279" fillId="0" borderId="0" applyFont="0" applyBorder="0">
      <alignment horizontal="right"/>
    </xf>
    <xf numFmtId="0" fontId="280" fillId="0" borderId="0"/>
    <xf numFmtId="38" fontId="281" fillId="0" borderId="0" applyNumberFormat="0" applyFill="0" applyBorder="0">
      <alignment vertical="center"/>
    </xf>
    <xf numFmtId="0" fontId="8" fillId="0" borderId="0"/>
    <xf numFmtId="0" fontId="6" fillId="0" borderId="0">
      <alignment vertical="top" wrapText="1"/>
    </xf>
    <xf numFmtId="0" fontId="192" fillId="0" borderId="0"/>
    <xf numFmtId="349" fontId="259" fillId="0" borderId="0">
      <alignment horizontal="right"/>
    </xf>
    <xf numFmtId="0" fontId="259" fillId="0" borderId="0"/>
    <xf numFmtId="0" fontId="222" fillId="0" borderId="0" applyNumberFormat="0" applyAlignment="0"/>
    <xf numFmtId="350" fontId="6" fillId="92" borderId="80" applyNumberFormat="0" applyFont="0" applyBorder="0" applyAlignment="0" applyProtection="0">
      <alignment horizontal="right"/>
    </xf>
    <xf numFmtId="1" fontId="282" fillId="46" borderId="81" applyNumberFormat="0" applyBorder="0" applyAlignment="0">
      <alignment horizontal="centerContinuous" vertical="center"/>
      <protection locked="0"/>
    </xf>
    <xf numFmtId="208" fontId="44" fillId="0" borderId="0" applyNumberFormat="0" applyFont="0" applyAlignment="0">
      <alignment vertical="center"/>
    </xf>
    <xf numFmtId="0" fontId="259" fillId="0" borderId="0"/>
    <xf numFmtId="0" fontId="234" fillId="0" borderId="0" applyNumberFormat="0" applyFill="0" applyBorder="0" applyAlignment="0" applyProtection="0"/>
    <xf numFmtId="1" fontId="6" fillId="0" borderId="0" applyNumberFormat="0" applyBorder="0" applyAlignment="0" applyProtection="0"/>
    <xf numFmtId="49" fontId="6" fillId="0" borderId="0" applyFill="0" applyBorder="0"/>
    <xf numFmtId="49" fontId="5" fillId="0" borderId="0"/>
    <xf numFmtId="49" fontId="5" fillId="0" borderId="0" applyFill="0" applyBorder="0">
      <alignment horizontal="right" vertical="center"/>
    </xf>
    <xf numFmtId="49" fontId="5" fillId="0" borderId="0" applyFill="0" applyBorder="0">
      <alignment horizontal="right" vertical="center"/>
    </xf>
    <xf numFmtId="351" fontId="283" fillId="0" borderId="0">
      <alignment vertical="center"/>
    </xf>
    <xf numFmtId="49" fontId="234" fillId="0" borderId="0">
      <alignment horizontal="right"/>
    </xf>
    <xf numFmtId="49" fontId="284" fillId="0" borderId="0">
      <alignment horizontal="right"/>
    </xf>
    <xf numFmtId="351" fontId="285" fillId="0" borderId="0">
      <alignment vertical="center"/>
    </xf>
    <xf numFmtId="208" fontId="5" fillId="84" borderId="15" applyNumberFormat="0" applyFont="0" applyBorder="0" applyAlignment="0" applyProtection="0"/>
    <xf numFmtId="269" fontId="286" fillId="84" borderId="0" applyNumberFormat="0" applyFont="0" applyAlignment="0"/>
    <xf numFmtId="345" fontId="66" fillId="3" borderId="0" applyNumberFormat="0" applyAlignment="0"/>
    <xf numFmtId="0" fontId="79" fillId="93" borderId="0" applyNumberFormat="0" applyFont="0" applyBorder="0" applyAlignment="0" applyProtection="0"/>
    <xf numFmtId="0" fontId="66" fillId="0" borderId="0" applyNumberFormat="0" applyFill="0" applyBorder="0" applyAlignment="0">
      <protection locked="0"/>
    </xf>
    <xf numFmtId="352" fontId="287" fillId="0" borderId="57" applyBorder="0">
      <protection locked="0"/>
    </xf>
    <xf numFmtId="208" fontId="288" fillId="0" borderId="0">
      <alignment horizontal="right"/>
    </xf>
    <xf numFmtId="353" fontId="5" fillId="0" borderId="0" applyNumberFormat="0" applyFill="0" applyBorder="0" applyAlignment="0" applyProtection="0"/>
    <xf numFmtId="0" fontId="289" fillId="0" borderId="0" applyNumberFormat="0" applyFill="0" applyBorder="0" applyProtection="0">
      <alignment horizontal="left" vertical="center"/>
    </xf>
    <xf numFmtId="0" fontId="132" fillId="0" borderId="0"/>
    <xf numFmtId="5" fontId="6" fillId="0" borderId="0">
      <alignment vertical="top" wrapText="1"/>
    </xf>
    <xf numFmtId="0" fontId="58" fillId="0" borderId="0"/>
    <xf numFmtId="38" fontId="290" fillId="0" borderId="0" applyNumberFormat="0" applyFill="0" applyBorder="0">
      <alignment horizontal="left" vertical="center"/>
    </xf>
    <xf numFmtId="171" fontId="5" fillId="0" borderId="0" applyFont="0" applyFill="0" applyBorder="0" applyAlignment="0" applyProtection="0"/>
    <xf numFmtId="208" fontId="291" fillId="0" borderId="0" applyFill="0" applyBorder="0">
      <alignment vertical="center"/>
    </xf>
    <xf numFmtId="0" fontId="174" fillId="57" borderId="0"/>
    <xf numFmtId="354" fontId="6" fillId="35" borderId="0">
      <alignment horizontal="center"/>
    </xf>
    <xf numFmtId="0" fontId="106" fillId="0" borderId="0">
      <alignment horizontal="right"/>
    </xf>
    <xf numFmtId="0" fontId="287" fillId="0" borderId="82" applyNumberFormat="0" applyAlignment="0"/>
    <xf numFmtId="0" fontId="79" fillId="0" borderId="0"/>
    <xf numFmtId="269" fontId="79" fillId="0" borderId="10">
      <alignment horizontal="right"/>
    </xf>
    <xf numFmtId="273" fontId="292" fillId="0" borderId="0"/>
    <xf numFmtId="277" fontId="293" fillId="0" borderId="83" applyBorder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294" fillId="0" borderId="0"/>
    <xf numFmtId="0" fontId="5" fillId="0" borderId="0"/>
    <xf numFmtId="0" fontId="294" fillId="0" borderId="0"/>
    <xf numFmtId="0" fontId="1" fillId="0" borderId="0"/>
    <xf numFmtId="2" fontId="79" fillId="0" borderId="0" applyBorder="0" applyProtection="0"/>
    <xf numFmtId="0" fontId="228" fillId="0" borderId="0"/>
    <xf numFmtId="225" fontId="20" fillId="0" borderId="0" applyFont="0" applyFill="0" applyBorder="0" applyProtection="0">
      <alignment horizontal="right"/>
    </xf>
    <xf numFmtId="0" fontId="6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353" fontId="5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90" fillId="0" borderId="0" applyNumberFormat="0" applyFill="0" applyBorder="0" applyAlignment="0" applyProtection="0"/>
    <xf numFmtId="0" fontId="295" fillId="0" borderId="0">
      <alignment horizontal="left" vertical="top"/>
      <protection locked="0"/>
    </xf>
    <xf numFmtId="0" fontId="296" fillId="0" borderId="0">
      <alignment horizontal="left"/>
    </xf>
    <xf numFmtId="0" fontId="297" fillId="0" borderId="0">
      <alignment vertical="center"/>
    </xf>
    <xf numFmtId="248" fontId="5" fillId="0" borderId="0" applyFill="0">
      <alignment horizontal="center" vertical="center"/>
    </xf>
    <xf numFmtId="0" fontId="144" fillId="0" borderId="0" applyNumberFormat="0" applyFill="0" applyBorder="0">
      <alignment horizontal="left"/>
    </xf>
    <xf numFmtId="208" fontId="6" fillId="0" borderId="0">
      <alignment horizontal="right" vertical="top" wrapText="1"/>
    </xf>
    <xf numFmtId="208" fontId="278" fillId="0" borderId="79" applyFill="0" applyBorder="0" applyProtection="0"/>
    <xf numFmtId="355" fontId="5" fillId="0" borderId="0"/>
    <xf numFmtId="38" fontId="6" fillId="0" borderId="0" applyFill="0" applyBorder="0" applyAlignment="0" applyProtection="0">
      <alignment horizontal="right"/>
    </xf>
    <xf numFmtId="0" fontId="6" fillId="0" borderId="0">
      <alignment horizontal="center" vertical="top" wrapText="1"/>
    </xf>
    <xf numFmtId="0" fontId="298" fillId="0" borderId="0"/>
    <xf numFmtId="0" fontId="293" fillId="0" borderId="0" applyNumberFormat="0" applyAlignment="0"/>
    <xf numFmtId="1" fontId="299" fillId="34" borderId="0">
      <alignment horizontal="center"/>
    </xf>
    <xf numFmtId="301" fontId="5" fillId="0" borderId="0" applyFill="0" applyBorder="0" applyAlignment="0" applyProtection="0"/>
    <xf numFmtId="269" fontId="8" fillId="0" borderId="0">
      <alignment vertical="top"/>
    </xf>
    <xf numFmtId="0" fontId="300" fillId="0" borderId="0"/>
    <xf numFmtId="277" fontId="79" fillId="28" borderId="58" applyNumberFormat="0" applyFont="0" applyBorder="0" applyAlignment="0" applyProtection="0">
      <alignment horizontal="center"/>
    </xf>
    <xf numFmtId="0" fontId="289" fillId="0" borderId="0" applyNumberFormat="0" applyFill="0" applyBorder="0" applyProtection="0">
      <alignment horizontal="right" vertical="center"/>
    </xf>
    <xf numFmtId="0" fontId="5" fillId="36" borderId="0" applyNumberFormat="0" applyFont="0" applyBorder="0" applyAlignment="0" applyProtection="0"/>
    <xf numFmtId="0" fontId="9" fillId="0" borderId="0"/>
    <xf numFmtId="1" fontId="301" fillId="94" borderId="0" applyNumberFormat="0" applyFont="0" applyBorder="0" applyAlignment="0">
      <alignment horizontal="left"/>
    </xf>
    <xf numFmtId="2" fontId="302" fillId="0" borderId="0"/>
    <xf numFmtId="1" fontId="5" fillId="0" borderId="0"/>
    <xf numFmtId="167" fontId="6" fillId="0" borderId="0">
      <alignment horizontal="right" vertical="top" wrapText="1"/>
    </xf>
    <xf numFmtId="0" fontId="6" fillId="0" borderId="0">
      <alignment vertical="top" wrapText="1"/>
    </xf>
    <xf numFmtId="3" fontId="5" fillId="34" borderId="84" applyFont="0" applyFill="0" applyBorder="0" applyAlignment="0" applyProtection="0"/>
    <xf numFmtId="4" fontId="5" fillId="34" borderId="84" applyFont="0" applyFill="0" applyBorder="0" applyAlignment="0" applyProtection="0"/>
    <xf numFmtId="248" fontId="5" fillId="34" borderId="84" applyFont="0" applyFill="0" applyBorder="0" applyAlignment="0" applyProtection="0"/>
    <xf numFmtId="197" fontId="5" fillId="34" borderId="85" applyFont="0" applyFill="0" applyBorder="0" applyAlignment="0" applyProtection="0"/>
    <xf numFmtId="10" fontId="5" fillId="34" borderId="84" applyFont="0" applyFill="0" applyBorder="0" applyAlignment="0" applyProtection="0"/>
    <xf numFmtId="9" fontId="5" fillId="34" borderId="84" applyFont="0" applyFill="0" applyBorder="0" applyAlignment="0" applyProtection="0"/>
    <xf numFmtId="2" fontId="5" fillId="34" borderId="84" applyFont="0" applyFill="0" applyBorder="0" applyAlignment="0" applyProtection="0"/>
    <xf numFmtId="0" fontId="303" fillId="0" borderId="86"/>
    <xf numFmtId="0" fontId="6" fillId="0" borderId="0">
      <alignment vertical="top" wrapText="1"/>
    </xf>
    <xf numFmtId="0" fontId="5" fillId="0" borderId="0"/>
    <xf numFmtId="356" fontId="304" fillId="0" borderId="0" applyNumberFormat="0" applyFill="0" applyBorder="0" applyAlignment="0" applyProtection="0">
      <alignment horizontal="right" vertical="center" wrapText="1"/>
    </xf>
    <xf numFmtId="0" fontId="305" fillId="0" borderId="0" applyNumberFormat="0" applyFill="0" applyBorder="0" applyAlignment="0" applyProtection="0"/>
    <xf numFmtId="0" fontId="306" fillId="0" borderId="0" applyNumberFormat="0" applyFill="0" applyBorder="0" applyAlignment="0" applyProtection="0">
      <protection locked="0"/>
    </xf>
    <xf numFmtId="0" fontId="307" fillId="0" borderId="80" applyNumberFormat="0" applyFill="0" applyProtection="0">
      <alignment horizontal="right"/>
    </xf>
    <xf numFmtId="357" fontId="6" fillId="0" borderId="0"/>
    <xf numFmtId="39" fontId="81" fillId="0" borderId="55" applyNumberFormat="0" applyBorder="0">
      <alignment horizontal="right"/>
    </xf>
    <xf numFmtId="0" fontId="307" fillId="0" borderId="2" applyNumberFormat="0" applyProtection="0">
      <alignment horizontal="right"/>
    </xf>
    <xf numFmtId="0" fontId="308" fillId="0" borderId="0">
      <alignment vertical="center"/>
    </xf>
    <xf numFmtId="0" fontId="283" fillId="0" borderId="0">
      <alignment vertical="center"/>
    </xf>
    <xf numFmtId="0" fontId="285" fillId="0" borderId="0">
      <alignment vertical="center"/>
    </xf>
    <xf numFmtId="37" fontId="6" fillId="0" borderId="0">
      <alignment horizontal="right" vertical="top" wrapText="1"/>
    </xf>
    <xf numFmtId="0" fontId="271" fillId="0" borderId="0">
      <alignment vertical="center"/>
    </xf>
    <xf numFmtId="0" fontId="43" fillId="0" borderId="0" applyNumberFormat="0" applyFill="0" applyBorder="0" applyAlignment="0" applyProtection="0"/>
    <xf numFmtId="0" fontId="309" fillId="0" borderId="0" applyNumberFormat="0" applyFill="0" applyBorder="0" applyAlignment="0" applyProtection="0"/>
    <xf numFmtId="38" fontId="310" fillId="0" borderId="0" applyNumberFormat="0" applyFill="0" applyBorder="0">
      <alignment horizontal="left" vertical="center"/>
    </xf>
    <xf numFmtId="0" fontId="311" fillId="95" borderId="0" applyNumberFormat="0" applyBorder="0" applyProtection="0">
      <alignment horizontal="left" vertical="center"/>
    </xf>
    <xf numFmtId="0" fontId="312" fillId="1" borderId="0" applyNumberFormat="0" applyBorder="0" applyProtection="0">
      <alignment horizontal="left" vertical="center"/>
    </xf>
    <xf numFmtId="277" fontId="245" fillId="0" borderId="0"/>
    <xf numFmtId="0" fontId="313" fillId="0" borderId="0" applyNumberFormat="0" applyFill="0" applyBorder="0" applyAlignment="0" applyProtection="0"/>
    <xf numFmtId="0" fontId="245" fillId="0" borderId="0" applyNumberFormat="0" applyFill="0" applyBorder="0" applyAlignment="0" applyProtection="0"/>
    <xf numFmtId="0" fontId="6" fillId="0" borderId="0"/>
    <xf numFmtId="343" fontId="307" fillId="0" borderId="80" applyNumberFormat="0" applyFont="0" applyFill="0" applyAlignment="0" applyProtection="0"/>
    <xf numFmtId="277" fontId="10" fillId="0" borderId="2"/>
    <xf numFmtId="347" fontId="314" fillId="0" borderId="0">
      <alignment horizontal="right"/>
    </xf>
    <xf numFmtId="0" fontId="204" fillId="0" borderId="54" applyNumberFormat="0" applyFill="0" applyProtection="0"/>
    <xf numFmtId="277" fontId="222" fillId="0" borderId="0" applyNumberFormat="0" applyBorder="0" applyAlignment="0"/>
    <xf numFmtId="358" fontId="299" fillId="34" borderId="14" applyBorder="0">
      <alignment horizontal="right" vertical="center"/>
      <protection locked="0"/>
    </xf>
    <xf numFmtId="0" fontId="315" fillId="0" borderId="0" applyNumberFormat="0"/>
    <xf numFmtId="1" fontId="5" fillId="0" borderId="0">
      <alignment horizontal="center"/>
    </xf>
    <xf numFmtId="0" fontId="5" fillId="0" borderId="0"/>
    <xf numFmtId="10" fontId="5" fillId="0" borderId="0" applyFont="0" applyFill="0" applyBorder="0" applyAlignment="0" applyProtection="0"/>
  </cellStyleXfs>
  <cellXfs count="1144">
    <xf numFmtId="0" fontId="0" fillId="0" borderId="0" xfId="0"/>
    <xf numFmtId="0" fontId="4" fillId="0" borderId="1" xfId="0" applyFont="1" applyFill="1" applyBorder="1" applyAlignment="1">
      <alignment vertical="center"/>
    </xf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17" fillId="0" borderId="0" xfId="0" applyFont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165" fontId="15" fillId="0" borderId="0" xfId="0" applyNumberFormat="1" applyFont="1" applyBorder="1" applyAlignment="1">
      <alignment vertical="center"/>
    </xf>
    <xf numFmtId="0" fontId="13" fillId="0" borderId="0" xfId="0" applyFont="1"/>
    <xf numFmtId="165" fontId="25" fillId="0" borderId="0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Border="1"/>
    <xf numFmtId="165" fontId="17" fillId="0" borderId="0" xfId="0" applyNumberFormat="1" applyFont="1" applyBorder="1" applyAlignment="1">
      <alignment vertical="center"/>
    </xf>
    <xf numFmtId="0" fontId="13" fillId="0" borderId="0" xfId="0" applyFont="1" applyAlignment="1">
      <alignment vertical="center"/>
    </xf>
    <xf numFmtId="0" fontId="0" fillId="0" borderId="0" xfId="0" applyAlignment="1"/>
    <xf numFmtId="169" fontId="13" fillId="0" borderId="5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0" fillId="0" borderId="0" xfId="0" applyFont="1"/>
    <xf numFmtId="169" fontId="13" fillId="0" borderId="0" xfId="0" applyNumberFormat="1" applyFont="1" applyBorder="1" applyAlignment="1">
      <alignment horizontal="center" vertical="center"/>
    </xf>
    <xf numFmtId="165" fontId="38" fillId="0" borderId="0" xfId="0" applyNumberFormat="1" applyFont="1" applyBorder="1" applyAlignment="1">
      <alignment vertical="center"/>
    </xf>
    <xf numFmtId="168" fontId="13" fillId="0" borderId="5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9" fillId="0" borderId="0" xfId="495" applyFont="1"/>
    <xf numFmtId="0" fontId="39" fillId="0" borderId="0" xfId="495" applyFont="1" applyFill="1"/>
    <xf numFmtId="0" fontId="39" fillId="76" borderId="0" xfId="495" applyFont="1" applyFill="1" applyBorder="1"/>
    <xf numFmtId="0" fontId="39" fillId="76" borderId="0" xfId="495" quotePrefix="1" applyFont="1" applyFill="1" applyBorder="1"/>
    <xf numFmtId="0" fontId="185" fillId="0" borderId="0" xfId="495" applyFont="1"/>
    <xf numFmtId="0" fontId="13" fillId="0" borderId="0" xfId="495" applyFont="1"/>
    <xf numFmtId="0" fontId="163" fillId="76" borderId="0" xfId="495" applyFont="1" applyFill="1" applyBorder="1"/>
    <xf numFmtId="0" fontId="19" fillId="0" borderId="16" xfId="0" quotePrefix="1" applyFont="1" applyBorder="1" applyAlignment="1">
      <alignment horizontal="centerContinuous" vertical="center"/>
    </xf>
    <xf numFmtId="0" fontId="19" fillId="0" borderId="49" xfId="0" quotePrefix="1" applyFont="1" applyBorder="1" applyAlignment="1">
      <alignment horizontal="centerContinuous" vertical="center"/>
    </xf>
    <xf numFmtId="227" fontId="13" fillId="0" borderId="50" xfId="0" quotePrefix="1" applyNumberFormat="1" applyFont="1" applyBorder="1" applyAlignment="1">
      <alignment horizontal="centerContinuous" vertical="center"/>
    </xf>
    <xf numFmtId="17" fontId="13" fillId="0" borderId="10" xfId="0" applyNumberFormat="1" applyFont="1" applyBorder="1" applyAlignment="1">
      <alignment horizontal="center" vertical="center"/>
    </xf>
    <xf numFmtId="222" fontId="13" fillId="2" borderId="0" xfId="0" applyNumberFormat="1" applyFont="1" applyFill="1" applyBorder="1" applyAlignment="1">
      <alignment vertical="center"/>
    </xf>
    <xf numFmtId="168" fontId="13" fillId="0" borderId="0" xfId="0" applyNumberFormat="1" applyFont="1" applyBorder="1" applyAlignment="1">
      <alignment horizontal="center" vertical="center"/>
    </xf>
    <xf numFmtId="208" fontId="14" fillId="0" borderId="0" xfId="494" applyNumberFormat="1" applyFont="1" applyAlignment="1">
      <alignment vertical="center"/>
    </xf>
    <xf numFmtId="208" fontId="0" fillId="0" borderId="0" xfId="0" applyNumberFormat="1" applyFont="1" applyAlignment="1">
      <alignment vertical="center"/>
    </xf>
    <xf numFmtId="208" fontId="0" fillId="0" borderId="0" xfId="0" applyNumberFormat="1" applyAlignment="1">
      <alignment vertical="center"/>
    </xf>
    <xf numFmtId="208" fontId="6" fillId="0" borderId="0" xfId="0" applyNumberFormat="1" applyFont="1" applyBorder="1" applyAlignment="1">
      <alignment vertical="center"/>
    </xf>
    <xf numFmtId="208" fontId="40" fillId="0" borderId="0" xfId="0" applyNumberFormat="1" applyFont="1" applyBorder="1" applyAlignment="1">
      <alignment vertical="center"/>
    </xf>
    <xf numFmtId="8" fontId="6" fillId="0" borderId="0" xfId="0" applyNumberFormat="1" applyFont="1" applyBorder="1" applyAlignment="1">
      <alignment vertical="center"/>
    </xf>
    <xf numFmtId="329" fontId="13" fillId="2" borderId="8" xfId="0" applyNumberFormat="1" applyFont="1" applyFill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228" fontId="0" fillId="0" borderId="15" xfId="0" applyNumberFormat="1" applyFont="1" applyBorder="1" applyAlignment="1">
      <alignment horizontal="center" vertical="center"/>
    </xf>
    <xf numFmtId="329" fontId="0" fillId="0" borderId="0" xfId="0" applyNumberFormat="1" applyFont="1"/>
    <xf numFmtId="8" fontId="0" fillId="0" borderId="0" xfId="0" applyNumberFormat="1" applyFont="1"/>
    <xf numFmtId="8" fontId="0" fillId="0" borderId="0" xfId="0" applyNumberFormat="1" applyFont="1" applyAlignment="1">
      <alignment vertical="center"/>
    </xf>
    <xf numFmtId="208" fontId="14" fillId="0" borderId="0" xfId="0" applyNumberFormat="1" applyFont="1" applyAlignment="1">
      <alignment horizontal="right" vertical="center"/>
    </xf>
    <xf numFmtId="208" fontId="14" fillId="0" borderId="0" xfId="0" applyNumberFormat="1" applyFont="1" applyBorder="1" applyAlignment="1">
      <alignment horizontal="right" vertical="center"/>
    </xf>
    <xf numFmtId="208" fontId="15" fillId="0" borderId="0" xfId="0" applyNumberFormat="1" applyFont="1" applyBorder="1" applyAlignment="1">
      <alignment vertical="center"/>
    </xf>
    <xf numFmtId="208" fontId="15" fillId="0" borderId="7" xfId="0" applyNumberFormat="1" applyFont="1" applyBorder="1" applyAlignment="1">
      <alignment vertical="center"/>
    </xf>
    <xf numFmtId="330" fontId="13" fillId="2" borderId="9" xfId="0" applyNumberFormat="1" applyFont="1" applyFill="1" applyBorder="1" applyAlignment="1">
      <alignment vertical="center"/>
    </xf>
    <xf numFmtId="330" fontId="0" fillId="0" borderId="0" xfId="0" applyNumberFormat="1" applyAlignment="1">
      <alignment vertical="center"/>
    </xf>
    <xf numFmtId="8" fontId="40" fillId="0" borderId="0" xfId="0" applyNumberFormat="1" applyFont="1" applyBorder="1" applyAlignment="1">
      <alignment vertical="center"/>
    </xf>
    <xf numFmtId="208" fontId="0" fillId="0" borderId="0" xfId="0" applyNumberFormat="1" applyFont="1"/>
    <xf numFmtId="277" fontId="6" fillId="0" borderId="0" xfId="0" applyNumberFormat="1" applyFont="1" applyBorder="1" applyAlignment="1">
      <alignment vertical="center"/>
    </xf>
    <xf numFmtId="329" fontId="0" fillId="0" borderId="0" xfId="0" applyNumberFormat="1" applyFont="1" applyAlignment="1">
      <alignment vertical="center"/>
    </xf>
    <xf numFmtId="301" fontId="0" fillId="0" borderId="0" xfId="0" applyNumberFormat="1" applyFont="1" applyAlignment="1">
      <alignment vertical="center"/>
    </xf>
    <xf numFmtId="301" fontId="0" fillId="0" borderId="0" xfId="0" applyNumberFormat="1" applyAlignment="1">
      <alignment vertical="center"/>
    </xf>
    <xf numFmtId="3" fontId="0" fillId="0" borderId="0" xfId="0" applyNumberFormat="1" applyFont="1" applyAlignment="1">
      <alignment vertical="center"/>
    </xf>
    <xf numFmtId="3" fontId="0" fillId="0" borderId="0" xfId="0" applyNumberFormat="1" applyAlignment="1">
      <alignment vertical="center"/>
    </xf>
    <xf numFmtId="208" fontId="0" fillId="0" borderId="0" xfId="494" applyNumberFormat="1" applyFont="1" applyAlignment="1">
      <alignment vertical="center"/>
    </xf>
    <xf numFmtId="277" fontId="0" fillId="0" borderId="0" xfId="0" applyNumberFormat="1" applyFont="1" applyAlignment="1">
      <alignment vertical="center"/>
    </xf>
    <xf numFmtId="165" fontId="14" fillId="0" borderId="0" xfId="0" applyNumberFormat="1" applyFont="1" applyBorder="1" applyAlignment="1">
      <alignment vertical="center"/>
    </xf>
    <xf numFmtId="208" fontId="14" fillId="0" borderId="0" xfId="494" applyNumberFormat="1" applyFont="1" applyBorder="1" applyAlignment="1">
      <alignment vertical="center"/>
    </xf>
    <xf numFmtId="331" fontId="0" fillId="0" borderId="0" xfId="0" applyNumberFormat="1" applyAlignment="1">
      <alignment vertical="center"/>
    </xf>
    <xf numFmtId="277" fontId="10" fillId="0" borderId="0" xfId="0" applyNumberFormat="1" applyFont="1" applyBorder="1" applyAlignment="1">
      <alignment vertical="center"/>
    </xf>
    <xf numFmtId="224" fontId="0" fillId="0" borderId="0" xfId="0" applyNumberFormat="1" applyAlignment="1"/>
    <xf numFmtId="224" fontId="0" fillId="0" borderId="0" xfId="0" applyNumberFormat="1"/>
    <xf numFmtId="224" fontId="6" fillId="0" borderId="0" xfId="0" applyNumberFormat="1" applyFont="1" applyAlignment="1"/>
    <xf numFmtId="224" fontId="6" fillId="0" borderId="0" xfId="0" applyNumberFormat="1" applyFont="1"/>
    <xf numFmtId="224" fontId="6" fillId="0" borderId="0" xfId="0" applyNumberFormat="1" applyFont="1" applyBorder="1" applyAlignment="1"/>
    <xf numFmtId="301" fontId="159" fillId="0" borderId="0" xfId="0" applyNumberFormat="1" applyFont="1" applyBorder="1" applyAlignment="1">
      <alignment vertical="center"/>
    </xf>
    <xf numFmtId="328" fontId="15" fillId="0" borderId="0" xfId="0" applyNumberFormat="1" applyFont="1" applyBorder="1" applyAlignment="1">
      <alignment vertical="center"/>
    </xf>
    <xf numFmtId="328" fontId="162" fillId="0" borderId="0" xfId="0" applyNumberFormat="1" applyFont="1" applyBorder="1" applyAlignment="1">
      <alignment vertical="center"/>
    </xf>
    <xf numFmtId="329" fontId="0" fillId="2" borderId="8" xfId="0" applyNumberFormat="1" applyFont="1" applyFill="1" applyBorder="1" applyAlignment="1">
      <alignment horizontal="right" vertical="center"/>
    </xf>
    <xf numFmtId="208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8" fontId="0" fillId="0" borderId="0" xfId="0" applyNumberFormat="1" applyFont="1" applyBorder="1" applyAlignment="1">
      <alignment vertical="center"/>
    </xf>
    <xf numFmtId="301" fontId="0" fillId="0" borderId="0" xfId="0" applyNumberFormat="1" applyFont="1" applyBorder="1" applyAlignment="1">
      <alignment horizontal="right" vertical="center"/>
    </xf>
    <xf numFmtId="3" fontId="0" fillId="0" borderId="0" xfId="0" applyNumberFormat="1" applyFont="1" applyBorder="1" applyAlignment="1">
      <alignment horizontal="right" vertical="center"/>
    </xf>
    <xf numFmtId="329" fontId="0" fillId="2" borderId="8" xfId="0" applyNumberFormat="1" applyFont="1" applyFill="1" applyBorder="1" applyAlignment="1">
      <alignment vertical="center"/>
    </xf>
    <xf numFmtId="329" fontId="0" fillId="0" borderId="0" xfId="0" applyNumberFormat="1" applyFont="1" applyBorder="1" applyAlignment="1">
      <alignment vertical="center"/>
    </xf>
    <xf numFmtId="165" fontId="0" fillId="0" borderId="0" xfId="0" applyNumberFormat="1" applyFont="1" applyBorder="1" applyAlignment="1">
      <alignment vertical="center"/>
    </xf>
    <xf numFmtId="301" fontId="0" fillId="0" borderId="0" xfId="0" applyNumberFormat="1" applyFont="1" applyBorder="1" applyAlignment="1">
      <alignment vertical="center"/>
    </xf>
    <xf numFmtId="3" fontId="0" fillId="0" borderId="0" xfId="0" applyNumberFormat="1" applyFont="1" applyBorder="1" applyAlignment="1">
      <alignment vertical="center"/>
    </xf>
    <xf numFmtId="328" fontId="0" fillId="0" borderId="0" xfId="0" applyNumberFormat="1" applyFont="1" applyBorder="1" applyAlignment="1">
      <alignment vertical="center"/>
    </xf>
    <xf numFmtId="224" fontId="0" fillId="0" borderId="0" xfId="0" applyNumberFormat="1" applyFont="1"/>
    <xf numFmtId="277" fontId="0" fillId="0" borderId="0" xfId="0" applyNumberFormat="1" applyFont="1"/>
    <xf numFmtId="331" fontId="0" fillId="0" borderId="0" xfId="0" applyNumberFormat="1" applyFont="1" applyAlignment="1">
      <alignment vertical="center"/>
    </xf>
    <xf numFmtId="0" fontId="0" fillId="0" borderId="5" xfId="0" applyFont="1" applyBorder="1" applyAlignment="1">
      <alignment vertical="center"/>
    </xf>
    <xf numFmtId="0" fontId="6" fillId="0" borderId="0" xfId="495" applyFont="1" applyFill="1" applyAlignment="1">
      <alignment horizontal="left" indent="1"/>
    </xf>
    <xf numFmtId="0" fontId="6" fillId="0" borderId="0" xfId="495" applyFont="1" applyAlignment="1">
      <alignment horizontal="left" indent="1"/>
    </xf>
    <xf numFmtId="0" fontId="6" fillId="0" borderId="0" xfId="495" applyNumberFormat="1" applyFont="1" applyAlignment="1">
      <alignment horizontal="left" indent="1"/>
    </xf>
    <xf numFmtId="0" fontId="6" fillId="0" borderId="0" xfId="495" applyFont="1" applyBorder="1" applyAlignment="1">
      <alignment horizontal="left" indent="1"/>
    </xf>
    <xf numFmtId="0" fontId="6" fillId="0" borderId="0" xfId="495" applyFont="1" applyFill="1" applyBorder="1" applyAlignment="1">
      <alignment horizontal="left" indent="1"/>
    </xf>
    <xf numFmtId="301" fontId="13" fillId="0" borderId="0" xfId="0" applyNumberFormat="1" applyFont="1" applyAlignment="1">
      <alignment vertical="center"/>
    </xf>
    <xf numFmtId="269" fontId="0" fillId="0" borderId="0" xfId="0" applyNumberFormat="1" applyAlignment="1"/>
    <xf numFmtId="301" fontId="13" fillId="0" borderId="0" xfId="0" applyNumberFormat="1" applyFont="1" applyBorder="1" applyAlignment="1">
      <alignment vertical="center"/>
    </xf>
    <xf numFmtId="301" fontId="0" fillId="2" borderId="8" xfId="0" applyNumberFormat="1" applyFont="1" applyFill="1" applyBorder="1" applyAlignment="1">
      <alignment vertical="center"/>
    </xf>
    <xf numFmtId="301" fontId="0" fillId="2" borderId="8" xfId="0" applyNumberFormat="1" applyFont="1" applyFill="1" applyBorder="1" applyAlignment="1">
      <alignment horizontal="right" vertical="center"/>
    </xf>
    <xf numFmtId="208" fontId="14" fillId="0" borderId="0" xfId="0" applyNumberFormat="1" applyFont="1" applyAlignment="1">
      <alignment vertical="center"/>
    </xf>
    <xf numFmtId="208" fontId="14" fillId="0" borderId="0" xfId="0" applyNumberFormat="1" applyFont="1" applyBorder="1" applyAlignment="1">
      <alignment vertical="center"/>
    </xf>
    <xf numFmtId="269" fontId="0" fillId="0" borderId="0" xfId="0" applyNumberFormat="1" applyFont="1" applyBorder="1" applyAlignment="1">
      <alignment vertical="center"/>
    </xf>
    <xf numFmtId="269" fontId="0" fillId="0" borderId="0" xfId="0" applyNumberFormat="1" applyFont="1" applyBorder="1" applyAlignment="1">
      <alignment horizontal="right" vertical="center"/>
    </xf>
    <xf numFmtId="331" fontId="0" fillId="0" borderId="0" xfId="0" applyNumberFormat="1" applyFont="1" applyBorder="1" applyAlignment="1">
      <alignment vertical="center"/>
    </xf>
    <xf numFmtId="277" fontId="0" fillId="0" borderId="0" xfId="0" applyNumberFormat="1" applyFont="1" applyBorder="1" applyAlignment="1">
      <alignment vertical="center"/>
    </xf>
    <xf numFmtId="0" fontId="22" fillId="0" borderId="0" xfId="0" applyFont="1" applyBorder="1" applyAlignment="1">
      <alignment horizontal="left" indent="1"/>
    </xf>
    <xf numFmtId="0" fontId="10" fillId="0" borderId="0" xfId="0" applyFont="1" applyBorder="1"/>
    <xf numFmtId="0" fontId="6" fillId="0" borderId="0" xfId="0" applyFont="1" applyBorder="1"/>
    <xf numFmtId="0" fontId="35" fillId="0" borderId="0" xfId="0" applyFont="1" applyBorder="1"/>
    <xf numFmtId="0" fontId="6" fillId="0" borderId="0" xfId="0" applyFont="1" applyBorder="1" applyAlignment="1">
      <alignment horizontal="left" indent="1"/>
    </xf>
    <xf numFmtId="165" fontId="22" fillId="0" borderId="0" xfId="0" applyNumberFormat="1" applyFont="1" applyBorder="1" applyAlignment="1">
      <alignment horizontal="center" vertical="center"/>
    </xf>
    <xf numFmtId="44" fontId="13" fillId="0" borderId="0" xfId="0" applyNumberFormat="1" applyFont="1" applyAlignment="1">
      <alignment vertical="center"/>
    </xf>
    <xf numFmtId="44" fontId="13" fillId="0" borderId="0" xfId="0" applyNumberFormat="1" applyFont="1" applyBorder="1" applyAlignment="1">
      <alignment vertical="center"/>
    </xf>
    <xf numFmtId="168" fontId="13" fillId="0" borderId="66" xfId="0" applyNumberFormat="1" applyFont="1" applyBorder="1" applyAlignment="1">
      <alignment horizontal="center" vertical="center"/>
    </xf>
    <xf numFmtId="329" fontId="0" fillId="2" borderId="67" xfId="0" applyNumberFormat="1" applyFont="1" applyFill="1" applyBorder="1" applyAlignment="1">
      <alignment horizontal="right" vertical="center"/>
    </xf>
    <xf numFmtId="208" fontId="14" fillId="0" borderId="66" xfId="0" applyNumberFormat="1" applyFont="1" applyBorder="1" applyAlignment="1">
      <alignment horizontal="right" vertical="center"/>
    </xf>
    <xf numFmtId="269" fontId="0" fillId="0" borderId="66" xfId="0" applyNumberFormat="1" applyFont="1" applyBorder="1" applyAlignment="1">
      <alignment horizontal="right" vertical="center"/>
    </xf>
    <xf numFmtId="269" fontId="0" fillId="0" borderId="66" xfId="0" applyNumberFormat="1" applyFont="1" applyBorder="1" applyAlignment="1">
      <alignment vertical="center"/>
    </xf>
    <xf numFmtId="330" fontId="13" fillId="2" borderId="68" xfId="0" applyNumberFormat="1" applyFont="1" applyFill="1" applyBorder="1" applyAlignment="1">
      <alignment vertical="center"/>
    </xf>
    <xf numFmtId="3" fontId="0" fillId="0" borderId="66" xfId="0" applyNumberFormat="1" applyFont="1" applyBorder="1" applyAlignment="1">
      <alignment vertical="center"/>
    </xf>
    <xf numFmtId="301" fontId="13" fillId="0" borderId="66" xfId="0" applyNumberFormat="1" applyFont="1" applyBorder="1" applyAlignment="1">
      <alignment vertical="center"/>
    </xf>
    <xf numFmtId="301" fontId="0" fillId="0" borderId="66" xfId="0" applyNumberFormat="1" applyFont="1" applyBorder="1" applyAlignment="1">
      <alignment vertical="center"/>
    </xf>
    <xf numFmtId="301" fontId="0" fillId="2" borderId="67" xfId="0" applyNumberFormat="1" applyFont="1" applyFill="1" applyBorder="1" applyAlignment="1">
      <alignment horizontal="right" vertical="center"/>
    </xf>
    <xf numFmtId="208" fontId="14" fillId="0" borderId="66" xfId="0" applyNumberFormat="1" applyFont="1" applyBorder="1" applyAlignment="1">
      <alignment vertical="center"/>
    </xf>
    <xf numFmtId="331" fontId="0" fillId="0" borderId="66" xfId="0" applyNumberFormat="1" applyFont="1" applyBorder="1" applyAlignment="1">
      <alignment vertical="center"/>
    </xf>
    <xf numFmtId="44" fontId="0" fillId="0" borderId="0" xfId="0" applyNumberFormat="1" applyFont="1" applyBorder="1" applyAlignment="1">
      <alignment vertical="center"/>
    </xf>
    <xf numFmtId="44" fontId="0" fillId="0" borderId="0" xfId="0" applyNumberFormat="1" applyAlignment="1">
      <alignment vertical="center"/>
    </xf>
    <xf numFmtId="229" fontId="13" fillId="2" borderId="8" xfId="0" applyNumberFormat="1" applyFont="1" applyFill="1" applyBorder="1" applyAlignment="1">
      <alignment vertical="center"/>
    </xf>
    <xf numFmtId="229" fontId="0" fillId="0" borderId="0" xfId="0" applyNumberFormat="1"/>
    <xf numFmtId="229" fontId="0" fillId="0" borderId="0" xfId="0" applyNumberFormat="1" applyFont="1" applyBorder="1" applyAlignment="1">
      <alignment vertical="center"/>
    </xf>
    <xf numFmtId="229" fontId="0" fillId="0" borderId="0" xfId="0" applyNumberFormat="1" applyFont="1" applyAlignment="1">
      <alignment vertical="center"/>
    </xf>
    <xf numFmtId="229" fontId="0" fillId="0" borderId="0" xfId="0" applyNumberFormat="1" applyAlignment="1">
      <alignment vertical="center"/>
    </xf>
    <xf numFmtId="44" fontId="0" fillId="0" borderId="0" xfId="0" applyNumberFormat="1" applyFont="1" applyBorder="1" applyAlignment="1">
      <alignment horizontal="right" vertical="center"/>
    </xf>
    <xf numFmtId="269" fontId="0" fillId="0" borderId="0" xfId="0" applyNumberFormat="1" applyFont="1" applyAlignment="1">
      <alignment vertical="center"/>
    </xf>
    <xf numFmtId="269" fontId="0" fillId="0" borderId="0" xfId="0" applyNumberFormat="1"/>
    <xf numFmtId="269" fontId="6" fillId="0" borderId="0" xfId="0" applyNumberFormat="1" applyFont="1" applyBorder="1" applyAlignment="1">
      <alignment vertical="center"/>
    </xf>
    <xf numFmtId="269" fontId="0" fillId="0" borderId="0" xfId="0" applyNumberFormat="1" applyAlignment="1">
      <alignment vertical="center"/>
    </xf>
    <xf numFmtId="225" fontId="0" fillId="0" borderId="0" xfId="0" applyNumberFormat="1"/>
    <xf numFmtId="225" fontId="0" fillId="0" borderId="0" xfId="0" applyNumberFormat="1" applyFont="1" applyBorder="1" applyAlignment="1">
      <alignment vertical="center"/>
    </xf>
    <xf numFmtId="225" fontId="0" fillId="0" borderId="0" xfId="0" applyNumberFormat="1" applyFont="1" applyAlignment="1">
      <alignment vertical="center"/>
    </xf>
    <xf numFmtId="225" fontId="0" fillId="0" borderId="0" xfId="0" applyNumberFormat="1" applyAlignment="1">
      <alignment vertical="center"/>
    </xf>
    <xf numFmtId="225" fontId="0" fillId="0" borderId="66" xfId="0" applyNumberFormat="1" applyFont="1" applyBorder="1" applyAlignment="1">
      <alignment horizontal="right" vertical="center"/>
    </xf>
    <xf numFmtId="225" fontId="0" fillId="0" borderId="0" xfId="0" applyNumberFormat="1" applyFont="1" applyBorder="1" applyAlignment="1">
      <alignment horizontal="right" vertical="center"/>
    </xf>
    <xf numFmtId="330" fontId="13" fillId="2" borderId="8" xfId="0" applyNumberFormat="1" applyFont="1" applyFill="1" applyBorder="1" applyAlignment="1">
      <alignment vertical="center"/>
    </xf>
    <xf numFmtId="330" fontId="13" fillId="2" borderId="67" xfId="0" applyNumberFormat="1" applyFont="1" applyFill="1" applyBorder="1" applyAlignment="1">
      <alignment vertical="center"/>
    </xf>
    <xf numFmtId="8" fontId="13" fillId="0" borderId="0" xfId="0" applyNumberFormat="1" applyFont="1" applyAlignment="1">
      <alignment vertical="center"/>
    </xf>
    <xf numFmtId="8" fontId="13" fillId="0" borderId="0" xfId="0" applyNumberFormat="1" applyFont="1"/>
    <xf numFmtId="8" fontId="13" fillId="0" borderId="0" xfId="0" applyNumberFormat="1" applyFont="1" applyBorder="1" applyAlignment="1">
      <alignment vertical="center"/>
    </xf>
    <xf numFmtId="269" fontId="175" fillId="0" borderId="0" xfId="0" applyNumberFormat="1" applyFont="1" applyBorder="1" applyAlignment="1">
      <alignment vertical="center"/>
    </xf>
    <xf numFmtId="269" fontId="175" fillId="0" borderId="66" xfId="0" applyNumberFormat="1" applyFont="1" applyBorder="1" applyAlignment="1">
      <alignment vertical="center"/>
    </xf>
    <xf numFmtId="208" fontId="14" fillId="0" borderId="0" xfId="494" applyNumberFormat="1" applyFont="1" applyBorder="1" applyAlignment="1">
      <alignment horizontal="right" vertical="center"/>
    </xf>
    <xf numFmtId="208" fontId="14" fillId="0" borderId="66" xfId="494" applyNumberFormat="1" applyFont="1" applyBorder="1" applyAlignment="1">
      <alignment horizontal="right" vertical="center"/>
    </xf>
    <xf numFmtId="269" fontId="175" fillId="0" borderId="0" xfId="0" applyNumberFormat="1" applyFont="1" applyBorder="1" applyAlignment="1">
      <alignment horizontal="right" vertical="center"/>
    </xf>
    <xf numFmtId="301" fontId="175" fillId="0" borderId="0" xfId="0" applyNumberFormat="1" applyFont="1" applyBorder="1" applyAlignment="1">
      <alignment vertical="center"/>
    </xf>
    <xf numFmtId="301" fontId="175" fillId="0" borderId="66" xfId="0" applyNumberFormat="1" applyFont="1" applyBorder="1" applyAlignment="1">
      <alignment vertical="center"/>
    </xf>
    <xf numFmtId="269" fontId="40" fillId="0" borderId="0" xfId="0" applyNumberFormat="1" applyFont="1" applyBorder="1" applyAlignment="1">
      <alignment vertical="center"/>
    </xf>
    <xf numFmtId="229" fontId="13" fillId="2" borderId="67" xfId="0" applyNumberFormat="1" applyFont="1" applyFill="1" applyBorder="1" applyAlignment="1">
      <alignment horizontal="right" vertical="center"/>
    </xf>
    <xf numFmtId="229" fontId="13" fillId="2" borderId="8" xfId="0" applyNumberFormat="1" applyFont="1" applyFill="1" applyBorder="1" applyAlignment="1">
      <alignment horizontal="right" vertical="center"/>
    </xf>
    <xf numFmtId="229" fontId="13" fillId="0" borderId="0" xfId="0" applyNumberFormat="1" applyFont="1"/>
    <xf numFmtId="229" fontId="13" fillId="0" borderId="0" xfId="0" applyNumberFormat="1" applyFont="1" applyBorder="1" applyAlignment="1">
      <alignment vertical="center"/>
    </xf>
    <xf numFmtId="229" fontId="13" fillId="0" borderId="0" xfId="0" applyNumberFormat="1" applyFont="1" applyAlignment="1">
      <alignment vertical="center"/>
    </xf>
    <xf numFmtId="208" fontId="0" fillId="0" borderId="0" xfId="0" applyNumberFormat="1" applyFont="1" applyAlignment="1">
      <alignment horizontal="left" vertical="center" indent="1"/>
    </xf>
    <xf numFmtId="3" fontId="0" fillId="0" borderId="0" xfId="0" applyNumberFormat="1" applyFont="1" applyAlignment="1">
      <alignment horizontal="left" vertical="center" indent="1"/>
    </xf>
    <xf numFmtId="301" fontId="0" fillId="0" borderId="0" xfId="0" applyNumberFormat="1" applyFont="1" applyAlignment="1">
      <alignment horizontal="left" vertical="center" indent="1"/>
    </xf>
    <xf numFmtId="44" fontId="0" fillId="0" borderId="0" xfId="0" applyNumberFormat="1" applyFont="1" applyAlignment="1">
      <alignment horizontal="left" vertical="center" indent="1"/>
    </xf>
    <xf numFmtId="44" fontId="0" fillId="0" borderId="66" xfId="0" applyNumberFormat="1" applyFont="1" applyBorder="1" applyAlignment="1">
      <alignment vertical="center"/>
    </xf>
    <xf numFmtId="301" fontId="6" fillId="0" borderId="0" xfId="0" applyNumberFormat="1" applyFont="1" applyBorder="1" applyAlignment="1"/>
    <xf numFmtId="229" fontId="13" fillId="0" borderId="0" xfId="0" applyNumberFormat="1" applyFont="1" applyBorder="1" applyAlignment="1">
      <alignment horizontal="right" vertical="center"/>
    </xf>
    <xf numFmtId="208" fontId="0" fillId="0" borderId="0" xfId="0" applyNumberFormat="1" applyFont="1" applyBorder="1" applyAlignment="1">
      <alignment horizontal="right" vertical="center"/>
    </xf>
    <xf numFmtId="208" fontId="164" fillId="0" borderId="0" xfId="494" applyNumberFormat="1" applyFont="1" applyBorder="1" applyAlignment="1">
      <alignment horizontal="right" vertical="center"/>
    </xf>
    <xf numFmtId="208" fontId="15" fillId="0" borderId="0" xfId="0" applyNumberFormat="1" applyFont="1" applyBorder="1" applyAlignment="1">
      <alignment horizontal="right" vertical="center"/>
    </xf>
    <xf numFmtId="225" fontId="6" fillId="0" borderId="0" xfId="0" applyNumberFormat="1" applyFont="1" applyBorder="1" applyAlignment="1">
      <alignment horizontal="right" vertical="center"/>
    </xf>
    <xf numFmtId="225" fontId="0" fillId="0" borderId="0" xfId="0" applyNumberFormat="1" applyFont="1" applyAlignment="1">
      <alignment horizontal="right" vertical="center"/>
    </xf>
    <xf numFmtId="208" fontId="0" fillId="0" borderId="0" xfId="0" applyNumberFormat="1" applyFont="1" applyAlignment="1">
      <alignment horizontal="right" vertical="center"/>
    </xf>
    <xf numFmtId="269" fontId="6" fillId="0" borderId="0" xfId="0" applyNumberFormat="1" applyFont="1" applyBorder="1" applyAlignment="1">
      <alignment horizontal="right" vertical="center"/>
    </xf>
    <xf numFmtId="269" fontId="0" fillId="0" borderId="0" xfId="0" applyNumberFormat="1" applyFont="1" applyAlignment="1">
      <alignment horizontal="right" vertical="center"/>
    </xf>
    <xf numFmtId="269" fontId="0" fillId="0" borderId="0" xfId="495" applyNumberFormat="1" applyFont="1" applyBorder="1" applyAlignment="1">
      <alignment horizontal="right" vertical="center"/>
    </xf>
    <xf numFmtId="330" fontId="0" fillId="0" borderId="0" xfId="0" applyNumberFormat="1" applyFont="1" applyBorder="1" applyAlignment="1">
      <alignment horizontal="right" vertical="center"/>
    </xf>
    <xf numFmtId="330" fontId="0" fillId="0" borderId="0" xfId="0" applyNumberFormat="1" applyFont="1" applyAlignment="1">
      <alignment horizontal="right" vertical="center"/>
    </xf>
    <xf numFmtId="6" fontId="6" fillId="0" borderId="0" xfId="0" applyNumberFormat="1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0" xfId="0" applyFont="1" applyAlignment="1">
      <alignment horizontal="right" vertical="center"/>
    </xf>
    <xf numFmtId="269" fontId="40" fillId="0" borderId="0" xfId="0" applyNumberFormat="1" applyFont="1" applyBorder="1" applyAlignment="1">
      <alignment horizontal="right" vertical="center"/>
    </xf>
    <xf numFmtId="301" fontId="0" fillId="0" borderId="0" xfId="495" applyNumberFormat="1" applyFont="1" applyBorder="1" applyAlignment="1">
      <alignment horizontal="right" vertical="center"/>
    </xf>
    <xf numFmtId="301" fontId="6" fillId="0" borderId="0" xfId="0" applyNumberFormat="1" applyFont="1" applyBorder="1" applyAlignment="1">
      <alignment horizontal="right" vertical="center"/>
    </xf>
    <xf numFmtId="301" fontId="159" fillId="0" borderId="0" xfId="0" applyNumberFormat="1" applyFont="1" applyBorder="1" applyAlignment="1">
      <alignment horizontal="right" vertical="center"/>
    </xf>
    <xf numFmtId="301" fontId="0" fillId="0" borderId="0" xfId="0" applyNumberFormat="1" applyFont="1" applyAlignment="1">
      <alignment horizontal="right" vertical="center"/>
    </xf>
    <xf numFmtId="44" fontId="6" fillId="0" borderId="0" xfId="0" applyNumberFormat="1" applyFont="1" applyBorder="1" applyAlignment="1">
      <alignment horizontal="right" vertical="center"/>
    </xf>
    <xf numFmtId="44" fontId="0" fillId="0" borderId="0" xfId="0" applyNumberFormat="1" applyFont="1" applyAlignment="1">
      <alignment horizontal="right" vertical="center"/>
    </xf>
    <xf numFmtId="3" fontId="0" fillId="0" borderId="0" xfId="495" applyNumberFormat="1" applyFont="1" applyBorder="1" applyAlignment="1">
      <alignment horizontal="right" vertical="center"/>
    </xf>
    <xf numFmtId="3" fontId="6" fillId="0" borderId="0" xfId="0" applyNumberFormat="1" applyFont="1" applyBorder="1" applyAlignment="1">
      <alignment horizontal="right" vertical="center"/>
    </xf>
    <xf numFmtId="3" fontId="40" fillId="0" borderId="0" xfId="0" applyNumberFormat="1" applyFont="1" applyBorder="1" applyAlignment="1">
      <alignment horizontal="right" vertical="center"/>
    </xf>
    <xf numFmtId="3" fontId="0" fillId="0" borderId="0" xfId="0" applyNumberFormat="1" applyFont="1" applyAlignment="1">
      <alignment horizontal="right" vertical="center"/>
    </xf>
    <xf numFmtId="208" fontId="0" fillId="0" borderId="0" xfId="495" applyNumberFormat="1" applyFont="1" applyBorder="1" applyAlignment="1">
      <alignment horizontal="right" vertical="center"/>
    </xf>
    <xf numFmtId="208" fontId="40" fillId="0" borderId="0" xfId="0" applyNumberFormat="1" applyFont="1" applyBorder="1" applyAlignment="1">
      <alignment horizontal="right" vertical="center"/>
    </xf>
    <xf numFmtId="208" fontId="186" fillId="0" borderId="0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222" fontId="10" fillId="2" borderId="0" xfId="0" applyNumberFormat="1" applyFont="1" applyFill="1" applyBorder="1" applyAlignment="1">
      <alignment horizontal="right" vertical="center"/>
    </xf>
    <xf numFmtId="229" fontId="13" fillId="2" borderId="67" xfId="0" applyNumberFormat="1" applyFont="1" applyFill="1" applyBorder="1" applyAlignment="1">
      <alignment vertical="center"/>
    </xf>
    <xf numFmtId="229" fontId="0" fillId="0" borderId="0" xfId="0" applyNumberFormat="1" applyFont="1" applyBorder="1" applyAlignment="1">
      <alignment horizontal="right" vertical="center"/>
    </xf>
    <xf numFmtId="229" fontId="0" fillId="0" borderId="0" xfId="0" applyNumberFormat="1" applyFont="1" applyAlignment="1">
      <alignment horizontal="right" vertical="center"/>
    </xf>
    <xf numFmtId="208" fontId="18" fillId="0" borderId="0" xfId="0" applyNumberFormat="1" applyFont="1" applyBorder="1" applyAlignment="1">
      <alignment horizontal="right" vertical="center"/>
    </xf>
    <xf numFmtId="269" fontId="159" fillId="0" borderId="0" xfId="0" applyNumberFormat="1" applyFont="1" applyBorder="1" applyAlignment="1">
      <alignment horizontal="right" vertical="center"/>
    </xf>
    <xf numFmtId="269" fontId="0" fillId="0" borderId="0" xfId="0" applyNumberFormat="1" applyFont="1" applyAlignment="1">
      <alignment horizontal="left" vertical="center" indent="1"/>
    </xf>
    <xf numFmtId="44" fontId="13" fillId="0" borderId="66" xfId="0" applyNumberFormat="1" applyFont="1" applyBorder="1" applyAlignment="1">
      <alignment vertical="center"/>
    </xf>
    <xf numFmtId="44" fontId="13" fillId="0" borderId="0" xfId="0" applyNumberFormat="1" applyFont="1" applyBorder="1" applyAlignment="1">
      <alignment horizontal="right" vertical="center"/>
    </xf>
    <xf numFmtId="44" fontId="13" fillId="0" borderId="0" xfId="0" applyNumberFormat="1" applyFont="1" applyAlignment="1">
      <alignment horizontal="right" vertical="center"/>
    </xf>
    <xf numFmtId="229" fontId="13" fillId="0" borderId="66" xfId="0" applyNumberFormat="1" applyFont="1" applyBorder="1" applyAlignment="1">
      <alignment vertical="center"/>
    </xf>
    <xf numFmtId="229" fontId="13" fillId="0" borderId="0" xfId="0" applyNumberFormat="1" applyFont="1" applyAlignment="1">
      <alignment horizontal="right" vertical="center"/>
    </xf>
    <xf numFmtId="44" fontId="13" fillId="0" borderId="0" xfId="0" applyNumberFormat="1" applyFont="1" applyAlignment="1">
      <alignment horizontal="left" vertical="center" indent="1"/>
    </xf>
    <xf numFmtId="269" fontId="175" fillId="0" borderId="66" xfId="0" applyNumberFormat="1" applyFont="1" applyBorder="1" applyAlignment="1">
      <alignment horizontal="right" vertical="center"/>
    </xf>
    <xf numFmtId="269" fontId="175" fillId="0" borderId="0" xfId="495" applyNumberFormat="1" applyFont="1" applyBorder="1" applyAlignment="1">
      <alignment horizontal="right" vertical="center"/>
    </xf>
    <xf numFmtId="269" fontId="35" fillId="0" borderId="0" xfId="0" applyNumberFormat="1" applyFont="1" applyBorder="1" applyAlignment="1">
      <alignment horizontal="right" vertical="center"/>
    </xf>
    <xf numFmtId="269" fontId="258" fillId="0" borderId="0" xfId="0" applyNumberFormat="1" applyFont="1" applyBorder="1" applyAlignment="1">
      <alignment horizontal="right" vertical="center"/>
    </xf>
    <xf numFmtId="277" fontId="35" fillId="0" borderId="0" xfId="0" applyNumberFormat="1" applyFont="1" applyBorder="1" applyAlignment="1">
      <alignment vertical="center"/>
    </xf>
    <xf numFmtId="0" fontId="0" fillId="0" borderId="0" xfId="0" applyFont="1" applyBorder="1"/>
    <xf numFmtId="225" fontId="6" fillId="0" borderId="0" xfId="495" applyNumberFormat="1" applyFont="1" applyFill="1" applyAlignment="1">
      <alignment vertical="center"/>
    </xf>
    <xf numFmtId="225" fontId="6" fillId="0" borderId="0" xfId="495" applyNumberFormat="1" applyFont="1" applyAlignment="1">
      <alignment vertical="center"/>
    </xf>
    <xf numFmtId="229" fontId="0" fillId="0" borderId="0" xfId="0" applyNumberFormat="1" applyAlignment="1"/>
    <xf numFmtId="229" fontId="6" fillId="0" borderId="0" xfId="495" applyNumberFormat="1" applyFont="1" applyFill="1" applyAlignment="1">
      <alignment vertical="center"/>
    </xf>
    <xf numFmtId="229" fontId="0" fillId="0" borderId="0" xfId="0" applyNumberFormat="1" applyFont="1"/>
    <xf numFmtId="229" fontId="0" fillId="0" borderId="66" xfId="0" applyNumberFormat="1" applyFont="1" applyBorder="1" applyAlignment="1">
      <alignment horizontal="right" vertical="center"/>
    </xf>
    <xf numFmtId="224" fontId="0" fillId="0" borderId="0" xfId="0" applyNumberFormat="1" applyFont="1" applyAlignment="1">
      <alignment horizontal="right" vertical="center"/>
    </xf>
    <xf numFmtId="224" fontId="0" fillId="0" borderId="66" xfId="0" applyNumberFormat="1" applyFont="1" applyBorder="1" applyAlignment="1">
      <alignment horizontal="right" vertical="center"/>
    </xf>
    <xf numFmtId="224" fontId="6" fillId="0" borderId="0" xfId="0" applyNumberFormat="1" applyFont="1" applyAlignment="1">
      <alignment horizontal="right" vertical="center"/>
    </xf>
    <xf numFmtId="224" fontId="6" fillId="0" borderId="66" xfId="0" applyNumberFormat="1" applyFont="1" applyBorder="1" applyAlignment="1">
      <alignment horizontal="right" vertical="center"/>
    </xf>
    <xf numFmtId="224" fontId="25" fillId="0" borderId="0" xfId="0" applyNumberFormat="1" applyFont="1" applyAlignment="1">
      <alignment horizontal="right" vertical="center"/>
    </xf>
    <xf numFmtId="224" fontId="25" fillId="0" borderId="66" xfId="0" applyNumberFormat="1" applyFont="1" applyBorder="1" applyAlignment="1">
      <alignment horizontal="right" vertical="center"/>
    </xf>
    <xf numFmtId="269" fontId="13" fillId="0" borderId="0" xfId="0" applyNumberFormat="1" applyFont="1" applyAlignment="1"/>
    <xf numFmtId="269" fontId="0" fillId="0" borderId="0" xfId="0" applyNumberFormat="1" applyFont="1"/>
    <xf numFmtId="269" fontId="13" fillId="0" borderId="0" xfId="0" applyNumberFormat="1" applyFont="1"/>
    <xf numFmtId="224" fontId="6" fillId="0" borderId="0" xfId="0" applyNumberFormat="1" applyFont="1" applyBorder="1" applyAlignment="1">
      <alignment horizontal="right" vertical="center"/>
    </xf>
    <xf numFmtId="224" fontId="15" fillId="0" borderId="0" xfId="0" applyNumberFormat="1" applyFont="1" applyBorder="1" applyAlignment="1">
      <alignment horizontal="right" vertical="center"/>
    </xf>
    <xf numFmtId="224" fontId="159" fillId="0" borderId="0" xfId="0" applyNumberFormat="1" applyFont="1" applyBorder="1" applyAlignment="1">
      <alignment horizontal="right" vertical="center"/>
    </xf>
    <xf numFmtId="224" fontId="25" fillId="0" borderId="0" xfId="0" applyNumberFormat="1" applyFont="1" applyBorder="1" applyAlignment="1">
      <alignment horizontal="right" vertical="center"/>
    </xf>
    <xf numFmtId="224" fontId="161" fillId="0" borderId="0" xfId="0" applyNumberFormat="1" applyFont="1" applyBorder="1" applyAlignment="1">
      <alignment horizontal="right" vertical="center"/>
    </xf>
    <xf numFmtId="165" fontId="15" fillId="0" borderId="0" xfId="0" applyNumberFormat="1" applyFont="1" applyBorder="1" applyAlignment="1">
      <alignment horizontal="right" vertical="center"/>
    </xf>
    <xf numFmtId="269" fontId="15" fillId="0" borderId="0" xfId="0" applyNumberFormat="1" applyFont="1" applyBorder="1" applyAlignment="1">
      <alignment horizontal="right" vertical="center"/>
    </xf>
    <xf numFmtId="269" fontId="36" fillId="0" borderId="0" xfId="0" applyNumberFormat="1" applyFont="1" applyBorder="1" applyAlignment="1">
      <alignment horizontal="right" vertical="center"/>
    </xf>
    <xf numFmtId="229" fontId="13" fillId="0" borderId="0" xfId="0" applyNumberFormat="1" applyFont="1" applyAlignment="1"/>
    <xf numFmtId="229" fontId="13" fillId="0" borderId="66" xfId="0" applyNumberFormat="1" applyFont="1" applyBorder="1" applyAlignment="1">
      <alignment horizontal="right" vertical="center"/>
    </xf>
    <xf numFmtId="225" fontId="0" fillId="0" borderId="0" xfId="0" applyNumberFormat="1" applyAlignment="1"/>
    <xf numFmtId="225" fontId="40" fillId="0" borderId="0" xfId="0" applyNumberFormat="1" applyFont="1" applyFill="1" applyBorder="1" applyAlignment="1">
      <alignment horizontal="right" vertical="center"/>
    </xf>
    <xf numFmtId="225" fontId="0" fillId="0" borderId="0" xfId="0" applyNumberFormat="1" applyFont="1"/>
    <xf numFmtId="225" fontId="25" fillId="0" borderId="0" xfId="0" applyNumberFormat="1" applyFont="1" applyBorder="1" applyAlignment="1">
      <alignment horizontal="right" vertical="center"/>
    </xf>
    <xf numFmtId="225" fontId="162" fillId="0" borderId="0" xfId="0" applyNumberFormat="1" applyFont="1" applyFill="1" applyBorder="1" applyAlignment="1">
      <alignment horizontal="right" vertical="center"/>
    </xf>
    <xf numFmtId="225" fontId="17" fillId="0" borderId="0" xfId="0" applyNumberFormat="1" applyFont="1" applyBorder="1" applyAlignment="1">
      <alignment horizontal="right" vertical="center"/>
    </xf>
    <xf numFmtId="301" fontId="22" fillId="0" borderId="0" xfId="0" applyNumberFormat="1" applyFont="1" applyAlignment="1">
      <alignment horizontal="left" vertical="center" indent="1"/>
    </xf>
    <xf numFmtId="301" fontId="0" fillId="0" borderId="0" xfId="0" applyNumberFormat="1" applyFont="1" applyBorder="1" applyAlignment="1">
      <alignment horizontal="left" vertical="center" indent="1"/>
    </xf>
    <xf numFmtId="301" fontId="13" fillId="2" borderId="8" xfId="0" applyNumberFormat="1" applyFont="1" applyFill="1" applyBorder="1" applyAlignment="1">
      <alignment horizontal="left" vertical="center"/>
    </xf>
    <xf numFmtId="301" fontId="13" fillId="2" borderId="8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229" fontId="22" fillId="0" borderId="1" xfId="0" applyNumberFormat="1" applyFont="1" applyBorder="1" applyAlignment="1">
      <alignment vertical="center"/>
    </xf>
    <xf numFmtId="229" fontId="22" fillId="0" borderId="4" xfId="0" applyNumberFormat="1" applyFont="1" applyBorder="1" applyAlignment="1">
      <alignment vertical="center"/>
    </xf>
    <xf numFmtId="301" fontId="13" fillId="2" borderId="8" xfId="0" applyNumberFormat="1" applyFont="1" applyFill="1" applyBorder="1" applyAlignment="1">
      <alignment horizontal="right" vertical="center"/>
    </xf>
    <xf numFmtId="301" fontId="13" fillId="2" borderId="0" xfId="0" applyNumberFormat="1" applyFont="1" applyFill="1" applyBorder="1" applyAlignment="1">
      <alignment horizontal="right" vertical="center"/>
    </xf>
    <xf numFmtId="301" fontId="21" fillId="0" borderId="0" xfId="0" applyNumberFormat="1" applyFont="1" applyAlignment="1">
      <alignment vertical="center"/>
    </xf>
    <xf numFmtId="328" fontId="0" fillId="0" borderId="0" xfId="0" applyNumberFormat="1" applyFont="1"/>
    <xf numFmtId="328" fontId="25" fillId="0" borderId="0" xfId="0" applyNumberFormat="1" applyFont="1" applyBorder="1" applyAlignment="1">
      <alignment vertical="center"/>
    </xf>
    <xf numFmtId="328" fontId="0" fillId="0" borderId="0" xfId="0" applyNumberFormat="1" applyFont="1" applyAlignment="1">
      <alignment vertical="center"/>
    </xf>
    <xf numFmtId="328" fontId="21" fillId="0" borderId="0" xfId="0" applyNumberFormat="1" applyFont="1" applyBorder="1" applyAlignment="1">
      <alignment vertical="center"/>
    </xf>
    <xf numFmtId="328" fontId="13" fillId="0" borderId="0" xfId="0" applyNumberFormat="1" applyFont="1" applyAlignment="1">
      <alignment vertical="center"/>
    </xf>
    <xf numFmtId="301" fontId="21" fillId="0" borderId="1" xfId="0" applyNumberFormat="1" applyFont="1" applyBorder="1" applyAlignment="1">
      <alignment vertical="center"/>
    </xf>
    <xf numFmtId="269" fontId="159" fillId="0" borderId="0" xfId="0" applyNumberFormat="1" applyFont="1" applyBorder="1" applyAlignment="1">
      <alignment vertical="center"/>
    </xf>
    <xf numFmtId="328" fontId="159" fillId="0" borderId="0" xfId="0" applyNumberFormat="1" applyFont="1" applyBorder="1" applyAlignment="1">
      <alignment vertical="center"/>
    </xf>
    <xf numFmtId="208" fontId="6" fillId="0" borderId="0" xfId="0" applyNumberFormat="1" applyFont="1" applyBorder="1" applyAlignment="1">
      <alignment horizontal="left" indent="1"/>
    </xf>
    <xf numFmtId="208" fontId="22" fillId="0" borderId="0" xfId="0" applyNumberFormat="1" applyFont="1" applyBorder="1" applyAlignment="1">
      <alignment vertical="center"/>
    </xf>
    <xf numFmtId="8" fontId="6" fillId="0" borderId="0" xfId="0" applyNumberFormat="1" applyFont="1" applyBorder="1" applyAlignment="1">
      <alignment horizontal="left" indent="1"/>
    </xf>
    <xf numFmtId="8" fontId="35" fillId="0" borderId="0" xfId="0" applyNumberFormat="1" applyFont="1" applyBorder="1" applyAlignment="1">
      <alignment vertical="center"/>
    </xf>
    <xf numFmtId="8" fontId="10" fillId="0" borderId="0" xfId="0" applyNumberFormat="1" applyFont="1" applyBorder="1" applyAlignment="1">
      <alignment horizontal="left" indent="1"/>
    </xf>
    <xf numFmtId="329" fontId="6" fillId="0" borderId="0" xfId="0" applyNumberFormat="1" applyFont="1" applyBorder="1" applyAlignment="1">
      <alignment horizontal="left" indent="1"/>
    </xf>
    <xf numFmtId="329" fontId="22" fillId="0" borderId="0" xfId="0" applyNumberFormat="1" applyFont="1" applyBorder="1" applyAlignment="1">
      <alignment vertical="center"/>
    </xf>
    <xf numFmtId="277" fontId="6" fillId="0" borderId="0" xfId="0" applyNumberFormat="1" applyFont="1" applyBorder="1" applyAlignment="1">
      <alignment horizontal="left" indent="1"/>
    </xf>
    <xf numFmtId="277" fontId="22" fillId="0" borderId="0" xfId="0" applyNumberFormat="1" applyFont="1" applyBorder="1" applyAlignment="1">
      <alignment horizontal="center" vertical="center"/>
    </xf>
    <xf numFmtId="328" fontId="6" fillId="0" borderId="0" xfId="0" applyNumberFormat="1" applyFont="1" applyBorder="1" applyAlignment="1">
      <alignment horizontal="left" indent="1"/>
    </xf>
    <xf numFmtId="328" fontId="22" fillId="0" borderId="0" xfId="0" applyNumberFormat="1" applyFont="1" applyBorder="1" applyAlignment="1">
      <alignment horizontal="center" vertical="center"/>
    </xf>
    <xf numFmtId="208" fontId="0" fillId="0" borderId="6" xfId="0" applyNumberFormat="1" applyFont="1" applyBorder="1" applyAlignment="1">
      <alignment horizontal="right" vertical="center"/>
    </xf>
    <xf numFmtId="225" fontId="0" fillId="0" borderId="6" xfId="0" applyNumberFormat="1" applyFont="1" applyBorder="1" applyAlignment="1">
      <alignment horizontal="right" vertical="center"/>
    </xf>
    <xf numFmtId="269" fontId="0" fillId="0" borderId="6" xfId="0" applyNumberFormat="1" applyFont="1" applyBorder="1" applyAlignment="1">
      <alignment horizontal="right" vertical="center"/>
    </xf>
    <xf numFmtId="269" fontId="0" fillId="0" borderId="6" xfId="495" applyNumberFormat="1" applyFont="1" applyBorder="1" applyAlignment="1">
      <alignment horizontal="right" vertical="center"/>
    </xf>
    <xf numFmtId="269" fontId="35" fillId="0" borderId="6" xfId="0" applyNumberFormat="1" applyFont="1" applyBorder="1" applyAlignment="1">
      <alignment horizontal="right" vertical="center"/>
    </xf>
    <xf numFmtId="208" fontId="18" fillId="0" borderId="6" xfId="0" applyNumberFormat="1" applyFont="1" applyBorder="1" applyAlignment="1">
      <alignment horizontal="right" vertical="center"/>
    </xf>
    <xf numFmtId="6" fontId="6" fillId="0" borderId="6" xfId="0" applyNumberFormat="1" applyFont="1" applyBorder="1" applyAlignment="1">
      <alignment horizontal="right" vertical="center"/>
    </xf>
    <xf numFmtId="208" fontId="14" fillId="0" borderId="6" xfId="494" applyNumberFormat="1" applyFont="1" applyBorder="1" applyAlignment="1">
      <alignment horizontal="right" vertical="center"/>
    </xf>
    <xf numFmtId="301" fontId="0" fillId="0" borderId="6" xfId="495" applyNumberFormat="1" applyFont="1" applyBorder="1" applyAlignment="1">
      <alignment horizontal="right" vertical="center"/>
    </xf>
    <xf numFmtId="44" fontId="6" fillId="0" borderId="6" xfId="0" applyNumberFormat="1" applyFont="1" applyBorder="1" applyAlignment="1">
      <alignment horizontal="right" vertical="center"/>
    </xf>
    <xf numFmtId="269" fontId="175" fillId="0" borderId="6" xfId="495" applyNumberFormat="1" applyFont="1" applyBorder="1" applyAlignment="1">
      <alignment horizontal="right" vertical="center"/>
    </xf>
    <xf numFmtId="3" fontId="0" fillId="0" borderId="6" xfId="495" applyNumberFormat="1" applyFont="1" applyBorder="1" applyAlignment="1">
      <alignment horizontal="right" vertical="center"/>
    </xf>
    <xf numFmtId="208" fontId="0" fillId="0" borderId="7" xfId="0" applyNumberFormat="1" applyFont="1" applyBorder="1" applyAlignment="1">
      <alignment horizontal="right" vertical="center"/>
    </xf>
    <xf numFmtId="225" fontId="0" fillId="0" borderId="7" xfId="0" applyNumberFormat="1" applyFont="1" applyBorder="1" applyAlignment="1">
      <alignment horizontal="right" vertical="center"/>
    </xf>
    <xf numFmtId="269" fontId="0" fillId="0" borderId="7" xfId="0" applyNumberFormat="1" applyFont="1" applyBorder="1" applyAlignment="1">
      <alignment horizontal="right" vertical="center"/>
    </xf>
    <xf numFmtId="269" fontId="0" fillId="0" borderId="7" xfId="495" applyNumberFormat="1" applyFont="1" applyBorder="1" applyAlignment="1">
      <alignment horizontal="right" vertical="center"/>
    </xf>
    <xf numFmtId="269" fontId="35" fillId="0" borderId="7" xfId="0" applyNumberFormat="1" applyFont="1" applyBorder="1" applyAlignment="1">
      <alignment horizontal="right" vertical="center"/>
    </xf>
    <xf numFmtId="208" fontId="18" fillId="0" borderId="7" xfId="0" applyNumberFormat="1" applyFont="1" applyBorder="1" applyAlignment="1">
      <alignment horizontal="right" vertical="center"/>
    </xf>
    <xf numFmtId="6" fontId="6" fillId="0" borderId="7" xfId="0" applyNumberFormat="1" applyFont="1" applyBorder="1" applyAlignment="1">
      <alignment horizontal="right" vertical="center"/>
    </xf>
    <xf numFmtId="208" fontId="14" fillId="0" borderId="7" xfId="494" applyNumberFormat="1" applyFont="1" applyBorder="1" applyAlignment="1">
      <alignment horizontal="right" vertical="center"/>
    </xf>
    <xf numFmtId="301" fontId="0" fillId="0" borderId="7" xfId="495" applyNumberFormat="1" applyFont="1" applyBorder="1" applyAlignment="1">
      <alignment horizontal="right" vertical="center"/>
    </xf>
    <xf numFmtId="44" fontId="6" fillId="0" borderId="7" xfId="0" applyNumberFormat="1" applyFont="1" applyBorder="1" applyAlignment="1">
      <alignment horizontal="right" vertical="center"/>
    </xf>
    <xf numFmtId="269" fontId="175" fillId="0" borderId="7" xfId="495" applyNumberFormat="1" applyFont="1" applyBorder="1" applyAlignment="1">
      <alignment horizontal="right" vertical="center"/>
    </xf>
    <xf numFmtId="3" fontId="0" fillId="0" borderId="7" xfId="495" applyNumberFormat="1" applyFont="1" applyBorder="1" applyAlignment="1">
      <alignment horizontal="right" vertical="center"/>
    </xf>
    <xf numFmtId="229" fontId="10" fillId="2" borderId="71" xfId="0" applyNumberFormat="1" applyFont="1" applyFill="1" applyBorder="1" applyAlignment="1">
      <alignment horizontal="right" vertical="center"/>
    </xf>
    <xf numFmtId="229" fontId="10" fillId="2" borderId="72" xfId="0" applyNumberFormat="1" applyFont="1" applyFill="1" applyBorder="1" applyAlignment="1">
      <alignment horizontal="right" vertical="center"/>
    </xf>
    <xf numFmtId="229" fontId="10" fillId="2" borderId="73" xfId="0" applyNumberFormat="1" applyFont="1" applyFill="1" applyBorder="1" applyAlignment="1">
      <alignment horizontal="right" vertical="center"/>
    </xf>
    <xf numFmtId="330" fontId="10" fillId="2" borderId="76" xfId="0" applyNumberFormat="1" applyFont="1" applyFill="1" applyBorder="1" applyAlignment="1">
      <alignment horizontal="right" vertical="center"/>
    </xf>
    <xf numFmtId="330" fontId="10" fillId="2" borderId="8" xfId="0" applyNumberFormat="1" applyFont="1" applyFill="1" applyBorder="1" applyAlignment="1">
      <alignment horizontal="right" vertical="center"/>
    </xf>
    <xf numFmtId="330" fontId="10" fillId="2" borderId="77" xfId="0" applyNumberFormat="1" applyFont="1" applyFill="1" applyBorder="1" applyAlignment="1">
      <alignment horizontal="right" vertical="center"/>
    </xf>
    <xf numFmtId="225" fontId="6" fillId="0" borderId="7" xfId="0" applyNumberFormat="1" applyFont="1" applyBorder="1" applyAlignment="1">
      <alignment horizontal="right" vertical="center"/>
    </xf>
    <xf numFmtId="269" fontId="6" fillId="0" borderId="7" xfId="0" applyNumberFormat="1" applyFont="1" applyBorder="1" applyAlignment="1">
      <alignment horizontal="right" vertical="center"/>
    </xf>
    <xf numFmtId="269" fontId="159" fillId="0" borderId="7" xfId="0" applyNumberFormat="1" applyFont="1" applyBorder="1" applyAlignment="1">
      <alignment horizontal="right" vertical="center"/>
    </xf>
    <xf numFmtId="301" fontId="159" fillId="0" borderId="7" xfId="0" applyNumberFormat="1" applyFont="1" applyBorder="1" applyAlignment="1">
      <alignment horizontal="right" vertical="center"/>
    </xf>
    <xf numFmtId="229" fontId="13" fillId="0" borderId="76" xfId="0" applyNumberFormat="1" applyFont="1" applyBorder="1" applyAlignment="1">
      <alignment horizontal="right" vertical="center"/>
    </xf>
    <xf numFmtId="229" fontId="13" fillId="0" borderId="8" xfId="0" applyNumberFormat="1" applyFont="1" applyBorder="1" applyAlignment="1">
      <alignment horizontal="right" vertical="center"/>
    </xf>
    <xf numFmtId="229" fontId="13" fillId="0" borderId="77" xfId="0" applyNumberFormat="1" applyFont="1" applyBorder="1" applyAlignment="1">
      <alignment horizontal="right" vertical="center"/>
    </xf>
    <xf numFmtId="229" fontId="13" fillId="2" borderId="76" xfId="0" applyNumberFormat="1" applyFont="1" applyFill="1" applyBorder="1" applyAlignment="1">
      <alignment horizontal="right" vertical="center"/>
    </xf>
    <xf numFmtId="229" fontId="13" fillId="2" borderId="77" xfId="0" applyNumberFormat="1" applyFont="1" applyFill="1" applyBorder="1" applyAlignment="1">
      <alignment horizontal="right" vertical="center"/>
    </xf>
    <xf numFmtId="330" fontId="13" fillId="0" borderId="0" xfId="0" applyNumberFormat="1" applyFont="1" applyBorder="1" applyAlignment="1">
      <alignment horizontal="right" vertical="center"/>
    </xf>
    <xf numFmtId="330" fontId="13" fillId="0" borderId="0" xfId="0" applyNumberFormat="1" applyFont="1" applyAlignment="1">
      <alignment horizontal="right" vertical="center"/>
    </xf>
    <xf numFmtId="330" fontId="13" fillId="0" borderId="0" xfId="0" applyNumberFormat="1" applyFont="1" applyAlignment="1">
      <alignment vertical="center"/>
    </xf>
    <xf numFmtId="330" fontId="10" fillId="0" borderId="76" xfId="0" applyNumberFormat="1" applyFont="1" applyBorder="1" applyAlignment="1">
      <alignment horizontal="right" vertical="center"/>
    </xf>
    <xf numFmtId="330" fontId="10" fillId="0" borderId="8" xfId="0" applyNumberFormat="1" applyFont="1" applyBorder="1" applyAlignment="1">
      <alignment horizontal="right" vertical="center"/>
    </xf>
    <xf numFmtId="330" fontId="10" fillId="0" borderId="77" xfId="0" applyNumberFormat="1" applyFont="1" applyBorder="1" applyAlignment="1">
      <alignment horizontal="right" vertical="center"/>
    </xf>
    <xf numFmtId="44" fontId="10" fillId="0" borderId="76" xfId="0" applyNumberFormat="1" applyFont="1" applyBorder="1" applyAlignment="1">
      <alignment horizontal="right" vertical="center"/>
    </xf>
    <xf numFmtId="44" fontId="10" fillId="0" borderId="8" xfId="0" applyNumberFormat="1" applyFont="1" applyBorder="1" applyAlignment="1">
      <alignment horizontal="right" vertical="center"/>
    </xf>
    <xf numFmtId="44" fontId="10" fillId="0" borderId="77" xfId="0" applyNumberFormat="1" applyFont="1" applyBorder="1" applyAlignment="1">
      <alignment horizontal="right" vertical="center"/>
    </xf>
    <xf numFmtId="0" fontId="6" fillId="0" borderId="0" xfId="9" applyFont="1"/>
    <xf numFmtId="0" fontId="0" fillId="76" borderId="0" xfId="0" applyFont="1" applyFill="1" applyBorder="1" applyAlignment="1">
      <alignment horizontal="right"/>
    </xf>
    <xf numFmtId="0" fontId="0" fillId="76" borderId="0" xfId="0" applyFont="1" applyFill="1" applyAlignment="1">
      <alignment horizontal="right"/>
    </xf>
    <xf numFmtId="49" fontId="6" fillId="0" borderId="0" xfId="9" applyNumberFormat="1" applyFont="1" applyAlignment="1">
      <alignment horizontal="left" vertical="top" wrapText="1"/>
    </xf>
    <xf numFmtId="340" fontId="6" fillId="0" borderId="0" xfId="9" applyNumberFormat="1" applyFont="1" applyAlignment="1">
      <alignment horizontal="center" vertical="top"/>
    </xf>
    <xf numFmtId="0" fontId="6" fillId="76" borderId="0" xfId="9" applyFont="1" applyFill="1"/>
    <xf numFmtId="0" fontId="181" fillId="76" borderId="0" xfId="9" applyFont="1" applyFill="1" applyBorder="1" applyAlignment="1"/>
    <xf numFmtId="0" fontId="178" fillId="76" borderId="0" xfId="507" applyFont="1" applyFill="1" applyAlignment="1"/>
    <xf numFmtId="0" fontId="0" fillId="76" borderId="0" xfId="0" applyFont="1" applyFill="1" applyAlignment="1">
      <alignment vertical="center"/>
    </xf>
    <xf numFmtId="3" fontId="6" fillId="0" borderId="0" xfId="9" applyNumberFormat="1" applyFont="1" applyAlignment="1">
      <alignment horizontal="center" vertical="top" wrapText="1"/>
    </xf>
    <xf numFmtId="329" fontId="6" fillId="0" borderId="0" xfId="9" applyNumberFormat="1" applyFont="1" applyAlignment="1">
      <alignment horizontal="center" vertical="top" wrapText="1"/>
    </xf>
    <xf numFmtId="37" fontId="6" fillId="0" borderId="0" xfId="9" applyNumberFormat="1" applyFont="1" applyAlignment="1">
      <alignment horizontal="center" vertical="top" wrapText="1"/>
    </xf>
    <xf numFmtId="208" fontId="6" fillId="0" borderId="0" xfId="9" applyNumberFormat="1" applyFont="1" applyAlignment="1">
      <alignment horizontal="center" vertical="top" wrapText="1"/>
    </xf>
    <xf numFmtId="0" fontId="13" fillId="0" borderId="0" xfId="0" applyFont="1" applyBorder="1"/>
    <xf numFmtId="0" fontId="316" fillId="76" borderId="0" xfId="0" applyFont="1" applyFill="1" applyBorder="1" applyAlignment="1">
      <alignment horizontal="right" vertical="center" wrapText="1"/>
    </xf>
    <xf numFmtId="208" fontId="14" fillId="76" borderId="0" xfId="1188" applyNumberFormat="1" applyFont="1" applyFill="1" applyBorder="1" applyAlignment="1">
      <alignment horizontal="right"/>
    </xf>
    <xf numFmtId="44" fontId="316" fillId="76" borderId="0" xfId="0" applyNumberFormat="1" applyFont="1" applyFill="1" applyBorder="1" applyAlignment="1">
      <alignment horizontal="right" vertical="center" wrapText="1"/>
    </xf>
    <xf numFmtId="208" fontId="316" fillId="76" borderId="0" xfId="1188" applyNumberFormat="1" applyFont="1" applyFill="1" applyBorder="1" applyAlignment="1">
      <alignment horizontal="right" vertical="center" wrapText="1"/>
    </xf>
    <xf numFmtId="208" fontId="319" fillId="76" borderId="0" xfId="1188" applyNumberFormat="1" applyFont="1" applyFill="1" applyBorder="1" applyAlignment="1">
      <alignment horizontal="right" vertical="center" wrapText="1"/>
    </xf>
    <xf numFmtId="8" fontId="319" fillId="76" borderId="0" xfId="1188" applyNumberFormat="1" applyFont="1" applyFill="1" applyBorder="1" applyAlignment="1">
      <alignment horizontal="right" vertical="center" wrapText="1"/>
    </xf>
    <xf numFmtId="0" fontId="13" fillId="76" borderId="0" xfId="0" applyFont="1" applyFill="1" applyBorder="1"/>
    <xf numFmtId="2" fontId="14" fillId="76" borderId="0" xfId="1188" applyNumberFormat="1" applyFont="1" applyFill="1" applyBorder="1" applyAlignment="1">
      <alignment horizontal="right"/>
    </xf>
    <xf numFmtId="0" fontId="318" fillId="76" borderId="0" xfId="1188" applyNumberFormat="1" applyFont="1" applyFill="1" applyBorder="1" applyAlignment="1">
      <alignment horizontal="right" vertical="center" wrapText="1"/>
    </xf>
    <xf numFmtId="0" fontId="321" fillId="76" borderId="0" xfId="1188" applyNumberFormat="1" applyFont="1" applyFill="1" applyBorder="1" applyAlignment="1">
      <alignment horizontal="right"/>
    </xf>
    <xf numFmtId="0" fontId="0" fillId="76" borderId="0" xfId="0" applyFont="1" applyFill="1"/>
    <xf numFmtId="0" fontId="0" fillId="76" borderId="0" xfId="0" applyFont="1" applyFill="1" applyBorder="1"/>
    <xf numFmtId="6" fontId="0" fillId="76" borderId="0" xfId="0" applyNumberFormat="1" applyFont="1" applyFill="1" applyBorder="1"/>
    <xf numFmtId="44" fontId="0" fillId="76" borderId="0" xfId="0" applyNumberFormat="1" applyFont="1" applyFill="1" applyBorder="1"/>
    <xf numFmtId="6" fontId="13" fillId="76" borderId="0" xfId="0" applyNumberFormat="1" applyFont="1" applyFill="1" applyBorder="1"/>
    <xf numFmtId="301" fontId="0" fillId="76" borderId="0" xfId="0" applyNumberFormat="1" applyFont="1" applyFill="1"/>
    <xf numFmtId="301" fontId="0" fillId="76" borderId="0" xfId="0" applyNumberFormat="1" applyFont="1" applyFill="1" applyBorder="1"/>
    <xf numFmtId="301" fontId="0" fillId="76" borderId="0" xfId="0" applyNumberFormat="1" applyFont="1" applyFill="1" applyBorder="1" applyAlignment="1">
      <alignment horizontal="right"/>
    </xf>
    <xf numFmtId="301" fontId="175" fillId="76" borderId="0" xfId="0" applyNumberFormat="1" applyFont="1" applyFill="1" applyBorder="1" applyAlignment="1">
      <alignment horizontal="right"/>
    </xf>
    <xf numFmtId="301" fontId="14" fillId="76" borderId="0" xfId="0" applyNumberFormat="1" applyFont="1" applyFill="1" applyBorder="1"/>
    <xf numFmtId="301" fontId="316" fillId="76" borderId="0" xfId="0" applyNumberFormat="1" applyFont="1" applyFill="1" applyBorder="1" applyAlignment="1">
      <alignment horizontal="right" vertical="center" wrapText="1"/>
    </xf>
    <xf numFmtId="301" fontId="14" fillId="76" borderId="0" xfId="1188" applyNumberFormat="1" applyFont="1" applyFill="1" applyBorder="1" applyAlignment="1">
      <alignment horizontal="right"/>
    </xf>
    <xf numFmtId="301" fontId="317" fillId="76" borderId="0" xfId="0" applyNumberFormat="1" applyFont="1" applyFill="1" applyBorder="1" applyAlignment="1">
      <alignment horizontal="right" vertical="center" wrapText="1"/>
    </xf>
    <xf numFmtId="301" fontId="40" fillId="76" borderId="0" xfId="0" applyNumberFormat="1" applyFont="1" applyFill="1" applyBorder="1" applyAlignment="1">
      <alignment horizontal="right" vertical="center" wrapText="1"/>
    </xf>
    <xf numFmtId="9" fontId="0" fillId="76" borderId="0" xfId="0" applyNumberFormat="1" applyFont="1" applyFill="1"/>
    <xf numFmtId="229" fontId="0" fillId="76" borderId="0" xfId="0" applyNumberFormat="1" applyFont="1" applyFill="1"/>
    <xf numFmtId="229" fontId="0" fillId="76" borderId="0" xfId="0" applyNumberFormat="1" applyFont="1" applyFill="1" applyBorder="1" applyAlignment="1">
      <alignment horizontal="right"/>
    </xf>
    <xf numFmtId="229" fontId="13" fillId="2" borderId="8" xfId="0" applyNumberFormat="1" applyFont="1" applyFill="1" applyBorder="1" applyAlignment="1">
      <alignment horizontal="center" vertical="center"/>
    </xf>
    <xf numFmtId="229" fontId="13" fillId="2" borderId="77" xfId="0" applyNumberFormat="1" applyFont="1" applyFill="1" applyBorder="1" applyAlignment="1">
      <alignment horizontal="center" vertical="center"/>
    </xf>
    <xf numFmtId="301" fontId="0" fillId="76" borderId="0" xfId="0" applyNumberFormat="1" applyFont="1" applyFill="1" applyBorder="1" applyAlignment="1">
      <alignment horizontal="left" indent="2"/>
    </xf>
    <xf numFmtId="301" fontId="0" fillId="76" borderId="0" xfId="0" applyNumberFormat="1" applyFont="1" applyFill="1" applyBorder="1" applyAlignment="1">
      <alignment horizontal="left" indent="1"/>
    </xf>
    <xf numFmtId="269" fontId="159" fillId="0" borderId="6" xfId="0" applyNumberFormat="1" applyFont="1" applyBorder="1" applyAlignment="1">
      <alignment vertical="center"/>
    </xf>
    <xf numFmtId="269" fontId="0" fillId="0" borderId="6" xfId="0" applyNumberFormat="1" applyFont="1" applyBorder="1" applyAlignment="1">
      <alignment vertical="center"/>
    </xf>
    <xf numFmtId="269" fontId="175" fillId="0" borderId="6" xfId="0" applyNumberFormat="1" applyFont="1" applyBorder="1" applyAlignment="1">
      <alignment vertical="center"/>
    </xf>
    <xf numFmtId="165" fontId="25" fillId="0" borderId="6" xfId="0" applyNumberFormat="1" applyFont="1" applyBorder="1" applyAlignment="1">
      <alignment vertical="center"/>
    </xf>
    <xf numFmtId="0" fontId="0" fillId="0" borderId="6" xfId="0" applyFont="1" applyBorder="1" applyAlignment="1">
      <alignment vertical="center"/>
    </xf>
    <xf numFmtId="301" fontId="159" fillId="0" borderId="6" xfId="0" applyNumberFormat="1" applyFont="1" applyBorder="1" applyAlignment="1">
      <alignment vertical="center"/>
    </xf>
    <xf numFmtId="8" fontId="6" fillId="0" borderId="6" xfId="0" applyNumberFormat="1" applyFont="1" applyBorder="1" applyAlignment="1">
      <alignment vertical="center"/>
    </xf>
    <xf numFmtId="328" fontId="0" fillId="0" borderId="6" xfId="0" applyNumberFormat="1" applyFont="1" applyBorder="1" applyAlignment="1">
      <alignment vertical="center"/>
    </xf>
    <xf numFmtId="208" fontId="14" fillId="0" borderId="6" xfId="0" applyNumberFormat="1" applyFont="1" applyBorder="1" applyAlignment="1">
      <alignment vertical="center"/>
    </xf>
    <xf numFmtId="269" fontId="159" fillId="0" borderId="7" xfId="0" applyNumberFormat="1" applyFont="1" applyBorder="1" applyAlignment="1">
      <alignment vertical="center"/>
    </xf>
    <xf numFmtId="269" fontId="40" fillId="0" borderId="7" xfId="0" applyNumberFormat="1" applyFont="1" applyBorder="1" applyAlignment="1">
      <alignment vertical="center"/>
    </xf>
    <xf numFmtId="269" fontId="175" fillId="0" borderId="7" xfId="0" applyNumberFormat="1" applyFont="1" applyBorder="1" applyAlignment="1">
      <alignment vertical="center"/>
    </xf>
    <xf numFmtId="165" fontId="25" fillId="0" borderId="7" xfId="0" applyNumberFormat="1" applyFont="1" applyBorder="1" applyAlignment="1">
      <alignment vertical="center"/>
    </xf>
    <xf numFmtId="0" fontId="0" fillId="0" borderId="7" xfId="0" applyFont="1" applyBorder="1" applyAlignment="1">
      <alignment vertical="center"/>
    </xf>
    <xf numFmtId="301" fontId="159" fillId="0" borderId="7" xfId="0" applyNumberFormat="1" applyFont="1" applyBorder="1" applyAlignment="1">
      <alignment vertical="center"/>
    </xf>
    <xf numFmtId="8" fontId="6" fillId="0" borderId="7" xfId="0" applyNumberFormat="1" applyFont="1" applyBorder="1" applyAlignment="1">
      <alignment vertical="center"/>
    </xf>
    <xf numFmtId="328" fontId="0" fillId="0" borderId="7" xfId="0" applyNumberFormat="1" applyFont="1" applyBorder="1" applyAlignment="1">
      <alignment vertical="center"/>
    </xf>
    <xf numFmtId="329" fontId="0" fillId="0" borderId="7" xfId="0" applyNumberFormat="1" applyFont="1" applyBorder="1" applyAlignment="1">
      <alignment vertical="center"/>
    </xf>
    <xf numFmtId="208" fontId="14" fillId="0" borderId="7" xfId="0" applyNumberFormat="1" applyFont="1" applyBorder="1" applyAlignment="1">
      <alignment vertical="center"/>
    </xf>
    <xf numFmtId="208" fontId="14" fillId="0" borderId="5" xfId="0" applyNumberFormat="1" applyFont="1" applyBorder="1" applyAlignment="1">
      <alignment vertical="center"/>
    </xf>
    <xf numFmtId="208" fontId="14" fillId="0" borderId="75" xfId="0" applyNumberFormat="1" applyFont="1" applyBorder="1" applyAlignment="1">
      <alignment vertical="center"/>
    </xf>
    <xf numFmtId="301" fontId="10" fillId="0" borderId="71" xfId="0" applyNumberFormat="1" applyFont="1" applyBorder="1" applyAlignment="1">
      <alignment vertical="center"/>
    </xf>
    <xf numFmtId="301" fontId="10" fillId="0" borderId="72" xfId="0" applyNumberFormat="1" applyFont="1" applyBorder="1" applyAlignment="1">
      <alignment vertical="center"/>
    </xf>
    <xf numFmtId="301" fontId="10" fillId="0" borderId="73" xfId="0" applyNumberFormat="1" applyFont="1" applyBorder="1" applyAlignment="1">
      <alignment vertical="center"/>
    </xf>
    <xf numFmtId="328" fontId="10" fillId="0" borderId="76" xfId="0" applyNumberFormat="1" applyFont="1" applyBorder="1" applyAlignment="1">
      <alignment vertical="center"/>
    </xf>
    <xf numFmtId="328" fontId="10" fillId="0" borderId="8" xfId="0" applyNumberFormat="1" applyFont="1" applyBorder="1" applyAlignment="1">
      <alignment vertical="center"/>
    </xf>
    <xf numFmtId="328" fontId="10" fillId="0" borderId="77" xfId="0" applyNumberFormat="1" applyFont="1" applyBorder="1" applyAlignment="1">
      <alignment vertical="center"/>
    </xf>
    <xf numFmtId="208" fontId="14" fillId="0" borderId="74" xfId="0" applyNumberFormat="1" applyFont="1" applyBorder="1" applyAlignment="1">
      <alignment vertical="center"/>
    </xf>
    <xf numFmtId="165" fontId="0" fillId="0" borderId="6" xfId="0" applyNumberFormat="1" applyFont="1" applyBorder="1" applyAlignment="1">
      <alignment vertical="center"/>
    </xf>
    <xf numFmtId="165" fontId="15" fillId="0" borderId="6" xfId="0" applyNumberFormat="1" applyFont="1" applyBorder="1" applyAlignment="1">
      <alignment vertical="center"/>
    </xf>
    <xf numFmtId="165" fontId="17" fillId="0" borderId="6" xfId="0" applyNumberFormat="1" applyFont="1" applyBorder="1" applyAlignment="1">
      <alignment vertical="center"/>
    </xf>
    <xf numFmtId="208" fontId="0" fillId="0" borderId="6" xfId="0" applyNumberFormat="1" applyFont="1" applyBorder="1" applyAlignment="1">
      <alignment vertical="center"/>
    </xf>
    <xf numFmtId="8" fontId="0" fillId="0" borderId="6" xfId="0" applyNumberFormat="1" applyFont="1" applyBorder="1" applyAlignment="1">
      <alignment vertical="center"/>
    </xf>
    <xf numFmtId="8" fontId="35" fillId="0" borderId="6" xfId="0" applyNumberFormat="1" applyFont="1" applyBorder="1" applyAlignment="1">
      <alignment vertical="center"/>
    </xf>
    <xf numFmtId="328" fontId="159" fillId="0" borderId="7" xfId="0" applyNumberFormat="1" applyFont="1" applyBorder="1" applyAlignment="1">
      <alignment vertical="center"/>
    </xf>
    <xf numFmtId="328" fontId="15" fillId="0" borderId="7" xfId="0" applyNumberFormat="1" applyFont="1" applyBorder="1" applyAlignment="1">
      <alignment vertical="center"/>
    </xf>
    <xf numFmtId="328" fontId="25" fillId="0" borderId="7" xfId="0" applyNumberFormat="1" applyFont="1" applyBorder="1" applyAlignment="1">
      <alignment vertical="center"/>
    </xf>
    <xf numFmtId="165" fontId="0" fillId="0" borderId="7" xfId="0" applyNumberFormat="1" applyFont="1" applyBorder="1" applyAlignment="1">
      <alignment vertical="center"/>
    </xf>
    <xf numFmtId="165" fontId="17" fillId="0" borderId="7" xfId="0" applyNumberFormat="1" applyFont="1" applyBorder="1" applyAlignment="1">
      <alignment vertical="center"/>
    </xf>
    <xf numFmtId="277" fontId="0" fillId="0" borderId="7" xfId="0" applyNumberFormat="1" applyFont="1" applyBorder="1" applyAlignment="1">
      <alignment vertical="center"/>
    </xf>
    <xf numFmtId="208" fontId="6" fillId="0" borderId="7" xfId="0" applyNumberFormat="1" applyFont="1" applyBorder="1" applyAlignment="1">
      <alignment vertical="center"/>
    </xf>
    <xf numFmtId="8" fontId="0" fillId="0" borderId="7" xfId="0" applyNumberFormat="1" applyFont="1" applyBorder="1" applyAlignment="1">
      <alignment vertical="center"/>
    </xf>
    <xf numFmtId="8" fontId="35" fillId="0" borderId="7" xfId="0" applyNumberFormat="1" applyFont="1" applyBorder="1" applyAlignment="1">
      <alignment vertical="center"/>
    </xf>
    <xf numFmtId="301" fontId="318" fillId="76" borderId="0" xfId="0" applyNumberFormat="1" applyFont="1" applyFill="1" applyBorder="1" applyAlignment="1">
      <alignment horizontal="right" vertical="center" wrapText="1"/>
    </xf>
    <xf numFmtId="229" fontId="13" fillId="76" borderId="0" xfId="0" applyNumberFormat="1" applyFont="1" applyFill="1" applyBorder="1" applyAlignment="1">
      <alignment horizontal="right" vertical="center"/>
    </xf>
    <xf numFmtId="208" fontId="13" fillId="76" borderId="0" xfId="494" applyNumberFormat="1" applyFont="1" applyFill="1"/>
    <xf numFmtId="208" fontId="13" fillId="2" borderId="8" xfId="494" applyNumberFormat="1" applyFont="1" applyFill="1" applyBorder="1" applyAlignment="1">
      <alignment vertical="center"/>
    </xf>
    <xf numFmtId="208" fontId="13" fillId="2" borderId="8" xfId="494" applyNumberFormat="1" applyFont="1" applyFill="1" applyBorder="1" applyAlignment="1">
      <alignment horizontal="right" vertical="center"/>
    </xf>
    <xf numFmtId="208" fontId="13" fillId="2" borderId="77" xfId="494" applyNumberFormat="1" applyFont="1" applyFill="1" applyBorder="1" applyAlignment="1">
      <alignment horizontal="right" vertical="center"/>
    </xf>
    <xf numFmtId="6" fontId="0" fillId="76" borderId="0" xfId="0" applyNumberFormat="1" applyFont="1" applyFill="1" applyBorder="1" applyAlignment="1">
      <alignment horizontal="left" indent="1"/>
    </xf>
    <xf numFmtId="0" fontId="0" fillId="76" borderId="0" xfId="0" applyFont="1" applyFill="1" applyBorder="1" applyAlignment="1">
      <alignment horizontal="left" indent="1"/>
    </xf>
    <xf numFmtId="301" fontId="6" fillId="76" borderId="0" xfId="0" applyNumberFormat="1" applyFont="1" applyFill="1"/>
    <xf numFmtId="190" fontId="320" fillId="76" borderId="0" xfId="1188" applyNumberFormat="1" applyFont="1" applyFill="1" applyBorder="1" applyAlignment="1">
      <alignment horizontal="right" vertical="center" wrapText="1"/>
    </xf>
    <xf numFmtId="208" fontId="316" fillId="76" borderId="7" xfId="1188" applyNumberFormat="1" applyFont="1" applyFill="1" applyBorder="1" applyAlignment="1">
      <alignment horizontal="right" vertical="center" wrapText="1"/>
    </xf>
    <xf numFmtId="2" fontId="0" fillId="76" borderId="0" xfId="0" applyNumberFormat="1" applyFont="1" applyFill="1" applyBorder="1"/>
    <xf numFmtId="277" fontId="6" fillId="76" borderId="0" xfId="0" applyNumberFormat="1" applyFont="1" applyFill="1"/>
    <xf numFmtId="277" fontId="6" fillId="76" borderId="0" xfId="0" applyNumberFormat="1" applyFont="1" applyFill="1" applyBorder="1"/>
    <xf numFmtId="204" fontId="0" fillId="76" borderId="0" xfId="0" applyNumberFormat="1" applyFont="1" applyFill="1" applyAlignment="1">
      <alignment horizontal="right"/>
    </xf>
    <xf numFmtId="301" fontId="13" fillId="76" borderId="0" xfId="0" applyNumberFormat="1" applyFont="1" applyFill="1" applyBorder="1" applyAlignment="1">
      <alignment horizontal="right"/>
    </xf>
    <xf numFmtId="229" fontId="13" fillId="76" borderId="0" xfId="0" applyNumberFormat="1" applyFont="1" applyFill="1" applyBorder="1" applyAlignment="1">
      <alignment horizontal="right"/>
    </xf>
    <xf numFmtId="229" fontId="13" fillId="2" borderId="0" xfId="0" applyNumberFormat="1" applyFont="1" applyFill="1" applyBorder="1" applyAlignment="1">
      <alignment horizontal="center" vertical="center"/>
    </xf>
    <xf numFmtId="229" fontId="13" fillId="2" borderId="76" xfId="0" applyNumberFormat="1" applyFont="1" applyFill="1" applyBorder="1" applyAlignment="1">
      <alignment horizontal="left" vertical="center"/>
    </xf>
    <xf numFmtId="0" fontId="13" fillId="76" borderId="0" xfId="0" applyFont="1" applyFill="1" applyAlignment="1">
      <alignment vertical="center"/>
    </xf>
    <xf numFmtId="208" fontId="13" fillId="2" borderId="76" xfId="494" applyNumberFormat="1" applyFont="1" applyFill="1" applyBorder="1" applyAlignment="1">
      <alignment horizontal="left" indent="1"/>
    </xf>
    <xf numFmtId="0" fontId="13" fillId="76" borderId="6" xfId="0" applyFont="1" applyFill="1" applyBorder="1" applyAlignment="1">
      <alignment horizontal="left" indent="1"/>
    </xf>
    <xf numFmtId="0" fontId="322" fillId="0" borderId="0" xfId="495" applyFont="1"/>
    <xf numFmtId="0" fontId="181" fillId="76" borderId="0" xfId="9" applyFont="1" applyFill="1" applyAlignment="1"/>
    <xf numFmtId="229" fontId="13" fillId="96" borderId="8" xfId="0" applyNumberFormat="1" applyFont="1" applyFill="1" applyBorder="1" applyAlignment="1">
      <alignment horizontal="center" vertical="center"/>
    </xf>
    <xf numFmtId="0" fontId="173" fillId="76" borderId="0" xfId="9" applyFont="1" applyFill="1" applyAlignment="1"/>
    <xf numFmtId="0" fontId="174" fillId="76" borderId="0" xfId="507" applyFont="1" applyFill="1" applyAlignment="1"/>
    <xf numFmtId="0" fontId="10" fillId="76" borderId="76" xfId="507" applyNumberFormat="1" applyFont="1" applyFill="1" applyBorder="1" applyAlignment="1">
      <alignment horizontal="centerContinuous"/>
    </xf>
    <xf numFmtId="0" fontId="174" fillId="76" borderId="77" xfId="507" applyNumberFormat="1" applyFont="1" applyFill="1" applyBorder="1" applyAlignment="1">
      <alignment horizontal="centerContinuous"/>
    </xf>
    <xf numFmtId="0" fontId="173" fillId="76" borderId="77" xfId="507" applyFont="1" applyFill="1" applyBorder="1" applyAlignment="1">
      <alignment horizontal="centerContinuous"/>
    </xf>
    <xf numFmtId="229" fontId="13" fillId="96" borderId="76" xfId="0" applyNumberFormat="1" applyFont="1" applyFill="1" applyBorder="1" applyAlignment="1">
      <alignment horizontal="left" vertical="center"/>
    </xf>
    <xf numFmtId="229" fontId="13" fillId="96" borderId="77" xfId="0" applyNumberFormat="1" applyFont="1" applyFill="1" applyBorder="1" applyAlignment="1">
      <alignment horizontal="center" vertical="center"/>
    </xf>
    <xf numFmtId="0" fontId="6" fillId="76" borderId="0" xfId="9" applyFont="1" applyFill="1" applyAlignment="1">
      <alignment horizontal="center" vertical="center"/>
    </xf>
    <xf numFmtId="0" fontId="21" fillId="76" borderId="0" xfId="9" applyFont="1" applyFill="1" applyAlignment="1">
      <alignment horizontal="left" vertical="center"/>
    </xf>
    <xf numFmtId="8" fontId="22" fillId="76" borderId="0" xfId="9" applyNumberFormat="1" applyFont="1" applyFill="1" applyAlignment="1">
      <alignment horizontal="center" vertical="center" wrapText="1"/>
    </xf>
    <xf numFmtId="3" fontId="22" fillId="76" borderId="0" xfId="9" applyNumberFormat="1" applyFont="1" applyFill="1" applyAlignment="1">
      <alignment horizontal="center" vertical="center" wrapText="1"/>
    </xf>
    <xf numFmtId="341" fontId="22" fillId="76" borderId="0" xfId="9" applyNumberFormat="1" applyFont="1" applyFill="1" applyAlignment="1">
      <alignment horizontal="center" vertical="center" wrapText="1"/>
    </xf>
    <xf numFmtId="342" fontId="22" fillId="76" borderId="0" xfId="9" applyNumberFormat="1" applyFont="1" applyFill="1" applyAlignment="1">
      <alignment horizontal="center" vertical="center" wrapText="1"/>
    </xf>
    <xf numFmtId="0" fontId="22" fillId="76" borderId="0" xfId="9" applyNumberFormat="1" applyFont="1" applyFill="1" applyAlignment="1">
      <alignment horizontal="center" vertical="center" wrapText="1"/>
    </xf>
    <xf numFmtId="0" fontId="6" fillId="76" borderId="0" xfId="9" applyFont="1" applyFill="1" applyAlignment="1">
      <alignment vertical="center"/>
    </xf>
    <xf numFmtId="0" fontId="21" fillId="76" borderId="0" xfId="9" applyFont="1" applyFill="1" applyAlignment="1">
      <alignment vertical="center"/>
    </xf>
    <xf numFmtId="8" fontId="21" fillId="76" borderId="0" xfId="9" applyNumberFormat="1" applyFont="1" applyFill="1" applyAlignment="1">
      <alignment horizontal="center" vertical="center" wrapText="1"/>
    </xf>
    <xf numFmtId="3" fontId="21" fillId="76" borderId="0" xfId="9" applyNumberFormat="1" applyFont="1" applyFill="1" applyAlignment="1">
      <alignment horizontal="center" vertical="center" wrapText="1"/>
    </xf>
    <xf numFmtId="341" fontId="6" fillId="76" borderId="0" xfId="9" applyNumberFormat="1" applyFont="1" applyFill="1" applyAlignment="1">
      <alignment horizontal="center" vertical="center"/>
    </xf>
    <xf numFmtId="0" fontId="21" fillId="76" borderId="0" xfId="9" applyFont="1" applyFill="1" applyAlignment="1">
      <alignment horizontal="center" vertical="center" wrapText="1"/>
    </xf>
    <xf numFmtId="0" fontId="21" fillId="96" borderId="76" xfId="9" applyFont="1" applyFill="1" applyBorder="1" applyAlignment="1">
      <alignment horizontal="left" vertical="center"/>
    </xf>
    <xf numFmtId="8" fontId="22" fillId="96" borderId="8" xfId="9" applyNumberFormat="1" applyFont="1" applyFill="1" applyBorder="1" applyAlignment="1">
      <alignment horizontal="center" vertical="center" wrapText="1"/>
    </xf>
    <xf numFmtId="3" fontId="22" fillId="96" borderId="8" xfId="9" applyNumberFormat="1" applyFont="1" applyFill="1" applyBorder="1" applyAlignment="1">
      <alignment horizontal="center" vertical="center" wrapText="1"/>
    </xf>
    <xf numFmtId="341" fontId="22" fillId="96" borderId="8" xfId="9" applyNumberFormat="1" applyFont="1" applyFill="1" applyBorder="1" applyAlignment="1">
      <alignment horizontal="center" vertical="center" wrapText="1"/>
    </xf>
    <xf numFmtId="342" fontId="22" fillId="96" borderId="8" xfId="9" applyNumberFormat="1" applyFont="1" applyFill="1" applyBorder="1" applyAlignment="1">
      <alignment horizontal="center" vertical="center" wrapText="1"/>
    </xf>
    <xf numFmtId="341" fontId="22" fillId="96" borderId="77" xfId="9" applyNumberFormat="1" applyFont="1" applyFill="1" applyBorder="1" applyAlignment="1">
      <alignment horizontal="center" vertical="center" wrapText="1"/>
    </xf>
    <xf numFmtId="8" fontId="6" fillId="0" borderId="0" xfId="9" applyNumberFormat="1" applyFont="1" applyAlignment="1">
      <alignment horizontal="center" vertical="center"/>
    </xf>
    <xf numFmtId="3" fontId="6" fillId="0" borderId="0" xfId="9" applyNumberFormat="1" applyFont="1" applyAlignment="1">
      <alignment horizontal="center" vertical="center"/>
    </xf>
    <xf numFmtId="208" fontId="6" fillId="0" borderId="0" xfId="9" applyNumberFormat="1" applyFont="1" applyAlignment="1">
      <alignment horizontal="center" vertical="center"/>
    </xf>
    <xf numFmtId="0" fontId="6" fillId="0" borderId="0" xfId="9" applyFont="1" applyAlignment="1">
      <alignment horizontal="center" vertical="center"/>
    </xf>
    <xf numFmtId="0" fontId="6" fillId="0" borderId="0" xfId="9" applyFont="1" applyAlignment="1">
      <alignment vertical="center"/>
    </xf>
    <xf numFmtId="0" fontId="6" fillId="0" borderId="0" xfId="9" applyFont="1" applyAlignment="1">
      <alignment horizontal="left" vertical="center" indent="1"/>
    </xf>
    <xf numFmtId="329" fontId="159" fillId="0" borderId="0" xfId="0" applyNumberFormat="1" applyFont="1" applyBorder="1" applyAlignment="1">
      <alignment horizontal="center"/>
    </xf>
    <xf numFmtId="0" fontId="0" fillId="0" borderId="0" xfId="0" applyFont="1" applyFill="1" applyBorder="1"/>
    <xf numFmtId="0" fontId="22" fillId="0" borderId="0" xfId="0" applyFont="1" applyAlignment="1">
      <alignment horizontal="left" vertical="top"/>
    </xf>
    <xf numFmtId="0" fontId="21" fillId="0" borderId="0" xfId="0" applyFont="1" applyAlignment="1">
      <alignment horizontal="left" vertical="top"/>
    </xf>
    <xf numFmtId="0" fontId="22" fillId="0" borderId="0" xfId="0" applyNumberFormat="1" applyFont="1" applyAlignment="1">
      <alignment horizontal="right" vertical="top" wrapText="1"/>
    </xf>
    <xf numFmtId="37" fontId="20" fillId="0" borderId="0" xfId="0" applyNumberFormat="1" applyFont="1" applyBorder="1" applyAlignment="1">
      <alignment horizontal="center"/>
    </xf>
    <xf numFmtId="8" fontId="13" fillId="0" borderId="0" xfId="0" applyNumberFormat="1" applyFont="1" applyAlignment="1">
      <alignment horizontal="center"/>
    </xf>
    <xf numFmtId="9" fontId="0" fillId="76" borderId="0" xfId="0" applyNumberFormat="1" applyFont="1" applyFill="1" applyBorder="1"/>
    <xf numFmtId="9" fontId="316" fillId="76" borderId="0" xfId="0" applyNumberFormat="1" applyFont="1" applyFill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0" fillId="0" borderId="0" xfId="0" applyFont="1" applyFill="1" applyBorder="1" applyAlignment="1">
      <alignment horizontal="left" indent="1"/>
    </xf>
    <xf numFmtId="208" fontId="0" fillId="0" borderId="0" xfId="0" applyNumberFormat="1" applyFont="1" applyBorder="1"/>
    <xf numFmtId="8" fontId="0" fillId="0" borderId="0" xfId="0" applyNumberFormat="1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Border="1" applyAlignment="1">
      <alignment horizontal="left" indent="1"/>
    </xf>
    <xf numFmtId="7" fontId="0" fillId="0" borderId="0" xfId="0" applyNumberFormat="1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6" fillId="0" borderId="0" xfId="0" applyFont="1"/>
    <xf numFmtId="4" fontId="0" fillId="0" borderId="0" xfId="0" applyNumberFormat="1" applyFont="1" applyBorder="1" applyAlignment="1">
      <alignment horizontal="center"/>
    </xf>
    <xf numFmtId="5" fontId="0" fillId="0" borderId="0" xfId="0" applyNumberFormat="1" applyFont="1" applyBorder="1" applyAlignment="1">
      <alignment horizontal="center"/>
    </xf>
    <xf numFmtId="208" fontId="0" fillId="0" borderId="0" xfId="0" applyNumberFormat="1" applyFont="1" applyBorder="1" applyAlignment="1">
      <alignment horizontal="center"/>
    </xf>
    <xf numFmtId="8" fontId="0" fillId="0" borderId="0" xfId="0" applyNumberFormat="1" applyFont="1" applyBorder="1"/>
    <xf numFmtId="301" fontId="13" fillId="2" borderId="0" xfId="0" applyNumberFormat="1" applyFont="1" applyFill="1" applyBorder="1" applyAlignment="1">
      <alignment vertical="center"/>
    </xf>
    <xf numFmtId="208" fontId="6" fillId="0" borderId="0" xfId="0" applyNumberFormat="1" applyFont="1"/>
    <xf numFmtId="208" fontId="6" fillId="0" borderId="0" xfId="0" applyNumberFormat="1" applyFont="1" applyBorder="1"/>
    <xf numFmtId="301" fontId="13" fillId="2" borderId="82" xfId="0" applyNumberFormat="1" applyFont="1" applyFill="1" applyBorder="1" applyAlignment="1">
      <alignment horizontal="left" vertical="center"/>
    </xf>
    <xf numFmtId="301" fontId="13" fillId="2" borderId="82" xfId="0" applyNumberFormat="1" applyFont="1" applyFill="1" applyBorder="1" applyAlignment="1">
      <alignment vertical="center"/>
    </xf>
    <xf numFmtId="301" fontId="13" fillId="2" borderId="82" xfId="0" applyNumberFormat="1" applyFont="1" applyFill="1" applyBorder="1" applyAlignment="1">
      <alignment horizontal="right" vertical="center"/>
    </xf>
    <xf numFmtId="8" fontId="0" fillId="0" borderId="0" xfId="0" applyNumberFormat="1" applyFont="1" applyBorder="1" applyAlignment="1">
      <alignment horizontal="center"/>
    </xf>
    <xf numFmtId="3" fontId="0" fillId="0" borderId="0" xfId="0" applyNumberFormat="1" applyFont="1" applyBorder="1"/>
    <xf numFmtId="8" fontId="13" fillId="0" borderId="0" xfId="0" applyNumberFormat="1" applyFont="1" applyBorder="1" applyAlignment="1">
      <alignment horizontal="center"/>
    </xf>
    <xf numFmtId="0" fontId="19" fillId="76" borderId="0" xfId="0" applyFont="1" applyFill="1" applyBorder="1"/>
    <xf numFmtId="167" fontId="323" fillId="76" borderId="0" xfId="34" applyNumberFormat="1" applyFont="1" applyFill="1" applyBorder="1"/>
    <xf numFmtId="167" fontId="320" fillId="76" borderId="0" xfId="1186" applyNumberFormat="1" applyFont="1" applyFill="1" applyBorder="1"/>
    <xf numFmtId="0" fontId="0" fillId="76" borderId="0" xfId="0" applyFont="1" applyFill="1" applyBorder="1" applyAlignment="1">
      <alignment horizontal="left"/>
    </xf>
    <xf numFmtId="44" fontId="320" fillId="76" borderId="0" xfId="1189" applyFont="1" applyFill="1" applyBorder="1"/>
    <xf numFmtId="208" fontId="324" fillId="76" borderId="0" xfId="1188" applyNumberFormat="1" applyFont="1" applyFill="1" applyBorder="1"/>
    <xf numFmtId="167" fontId="0" fillId="76" borderId="0" xfId="1186" applyNumberFormat="1" applyFont="1" applyFill="1" applyBorder="1"/>
    <xf numFmtId="8" fontId="13" fillId="76" borderId="0" xfId="0" applyNumberFormat="1" applyFont="1" applyFill="1" applyBorder="1" applyAlignment="1">
      <alignment horizontal="center"/>
    </xf>
    <xf numFmtId="208" fontId="0" fillId="76" borderId="0" xfId="497" applyNumberFormat="1" applyFont="1" applyFill="1" applyBorder="1" applyAlignment="1">
      <alignment horizontal="left"/>
    </xf>
    <xf numFmtId="0" fontId="22" fillId="0" borderId="0" xfId="0" applyNumberFormat="1" applyFont="1" applyBorder="1" applyAlignment="1">
      <alignment horizontal="right" vertical="top" wrapText="1"/>
    </xf>
    <xf numFmtId="190" fontId="20" fillId="0" borderId="0" xfId="0" applyNumberFormat="1" applyFont="1" applyBorder="1" applyAlignment="1">
      <alignment horizontal="center"/>
    </xf>
    <xf numFmtId="5" fontId="0" fillId="0" borderId="0" xfId="0" applyNumberFormat="1" applyFont="1" applyBorder="1"/>
    <xf numFmtId="301" fontId="159" fillId="0" borderId="0" xfId="0" applyNumberFormat="1" applyFont="1" applyBorder="1" applyAlignment="1">
      <alignment horizontal="center"/>
    </xf>
    <xf numFmtId="5" fontId="41" fillId="0" borderId="0" xfId="0" applyNumberFormat="1" applyFont="1" applyBorder="1" applyAlignment="1">
      <alignment horizontal="center"/>
    </xf>
    <xf numFmtId="0" fontId="21" fillId="0" borderId="0" xfId="0" applyFont="1" applyBorder="1" applyAlignment="1">
      <alignment horizontal="left" vertical="top"/>
    </xf>
    <xf numFmtId="0" fontId="22" fillId="0" borderId="0" xfId="0" applyFont="1" applyBorder="1" applyAlignment="1">
      <alignment horizontal="left" vertical="top"/>
    </xf>
    <xf numFmtId="0" fontId="21" fillId="0" borderId="0" xfId="0" applyNumberFormat="1" applyFont="1" applyBorder="1" applyAlignment="1">
      <alignment horizontal="right" vertical="top" wrapText="1"/>
    </xf>
    <xf numFmtId="0" fontId="0" fillId="0" borderId="0" xfId="0" applyFont="1" applyFill="1" applyBorder="1" applyAlignment="1">
      <alignment horizontal="center"/>
    </xf>
    <xf numFmtId="10" fontId="0" fillId="0" borderId="0" xfId="494" applyNumberFormat="1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3" fontId="0" fillId="0" borderId="0" xfId="494" applyNumberFormat="1" applyFont="1" applyBorder="1" applyAlignment="1">
      <alignment horizontal="center"/>
    </xf>
    <xf numFmtId="3" fontId="40" fillId="0" borderId="0" xfId="494" applyNumberFormat="1" applyFont="1" applyBorder="1" applyAlignment="1">
      <alignment horizontal="center"/>
    </xf>
    <xf numFmtId="0" fontId="185" fillId="97" borderId="59" xfId="0" applyFont="1" applyFill="1" applyBorder="1" applyAlignment="1">
      <alignment horizontal="center"/>
    </xf>
    <xf numFmtId="9" fontId="0" fillId="0" borderId="0" xfId="0" applyNumberFormat="1" applyFont="1" applyBorder="1"/>
    <xf numFmtId="0" fontId="0" fillId="0" borderId="0" xfId="0" applyFont="1" applyFill="1" applyBorder="1" applyAlignment="1">
      <alignment horizontal="left"/>
    </xf>
    <xf numFmtId="0" fontId="175" fillId="0" borderId="0" xfId="0" applyFont="1" applyAlignment="1">
      <alignment horizontal="center"/>
    </xf>
    <xf numFmtId="0" fontId="175" fillId="0" borderId="0" xfId="0" applyFont="1" applyFill="1" applyBorder="1" applyAlignment="1">
      <alignment horizontal="center"/>
    </xf>
    <xf numFmtId="0" fontId="0" fillId="0" borderId="46" xfId="0" applyFont="1" applyBorder="1"/>
    <xf numFmtId="0" fontId="13" fillId="0" borderId="0" xfId="0" applyFont="1" applyFill="1" applyBorder="1" applyAlignment="1">
      <alignment horizontal="left" indent="1"/>
    </xf>
    <xf numFmtId="208" fontId="6" fillId="76" borderId="0" xfId="497" applyNumberFormat="1" applyFont="1" applyFill="1" applyBorder="1" applyAlignment="1">
      <alignment horizontal="left"/>
    </xf>
    <xf numFmtId="3" fontId="6" fillId="76" borderId="0" xfId="1186" applyNumberFormat="1" applyFont="1" applyFill="1" applyBorder="1" applyAlignment="1">
      <alignment horizontal="center"/>
    </xf>
    <xf numFmtId="3" fontId="40" fillId="76" borderId="0" xfId="1186" applyNumberFormat="1" applyFont="1" applyFill="1" applyBorder="1" applyAlignment="1">
      <alignment horizontal="center"/>
    </xf>
    <xf numFmtId="3" fontId="40" fillId="76" borderId="0" xfId="1189" applyNumberFormat="1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208" fontId="325" fillId="76" borderId="0" xfId="1188" applyNumberFormat="1" applyFont="1" applyFill="1" applyBorder="1" applyAlignment="1">
      <alignment horizontal="center"/>
    </xf>
    <xf numFmtId="208" fontId="326" fillId="76" borderId="0" xfId="1188" applyNumberFormat="1" applyFont="1" applyFill="1" applyBorder="1" applyAlignment="1">
      <alignment horizontal="center"/>
    </xf>
    <xf numFmtId="208" fontId="325" fillId="0" borderId="0" xfId="494" applyNumberFormat="1" applyFont="1" applyBorder="1" applyAlignment="1">
      <alignment horizontal="center"/>
    </xf>
    <xf numFmtId="329" fontId="39" fillId="76" borderId="0" xfId="1186" applyNumberFormat="1" applyFont="1" applyFill="1" applyBorder="1" applyAlignment="1">
      <alignment horizontal="center"/>
    </xf>
    <xf numFmtId="329" fontId="0" fillId="76" borderId="0" xfId="1186" applyNumberFormat="1" applyFont="1" applyFill="1" applyBorder="1" applyAlignment="1">
      <alignment horizontal="center"/>
    </xf>
    <xf numFmtId="208" fontId="175" fillId="76" borderId="0" xfId="1186" applyNumberFormat="1" applyFont="1" applyFill="1" applyBorder="1" applyAlignment="1">
      <alignment horizontal="center"/>
    </xf>
    <xf numFmtId="208" fontId="258" fillId="76" borderId="0" xfId="1186" applyNumberFormat="1" applyFont="1" applyFill="1" applyBorder="1" applyAlignment="1">
      <alignment horizontal="center"/>
    </xf>
    <xf numFmtId="208" fontId="13" fillId="76" borderId="0" xfId="497" applyNumberFormat="1" applyFont="1" applyFill="1" applyBorder="1" applyAlignment="1">
      <alignment horizontal="left" indent="1"/>
    </xf>
    <xf numFmtId="329" fontId="13" fillId="76" borderId="0" xfId="1186" applyNumberFormat="1" applyFont="1" applyFill="1" applyBorder="1" applyAlignment="1">
      <alignment horizontal="center"/>
    </xf>
    <xf numFmtId="8" fontId="175" fillId="76" borderId="0" xfId="0" applyNumberFormat="1" applyFont="1" applyFill="1" applyBorder="1" applyAlignment="1">
      <alignment horizontal="center"/>
    </xf>
    <xf numFmtId="301" fontId="13" fillId="76" borderId="0" xfId="0" applyNumberFormat="1" applyFont="1" applyFill="1" applyBorder="1" applyAlignment="1">
      <alignment horizontal="left" vertical="center"/>
    </xf>
    <xf numFmtId="0" fontId="0" fillId="0" borderId="0" xfId="0" applyFont="1" applyBorder="1" applyAlignment="1">
      <alignment horizontal="right"/>
    </xf>
    <xf numFmtId="8" fontId="0" fillId="0" borderId="0" xfId="0" applyNumberFormat="1" applyFont="1" applyBorder="1" applyAlignment="1">
      <alignment horizontal="right"/>
    </xf>
    <xf numFmtId="37" fontId="20" fillId="0" borderId="0" xfId="0" applyNumberFormat="1" applyFont="1" applyBorder="1" applyAlignment="1">
      <alignment horizontal="right"/>
    </xf>
    <xf numFmtId="0" fontId="0" fillId="0" borderId="0" xfId="0" applyFont="1" applyAlignment="1">
      <alignment horizontal="right"/>
    </xf>
    <xf numFmtId="168" fontId="13" fillId="0" borderId="0" xfId="0" applyNumberFormat="1" applyFont="1" applyBorder="1" applyAlignment="1">
      <alignment horizontal="right" vertical="center"/>
    </xf>
    <xf numFmtId="0" fontId="13" fillId="0" borderId="0" xfId="0" applyFont="1" applyFill="1" applyBorder="1"/>
    <xf numFmtId="0" fontId="0" fillId="76" borderId="0" xfId="0" applyFill="1"/>
    <xf numFmtId="0" fontId="0" fillId="76" borderId="0" xfId="0" applyFill="1" applyAlignment="1">
      <alignment vertical="center"/>
    </xf>
    <xf numFmtId="0" fontId="0" fillId="76" borderId="0" xfId="0" applyFill="1" applyBorder="1"/>
    <xf numFmtId="174" fontId="20" fillId="76" borderId="0" xfId="0" applyNumberFormat="1" applyFont="1" applyFill="1" applyBorder="1"/>
    <xf numFmtId="5" fontId="0" fillId="76" borderId="0" xfId="0" applyNumberFormat="1" applyFill="1" applyBorder="1"/>
    <xf numFmtId="37" fontId="0" fillId="76" borderId="0" xfId="0" applyNumberFormat="1" applyFill="1" applyBorder="1"/>
    <xf numFmtId="5" fontId="20" fillId="76" borderId="0" xfId="0" applyNumberFormat="1" applyFont="1" applyFill="1" applyBorder="1"/>
    <xf numFmtId="166" fontId="0" fillId="76" borderId="0" xfId="0" applyNumberFormat="1" applyFill="1"/>
    <xf numFmtId="5" fontId="0" fillId="76" borderId="0" xfId="0" applyNumberFormat="1" applyFill="1"/>
    <xf numFmtId="0" fontId="0" fillId="76" borderId="0" xfId="0" applyFill="1" applyBorder="1" applyAlignment="1">
      <alignment horizontal="left" indent="1"/>
    </xf>
    <xf numFmtId="169" fontId="34" fillId="0" borderId="0" xfId="0" applyNumberFormat="1" applyFont="1" applyBorder="1" applyAlignment="1">
      <alignment horizontal="center" vertical="center"/>
    </xf>
    <xf numFmtId="301" fontId="6" fillId="0" borderId="0" xfId="0" applyNumberFormat="1" applyFont="1" applyAlignment="1">
      <alignment horizontal="right"/>
    </xf>
    <xf numFmtId="301" fontId="6" fillId="76" borderId="0" xfId="0" applyNumberFormat="1" applyFont="1" applyFill="1" applyBorder="1" applyAlignment="1">
      <alignment horizontal="right"/>
    </xf>
    <xf numFmtId="301" fontId="0" fillId="76" borderId="0" xfId="0" applyNumberFormat="1" applyFill="1" applyBorder="1" applyAlignment="1">
      <alignment horizontal="right"/>
    </xf>
    <xf numFmtId="301" fontId="0" fillId="76" borderId="0" xfId="0" applyNumberFormat="1" applyFill="1" applyBorder="1"/>
    <xf numFmtId="301" fontId="20" fillId="76" borderId="0" xfId="0" applyNumberFormat="1" applyFont="1" applyFill="1" applyBorder="1"/>
    <xf numFmtId="0" fontId="13" fillId="0" borderId="0" xfId="0" applyFont="1" applyBorder="1" applyAlignment="1">
      <alignment horizontal="left" indent="1"/>
    </xf>
    <xf numFmtId="0" fontId="6" fillId="0" borderId="46" xfId="9" applyFont="1" applyBorder="1" applyAlignment="1">
      <alignment vertical="center"/>
    </xf>
    <xf numFmtId="0" fontId="0" fillId="76" borderId="23" xfId="0" applyFill="1" applyBorder="1"/>
    <xf numFmtId="208" fontId="18" fillId="0" borderId="7" xfId="494" applyNumberFormat="1" applyFont="1" applyBorder="1" applyAlignment="1">
      <alignment horizontal="right" vertical="center"/>
    </xf>
    <xf numFmtId="208" fontId="18" fillId="0" borderId="0" xfId="494" applyNumberFormat="1" applyFont="1" applyBorder="1" applyAlignment="1">
      <alignment horizontal="right" vertical="center"/>
    </xf>
    <xf numFmtId="3" fontId="6" fillId="0" borderId="7" xfId="0" applyNumberFormat="1" applyFont="1" applyBorder="1" applyAlignment="1">
      <alignment horizontal="right" vertical="center"/>
    </xf>
    <xf numFmtId="269" fontId="327" fillId="0" borderId="0" xfId="0" applyNumberFormat="1" applyFont="1" applyBorder="1" applyAlignment="1">
      <alignment horizontal="right" vertical="center"/>
    </xf>
    <xf numFmtId="0" fontId="6" fillId="0" borderId="0" xfId="1357" applyFont="1" applyAlignment="1">
      <alignment horizontal="left" vertical="center"/>
    </xf>
    <xf numFmtId="208" fontId="6" fillId="0" borderId="0" xfId="497" applyNumberFormat="1" applyFont="1" applyAlignment="1">
      <alignment horizontal="left" vertical="center"/>
    </xf>
    <xf numFmtId="224" fontId="6" fillId="0" borderId="0" xfId="34" applyNumberFormat="1" applyFont="1" applyAlignment="1">
      <alignment horizontal="right" vertical="center"/>
    </xf>
    <xf numFmtId="224" fontId="0" fillId="0" borderId="0" xfId="34" applyNumberFormat="1" applyFont="1" applyAlignment="1">
      <alignment horizontal="right" vertical="center"/>
    </xf>
    <xf numFmtId="224" fontId="40" fillId="0" borderId="0" xfId="34" applyNumberFormat="1" applyFont="1" applyAlignment="1">
      <alignment horizontal="right" vertical="center"/>
    </xf>
    <xf numFmtId="208" fontId="6" fillId="0" borderId="54" xfId="497" applyNumberFormat="1" applyFont="1" applyBorder="1" applyAlignment="1">
      <alignment horizontal="left" vertical="center"/>
    </xf>
    <xf numFmtId="224" fontId="0" fillId="0" borderId="54" xfId="34" applyNumberFormat="1" applyFont="1" applyBorder="1" applyAlignment="1">
      <alignment horizontal="right" vertical="center"/>
    </xf>
    <xf numFmtId="0" fontId="10" fillId="0" borderId="0" xfId="1357" applyFont="1" applyAlignment="1">
      <alignment vertical="center"/>
    </xf>
    <xf numFmtId="208" fontId="18" fillId="0" borderId="0" xfId="34" applyNumberFormat="1" applyFont="1" applyAlignment="1">
      <alignment horizontal="right" vertical="center"/>
    </xf>
    <xf numFmtId="208" fontId="6" fillId="0" borderId="0" xfId="1357" applyNumberFormat="1" applyFont="1" applyAlignment="1">
      <alignment horizontal="left" vertical="center"/>
    </xf>
    <xf numFmtId="208" fontId="40" fillId="0" borderId="0" xfId="34" applyNumberFormat="1" applyFont="1" applyAlignment="1">
      <alignment horizontal="right" vertical="center"/>
    </xf>
    <xf numFmtId="167" fontId="40" fillId="0" borderId="0" xfId="34" applyNumberFormat="1" applyFont="1" applyAlignment="1">
      <alignment horizontal="right" vertical="center"/>
    </xf>
    <xf numFmtId="208" fontId="40" fillId="0" borderId="0" xfId="497" applyNumberFormat="1" applyFont="1" applyAlignment="1">
      <alignment horizontal="right" vertical="center"/>
    </xf>
    <xf numFmtId="208" fontId="6" fillId="0" borderId="0" xfId="497" applyNumberFormat="1" applyFont="1" applyBorder="1" applyAlignment="1">
      <alignment horizontal="left" vertical="center"/>
    </xf>
    <xf numFmtId="208" fontId="6" fillId="0" borderId="0" xfId="497" applyNumberFormat="1" applyFont="1" applyBorder="1" applyAlignment="1">
      <alignment vertical="center"/>
    </xf>
    <xf numFmtId="167" fontId="40" fillId="76" borderId="0" xfId="34" applyNumberFormat="1" applyFont="1" applyFill="1" applyBorder="1" applyAlignment="1">
      <alignment horizontal="right" vertical="center"/>
    </xf>
    <xf numFmtId="167" fontId="0" fillId="76" borderId="0" xfId="34" applyNumberFormat="1" applyFont="1" applyFill="1" applyBorder="1" applyAlignment="1">
      <alignment horizontal="right" vertical="center"/>
    </xf>
    <xf numFmtId="0" fontId="6" fillId="76" borderId="0" xfId="1357" applyFont="1" applyFill="1" applyAlignment="1">
      <alignment vertical="center"/>
    </xf>
    <xf numFmtId="167" fontId="40" fillId="76" borderId="0" xfId="34" applyNumberFormat="1" applyFont="1" applyFill="1" applyAlignment="1">
      <alignment horizontal="right" vertical="center"/>
    </xf>
    <xf numFmtId="208" fontId="14" fillId="76" borderId="0" xfId="497" applyNumberFormat="1" applyFont="1" applyFill="1" applyBorder="1" applyAlignment="1">
      <alignment horizontal="right" vertical="center"/>
    </xf>
    <xf numFmtId="4" fontId="40" fillId="76" borderId="0" xfId="184" applyNumberFormat="1" applyFont="1" applyFill="1" applyBorder="1" applyAlignment="1">
      <alignment horizontal="right" vertical="center"/>
    </xf>
    <xf numFmtId="4" fontId="0" fillId="76" borderId="0" xfId="184" applyNumberFormat="1" applyFont="1" applyFill="1" applyBorder="1" applyAlignment="1">
      <alignment horizontal="right" vertical="center"/>
    </xf>
    <xf numFmtId="208" fontId="164" fillId="76" borderId="0" xfId="497" applyNumberFormat="1" applyFont="1" applyFill="1" applyBorder="1" applyAlignment="1">
      <alignment horizontal="right" vertical="center"/>
    </xf>
    <xf numFmtId="208" fontId="18" fillId="76" borderId="0" xfId="497" applyNumberFormat="1" applyFont="1" applyFill="1" applyBorder="1" applyAlignment="1">
      <alignment horizontal="right" vertical="center"/>
    </xf>
    <xf numFmtId="3" fontId="40" fillId="76" borderId="0" xfId="497" applyNumberFormat="1" applyFont="1" applyFill="1" applyBorder="1" applyAlignment="1">
      <alignment horizontal="right" vertical="center"/>
    </xf>
    <xf numFmtId="0" fontId="14" fillId="76" borderId="0" xfId="0" applyFont="1" applyFill="1" applyBorder="1" applyAlignment="1">
      <alignment vertical="center"/>
    </xf>
    <xf numFmtId="8" fontId="0" fillId="76" borderId="0" xfId="0" applyNumberFormat="1" applyFont="1" applyFill="1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6" fillId="0" borderId="0" xfId="1357" applyFont="1" applyBorder="1" applyAlignment="1">
      <alignment horizontal="left" vertical="center"/>
    </xf>
    <xf numFmtId="167" fontId="40" fillId="0" borderId="0" xfId="34" applyNumberFormat="1" applyFont="1" applyBorder="1" applyAlignment="1">
      <alignment horizontal="right" vertical="center"/>
    </xf>
    <xf numFmtId="208" fontId="40" fillId="0" borderId="0" xfId="497" applyNumberFormat="1" applyFont="1" applyBorder="1" applyAlignment="1">
      <alignment horizontal="right" vertical="center"/>
    </xf>
    <xf numFmtId="208" fontId="6" fillId="0" borderId="0" xfId="497" applyNumberFormat="1" applyFont="1" applyAlignment="1">
      <alignment horizontal="right" vertical="center"/>
    </xf>
    <xf numFmtId="208" fontId="18" fillId="0" borderId="0" xfId="1357" applyNumberFormat="1" applyFont="1" applyAlignment="1">
      <alignment horizontal="left" vertical="center" indent="1"/>
    </xf>
    <xf numFmtId="204" fontId="6" fillId="0" borderId="0" xfId="0" applyNumberFormat="1" applyFont="1" applyBorder="1" applyAlignment="1">
      <alignment horizontal="right"/>
    </xf>
    <xf numFmtId="301" fontId="13" fillId="76" borderId="0" xfId="0" applyNumberFormat="1" applyFont="1" applyFill="1" applyBorder="1" applyAlignment="1">
      <alignment vertical="center"/>
    </xf>
    <xf numFmtId="9" fontId="6" fillId="0" borderId="0" xfId="0" applyNumberFormat="1" applyFont="1" applyBorder="1" applyAlignment="1">
      <alignment horizontal="right" vertical="center"/>
    </xf>
    <xf numFmtId="9" fontId="6" fillId="0" borderId="7" xfId="0" applyNumberFormat="1" applyFont="1" applyBorder="1" applyAlignment="1">
      <alignment horizontal="right" vertical="center"/>
    </xf>
    <xf numFmtId="9" fontId="6" fillId="0" borderId="0" xfId="0" applyNumberFormat="1" applyFont="1" applyBorder="1"/>
    <xf numFmtId="9" fontId="0" fillId="0" borderId="0" xfId="0" applyNumberFormat="1" applyFont="1" applyBorder="1" applyAlignment="1">
      <alignment horizontal="right" vertical="center"/>
    </xf>
    <xf numFmtId="4" fontId="6" fillId="0" borderId="0" xfId="0" applyNumberFormat="1" applyFont="1" applyBorder="1" applyAlignment="1">
      <alignment horizontal="right" vertical="center"/>
    </xf>
    <xf numFmtId="4" fontId="14" fillId="0" borderId="0" xfId="494" applyNumberFormat="1" applyFont="1" applyBorder="1" applyAlignment="1">
      <alignment horizontal="right" vertical="center"/>
    </xf>
    <xf numFmtId="4" fontId="18" fillId="0" borderId="7" xfId="494" applyNumberFormat="1" applyFont="1" applyBorder="1" applyAlignment="1">
      <alignment horizontal="right" vertical="center"/>
    </xf>
    <xf numFmtId="4" fontId="18" fillId="0" borderId="0" xfId="494" applyNumberFormat="1" applyFont="1" applyBorder="1" applyAlignment="1">
      <alignment horizontal="right" vertical="center"/>
    </xf>
    <xf numFmtId="4" fontId="6" fillId="0" borderId="0" xfId="0" applyNumberFormat="1" applyFont="1" applyAlignment="1"/>
    <xf numFmtId="269" fontId="6" fillId="0" borderId="7" xfId="0" applyNumberFormat="1" applyFont="1" applyBorder="1" applyAlignment="1">
      <alignment vertical="center"/>
    </xf>
    <xf numFmtId="229" fontId="13" fillId="2" borderId="77" xfId="0" applyNumberFormat="1" applyFont="1" applyFill="1" applyBorder="1" applyAlignment="1">
      <alignment vertical="center"/>
    </xf>
    <xf numFmtId="269" fontId="0" fillId="0" borderId="7" xfId="0" applyNumberFormat="1" applyFont="1" applyBorder="1" applyAlignment="1">
      <alignment vertical="center"/>
    </xf>
    <xf numFmtId="208" fontId="164" fillId="0" borderId="0" xfId="494" applyNumberFormat="1" applyFont="1" applyBorder="1" applyAlignment="1">
      <alignment vertical="center"/>
    </xf>
    <xf numFmtId="208" fontId="14" fillId="0" borderId="7" xfId="494" applyNumberFormat="1" applyFont="1" applyBorder="1" applyAlignment="1">
      <alignment vertical="center"/>
    </xf>
    <xf numFmtId="227" fontId="19" fillId="0" borderId="81" xfId="0" quotePrefix="1" applyNumberFormat="1" applyFont="1" applyBorder="1" applyAlignment="1">
      <alignment horizontal="centerContinuous" vertical="center"/>
    </xf>
    <xf numFmtId="0" fontId="19" fillId="0" borderId="80" xfId="0" quotePrefix="1" applyFont="1" applyBorder="1" applyAlignment="1">
      <alignment horizontal="centerContinuous" vertical="center"/>
    </xf>
    <xf numFmtId="0" fontId="19" fillId="0" borderId="48" xfId="0" quotePrefix="1" applyFont="1" applyBorder="1" applyAlignment="1">
      <alignment horizontal="centerContinuous" vertical="center"/>
    </xf>
    <xf numFmtId="0" fontId="10" fillId="0" borderId="0" xfId="1357" applyFont="1" applyBorder="1" applyAlignment="1">
      <alignment vertical="center"/>
    </xf>
    <xf numFmtId="208" fontId="6" fillId="0" borderId="0" xfId="1357" applyNumberFormat="1" applyFont="1" applyBorder="1" applyAlignment="1">
      <alignment horizontal="left" vertical="center"/>
    </xf>
    <xf numFmtId="9" fontId="18" fillId="0" borderId="0" xfId="1357" applyNumberFormat="1" applyFont="1" applyBorder="1" applyAlignment="1">
      <alignment horizontal="left" vertical="center" indent="1"/>
    </xf>
    <xf numFmtId="269" fontId="6" fillId="0" borderId="1" xfId="0" applyNumberFormat="1" applyFont="1" applyBorder="1" applyAlignment="1">
      <alignment horizontal="right" vertical="center"/>
    </xf>
    <xf numFmtId="269" fontId="6" fillId="0" borderId="88" xfId="0" applyNumberFormat="1" applyFont="1" applyBorder="1" applyAlignment="1">
      <alignment horizontal="right" vertical="center"/>
    </xf>
    <xf numFmtId="0" fontId="6" fillId="0" borderId="0" xfId="0" applyFont="1" applyBorder="1" applyAlignment="1"/>
    <xf numFmtId="208" fontId="14" fillId="0" borderId="5" xfId="0" applyNumberFormat="1" applyFont="1" applyBorder="1" applyAlignment="1">
      <alignment horizontal="right" vertical="center"/>
    </xf>
    <xf numFmtId="208" fontId="14" fillId="0" borderId="75" xfId="0" applyNumberFormat="1" applyFont="1" applyBorder="1" applyAlignment="1">
      <alignment horizontal="right" vertical="center"/>
    </xf>
    <xf numFmtId="208" fontId="18" fillId="0" borderId="0" xfId="1357" applyNumberFormat="1" applyFont="1" applyBorder="1" applyAlignment="1">
      <alignment horizontal="right" vertical="center"/>
    </xf>
    <xf numFmtId="208" fontId="18" fillId="0" borderId="7" xfId="1357" applyNumberFormat="1" applyFont="1" applyBorder="1" applyAlignment="1">
      <alignment horizontal="right" vertical="center"/>
    </xf>
    <xf numFmtId="301" fontId="0" fillId="0" borderId="0" xfId="0" applyNumberFormat="1" applyFont="1" applyFill="1" applyBorder="1" applyAlignment="1">
      <alignment horizontal="right" vertical="center"/>
    </xf>
    <xf numFmtId="301" fontId="18" fillId="0" borderId="0" xfId="1357" applyNumberFormat="1" applyFont="1" applyBorder="1" applyAlignment="1">
      <alignment horizontal="right" vertical="center"/>
    </xf>
    <xf numFmtId="329" fontId="0" fillId="0" borderId="0" xfId="0" applyNumberFormat="1" applyFont="1" applyBorder="1" applyAlignment="1">
      <alignment horizontal="right" vertical="center"/>
    </xf>
    <xf numFmtId="329" fontId="0" fillId="0" borderId="7" xfId="0" applyNumberFormat="1" applyFont="1" applyBorder="1" applyAlignment="1">
      <alignment horizontal="right" vertical="center"/>
    </xf>
    <xf numFmtId="329" fontId="10" fillId="0" borderId="1" xfId="1357" applyNumberFormat="1" applyFont="1" applyBorder="1" applyAlignment="1">
      <alignment horizontal="right" vertical="center"/>
    </xf>
    <xf numFmtId="329" fontId="10" fillId="0" borderId="88" xfId="1357" applyNumberFormat="1" applyFont="1" applyBorder="1" applyAlignment="1">
      <alignment horizontal="right" vertical="center"/>
    </xf>
    <xf numFmtId="301" fontId="6" fillId="0" borderId="7" xfId="0" applyNumberFormat="1" applyFont="1" applyBorder="1" applyAlignment="1">
      <alignment horizontal="right" vertical="center"/>
    </xf>
    <xf numFmtId="301" fontId="39" fillId="0" borderId="0" xfId="494" applyNumberFormat="1" applyFont="1" applyBorder="1" applyAlignment="1">
      <alignment horizontal="right" vertical="center"/>
    </xf>
    <xf numFmtId="301" fontId="6" fillId="0" borderId="0" xfId="494" applyNumberFormat="1" applyFont="1" applyBorder="1" applyAlignment="1">
      <alignment horizontal="right" vertical="center"/>
    </xf>
    <xf numFmtId="301" fontId="35" fillId="0" borderId="0" xfId="0" applyNumberFormat="1" applyFont="1" applyBorder="1" applyAlignment="1">
      <alignment horizontal="right" vertical="center"/>
    </xf>
    <xf numFmtId="208" fontId="14" fillId="0" borderId="1" xfId="0" applyNumberFormat="1" applyFont="1" applyBorder="1" applyAlignment="1">
      <alignment vertical="center"/>
    </xf>
    <xf numFmtId="208" fontId="164" fillId="0" borderId="1" xfId="494" applyNumberFormat="1" applyFont="1" applyBorder="1" applyAlignment="1">
      <alignment horizontal="right" vertical="center"/>
    </xf>
    <xf numFmtId="208" fontId="18" fillId="0" borderId="1" xfId="494" applyNumberFormat="1" applyFont="1" applyBorder="1" applyAlignment="1">
      <alignment horizontal="right" vertical="center"/>
    </xf>
    <xf numFmtId="208" fontId="18" fillId="0" borderId="88" xfId="494" applyNumberFormat="1" applyFont="1" applyBorder="1" applyAlignment="1">
      <alignment horizontal="right" vertical="center"/>
    </xf>
    <xf numFmtId="208" fontId="18" fillId="0" borderId="0" xfId="497" applyNumberFormat="1" applyFont="1" applyBorder="1" applyAlignment="1">
      <alignment horizontal="right" vertical="center"/>
    </xf>
    <xf numFmtId="208" fontId="18" fillId="0" borderId="5" xfId="497" applyNumberFormat="1" applyFont="1" applyBorder="1" applyAlignment="1">
      <alignment horizontal="right" vertical="center"/>
    </xf>
    <xf numFmtId="208" fontId="164" fillId="0" borderId="5" xfId="494" applyNumberFormat="1" applyFont="1" applyBorder="1" applyAlignment="1">
      <alignment horizontal="right" vertical="center"/>
    </xf>
    <xf numFmtId="208" fontId="18" fillId="0" borderId="5" xfId="494" applyNumberFormat="1" applyFont="1" applyBorder="1" applyAlignment="1">
      <alignment horizontal="right" vertical="center"/>
    </xf>
    <xf numFmtId="208" fontId="18" fillId="0" borderId="75" xfId="494" applyNumberFormat="1" applyFont="1" applyBorder="1" applyAlignment="1">
      <alignment horizontal="right" vertical="center"/>
    </xf>
    <xf numFmtId="208" fontId="14" fillId="0" borderId="1" xfId="0" applyNumberFormat="1" applyFont="1" applyBorder="1" applyAlignment="1">
      <alignment horizontal="right" vertical="center"/>
    </xf>
    <xf numFmtId="225" fontId="159" fillId="0" borderId="0" xfId="0" applyNumberFormat="1" applyFont="1" applyBorder="1" applyAlignment="1">
      <alignment horizontal="right" vertical="center"/>
    </xf>
    <xf numFmtId="269" fontId="159" fillId="0" borderId="0" xfId="495" applyNumberFormat="1" applyFont="1" applyBorder="1" applyAlignment="1">
      <alignment horizontal="right" vertical="center"/>
    </xf>
    <xf numFmtId="208" fontId="6" fillId="0" borderId="0" xfId="34" applyNumberFormat="1" applyFont="1" applyBorder="1" applyAlignment="1">
      <alignment horizontal="right" vertical="center"/>
    </xf>
    <xf numFmtId="10" fontId="40" fillId="0" borderId="10" xfId="0" applyNumberFormat="1" applyFont="1" applyFill="1" applyBorder="1" applyAlignment="1">
      <alignment horizontal="center"/>
    </xf>
    <xf numFmtId="208" fontId="159" fillId="0" borderId="76" xfId="497" applyNumberFormat="1" applyFont="1" applyBorder="1" applyAlignment="1">
      <alignment horizontal="right" vertical="center"/>
    </xf>
    <xf numFmtId="208" fontId="159" fillId="0" borderId="8" xfId="497" applyNumberFormat="1" applyFont="1" applyBorder="1" applyAlignment="1">
      <alignment horizontal="right" vertical="center"/>
    </xf>
    <xf numFmtId="208" fontId="159" fillId="0" borderId="77" xfId="497" applyNumberFormat="1" applyFont="1" applyBorder="1" applyAlignment="1">
      <alignment horizontal="right" vertical="center"/>
    </xf>
    <xf numFmtId="301" fontId="0" fillId="0" borderId="0" xfId="0" applyNumberFormat="1" applyFont="1" applyBorder="1" applyAlignment="1">
      <alignment horizontal="center"/>
    </xf>
    <xf numFmtId="190" fontId="40" fillId="0" borderId="0" xfId="0" applyNumberFormat="1" applyFont="1" applyBorder="1" applyAlignment="1">
      <alignment horizontal="center"/>
    </xf>
    <xf numFmtId="301" fontId="13" fillId="76" borderId="0" xfId="0" applyNumberFormat="1" applyFont="1" applyFill="1" applyBorder="1" applyAlignment="1">
      <alignment horizontal="right" vertical="center"/>
    </xf>
    <xf numFmtId="3" fontId="40" fillId="0" borderId="0" xfId="0" applyNumberFormat="1" applyFont="1" applyFill="1" applyBorder="1" applyAlignment="1">
      <alignment horizontal="center"/>
    </xf>
    <xf numFmtId="301" fontId="19" fillId="2" borderId="0" xfId="0" applyNumberFormat="1" applyFont="1" applyFill="1" applyBorder="1" applyAlignment="1">
      <alignment horizontal="left" vertical="center"/>
    </xf>
    <xf numFmtId="208" fontId="14" fillId="0" borderId="87" xfId="494" applyNumberFormat="1" applyFont="1" applyBorder="1" applyAlignment="1">
      <alignment horizontal="right" vertical="center"/>
    </xf>
    <xf numFmtId="208" fontId="14" fillId="0" borderId="1" xfId="494" applyNumberFormat="1" applyFont="1" applyBorder="1" applyAlignment="1">
      <alignment horizontal="right" vertical="center"/>
    </xf>
    <xf numFmtId="225" fontId="159" fillId="0" borderId="7" xfId="0" applyNumberFormat="1" applyFont="1" applyBorder="1" applyAlignment="1">
      <alignment horizontal="right" vertical="center"/>
    </xf>
    <xf numFmtId="269" fontId="159" fillId="0" borderId="7" xfId="495" applyNumberFormat="1" applyFont="1" applyBorder="1" applyAlignment="1">
      <alignment horizontal="right" vertical="center"/>
    </xf>
    <xf numFmtId="269" fontId="0" fillId="0" borderId="74" xfId="495" applyNumberFormat="1" applyFont="1" applyBorder="1" applyAlignment="1">
      <alignment horizontal="right" vertical="center"/>
    </xf>
    <xf numFmtId="269" fontId="6" fillId="0" borderId="5" xfId="0" applyNumberFormat="1" applyFont="1" applyBorder="1" applyAlignment="1">
      <alignment horizontal="right" vertical="center"/>
    </xf>
    <xf numFmtId="269" fontId="159" fillId="0" borderId="5" xfId="0" applyNumberFormat="1" applyFont="1" applyBorder="1" applyAlignment="1">
      <alignment horizontal="right" vertical="center"/>
    </xf>
    <xf numFmtId="269" fontId="159" fillId="0" borderId="75" xfId="0" applyNumberFormat="1" applyFont="1" applyBorder="1" applyAlignment="1">
      <alignment horizontal="right" vertical="center"/>
    </xf>
    <xf numFmtId="208" fontId="18" fillId="0" borderId="87" xfId="494" applyNumberFormat="1" applyFont="1" applyBorder="1" applyAlignment="1">
      <alignment horizontal="right" vertical="center"/>
    </xf>
    <xf numFmtId="225" fontId="159" fillId="0" borderId="6" xfId="0" applyNumberFormat="1" applyFont="1" applyBorder="1" applyAlignment="1">
      <alignment horizontal="right" vertical="center"/>
    </xf>
    <xf numFmtId="269" fontId="6" fillId="0" borderId="6" xfId="0" applyNumberFormat="1" applyFont="1" applyBorder="1" applyAlignment="1">
      <alignment horizontal="right" vertical="center"/>
    </xf>
    <xf numFmtId="269" fontId="159" fillId="0" borderId="6" xfId="495" applyNumberFormat="1" applyFont="1" applyBorder="1" applyAlignment="1">
      <alignment horizontal="right" vertical="center"/>
    </xf>
    <xf numFmtId="269" fontId="159" fillId="0" borderId="74" xfId="0" applyNumberFormat="1" applyFont="1" applyBorder="1" applyAlignment="1">
      <alignment horizontal="right" vertical="center"/>
    </xf>
    <xf numFmtId="269" fontId="159" fillId="0" borderId="6" xfId="0" applyNumberFormat="1" applyFont="1" applyBorder="1" applyAlignment="1">
      <alignment horizontal="right" vertical="center"/>
    </xf>
    <xf numFmtId="269" fontId="35" fillId="0" borderId="74" xfId="0" applyNumberFormat="1" applyFont="1" applyBorder="1" applyAlignment="1">
      <alignment horizontal="right" vertical="center"/>
    </xf>
    <xf numFmtId="269" fontId="35" fillId="0" borderId="5" xfId="0" applyNumberFormat="1" applyFont="1" applyBorder="1" applyAlignment="1">
      <alignment horizontal="right" vertical="center"/>
    </xf>
    <xf numFmtId="269" fontId="35" fillId="0" borderId="75" xfId="0" applyNumberFormat="1" applyFont="1" applyBorder="1" applyAlignment="1">
      <alignment horizontal="right" vertical="center"/>
    </xf>
    <xf numFmtId="208" fontId="14" fillId="0" borderId="6" xfId="0" applyNumberFormat="1" applyFont="1" applyBorder="1" applyAlignment="1">
      <alignment horizontal="right" vertical="center"/>
    </xf>
    <xf numFmtId="208" fontId="14" fillId="0" borderId="7" xfId="0" applyNumberFormat="1" applyFont="1" applyBorder="1" applyAlignment="1">
      <alignment horizontal="right" vertical="center"/>
    </xf>
    <xf numFmtId="269" fontId="0" fillId="0" borderId="5" xfId="495" applyNumberFormat="1" applyFont="1" applyBorder="1" applyAlignment="1">
      <alignment horizontal="right" vertical="center"/>
    </xf>
    <xf numFmtId="269" fontId="0" fillId="0" borderId="75" xfId="495" applyNumberFormat="1" applyFont="1" applyBorder="1" applyAlignment="1">
      <alignment horizontal="right" vertical="center"/>
    </xf>
    <xf numFmtId="208" fontId="14" fillId="0" borderId="87" xfId="0" applyNumberFormat="1" applyFont="1" applyBorder="1" applyAlignment="1">
      <alignment vertical="center"/>
    </xf>
    <xf numFmtId="208" fontId="14" fillId="0" borderId="88" xfId="0" applyNumberFormat="1" applyFont="1" applyBorder="1" applyAlignment="1">
      <alignment vertical="center"/>
    </xf>
    <xf numFmtId="6" fontId="6" fillId="0" borderId="76" xfId="0" applyNumberFormat="1" applyFont="1" applyBorder="1" applyAlignment="1">
      <alignment horizontal="right" vertical="center"/>
    </xf>
    <xf numFmtId="6" fontId="6" fillId="0" borderId="8" xfId="0" applyNumberFormat="1" applyFont="1" applyBorder="1" applyAlignment="1">
      <alignment horizontal="right" vertical="center"/>
    </xf>
    <xf numFmtId="6" fontId="6" fillId="0" borderId="77" xfId="0" applyNumberFormat="1" applyFont="1" applyBorder="1" applyAlignment="1">
      <alignment horizontal="right" vertical="center"/>
    </xf>
    <xf numFmtId="6" fontId="0" fillId="0" borderId="76" xfId="495" applyNumberFormat="1" applyFont="1" applyBorder="1" applyAlignment="1">
      <alignment horizontal="right" vertical="center"/>
    </xf>
    <xf numFmtId="6" fontId="0" fillId="0" borderId="8" xfId="495" applyNumberFormat="1" applyFont="1" applyBorder="1" applyAlignment="1">
      <alignment horizontal="right" vertical="center"/>
    </xf>
    <xf numFmtId="6" fontId="0" fillId="0" borderId="77" xfId="495" applyNumberFormat="1" applyFont="1" applyBorder="1" applyAlignment="1">
      <alignment horizontal="right" vertical="center"/>
    </xf>
    <xf numFmtId="6" fontId="186" fillId="0" borderId="8" xfId="0" applyNumberFormat="1" applyFont="1" applyBorder="1" applyAlignment="1">
      <alignment horizontal="right" vertical="center"/>
    </xf>
    <xf numFmtId="6" fontId="40" fillId="0" borderId="8" xfId="0" applyNumberFormat="1" applyFont="1" applyBorder="1" applyAlignment="1">
      <alignment horizontal="right" vertical="center"/>
    </xf>
    <xf numFmtId="6" fontId="40" fillId="0" borderId="77" xfId="0" applyNumberFormat="1" applyFont="1" applyBorder="1" applyAlignment="1">
      <alignment horizontal="right" vertical="center"/>
    </xf>
    <xf numFmtId="208" fontId="14" fillId="0" borderId="74" xfId="0" applyNumberFormat="1" applyFont="1" applyBorder="1" applyAlignment="1">
      <alignment horizontal="right" vertical="center"/>
    </xf>
    <xf numFmtId="208" fontId="14" fillId="0" borderId="6" xfId="495" applyNumberFormat="1" applyFont="1" applyBorder="1" applyAlignment="1">
      <alignment horizontal="right" vertical="center"/>
    </xf>
    <xf numFmtId="208" fontId="14" fillId="0" borderId="0" xfId="495" applyNumberFormat="1" applyFont="1" applyBorder="1" applyAlignment="1">
      <alignment horizontal="right" vertical="center"/>
    </xf>
    <xf numFmtId="208" fontId="14" fillId="0" borderId="7" xfId="495" applyNumberFormat="1" applyFont="1" applyBorder="1" applyAlignment="1">
      <alignment horizontal="right" vertical="center"/>
    </xf>
    <xf numFmtId="0" fontId="6" fillId="0" borderId="0" xfId="1357" applyFont="1" applyAlignment="1">
      <alignment horizontal="left" vertical="center" indent="1"/>
    </xf>
    <xf numFmtId="208" fontId="6" fillId="0" borderId="0" xfId="497" applyNumberFormat="1" applyFont="1" applyAlignment="1">
      <alignment horizontal="left" vertical="center" indent="1"/>
    </xf>
    <xf numFmtId="208" fontId="6" fillId="0" borderId="54" xfId="497" applyNumberFormat="1" applyFont="1" applyBorder="1" applyAlignment="1">
      <alignment horizontal="left" vertical="center" indent="1"/>
    </xf>
    <xf numFmtId="229" fontId="10" fillId="0" borderId="0" xfId="34" applyNumberFormat="1" applyFont="1" applyAlignment="1">
      <alignment horizontal="right" vertical="center"/>
    </xf>
    <xf numFmtId="167" fontId="159" fillId="76" borderId="0" xfId="34" applyNumberFormat="1" applyFont="1" applyFill="1" applyBorder="1" applyAlignment="1">
      <alignment horizontal="right" vertical="center"/>
    </xf>
    <xf numFmtId="208" fontId="6" fillId="0" borderId="0" xfId="497" applyNumberFormat="1" applyFont="1" applyBorder="1" applyAlignment="1">
      <alignment horizontal="left" vertical="center" indent="1"/>
    </xf>
    <xf numFmtId="229" fontId="13" fillId="2" borderId="8" xfId="0" applyNumberFormat="1" applyFont="1" applyFill="1" applyBorder="1" applyAlignment="1">
      <alignment horizontal="left" vertical="center"/>
    </xf>
    <xf numFmtId="330" fontId="13" fillId="2" borderId="8" xfId="0" applyNumberFormat="1" applyFont="1" applyFill="1" applyBorder="1" applyAlignment="1">
      <alignment horizontal="left" vertical="center"/>
    </xf>
    <xf numFmtId="330" fontId="13" fillId="2" borderId="9" xfId="0" applyNumberFormat="1" applyFont="1" applyFill="1" applyBorder="1" applyAlignment="1">
      <alignment horizontal="left" vertical="center"/>
    </xf>
    <xf numFmtId="208" fontId="0" fillId="0" borderId="0" xfId="0" applyNumberFormat="1" applyBorder="1" applyAlignment="1">
      <alignment vertical="center"/>
    </xf>
    <xf numFmtId="222" fontId="0" fillId="0" borderId="0" xfId="0" applyNumberFormat="1" applyBorder="1" applyAlignment="1">
      <alignment vertical="center"/>
    </xf>
    <xf numFmtId="0" fontId="13" fillId="2" borderId="0" xfId="0" applyFont="1" applyFill="1" applyBorder="1" applyAlignment="1">
      <alignment horizontal="left" vertical="center"/>
    </xf>
    <xf numFmtId="229" fontId="159" fillId="0" borderId="0" xfId="34" applyNumberFormat="1" applyFont="1" applyAlignment="1">
      <alignment horizontal="right" vertical="center"/>
    </xf>
    <xf numFmtId="229" fontId="6" fillId="0" borderId="0" xfId="34" applyNumberFormat="1" applyFont="1" applyAlignment="1">
      <alignment horizontal="right" vertical="center"/>
    </xf>
    <xf numFmtId="0" fontId="6" fillId="0" borderId="0" xfId="1357" applyFont="1" applyBorder="1" applyAlignment="1">
      <alignment horizontal="left" vertical="center" indent="1"/>
    </xf>
    <xf numFmtId="0" fontId="19" fillId="0" borderId="0" xfId="0" applyFont="1" applyBorder="1"/>
    <xf numFmtId="0" fontId="14" fillId="0" borderId="46" xfId="0" applyFont="1" applyBorder="1"/>
    <xf numFmtId="10" fontId="159" fillId="0" borderId="0" xfId="494" applyNumberFormat="1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329" fontId="10" fillId="0" borderId="0" xfId="0" applyNumberFormat="1" applyFont="1" applyBorder="1" applyAlignment="1"/>
    <xf numFmtId="301" fontId="6" fillId="0" borderId="0" xfId="0" applyNumberFormat="1" applyFont="1" applyAlignment="1"/>
    <xf numFmtId="301" fontId="35" fillId="0" borderId="0" xfId="0" applyNumberFormat="1" applyFont="1" applyAlignment="1"/>
    <xf numFmtId="329" fontId="10" fillId="0" borderId="0" xfId="0" applyNumberFormat="1" applyFont="1" applyAlignment="1"/>
    <xf numFmtId="301" fontId="266" fillId="0" borderId="0" xfId="0" applyNumberFormat="1" applyFont="1" applyAlignment="1"/>
    <xf numFmtId="190" fontId="40" fillId="0" borderId="0" xfId="0" applyNumberFormat="1" applyFont="1" applyAlignment="1"/>
    <xf numFmtId="190" fontId="6" fillId="0" borderId="0" xfId="0" applyNumberFormat="1" applyFont="1" applyAlignment="1"/>
    <xf numFmtId="0" fontId="0" fillId="76" borderId="23" xfId="0" applyFill="1" applyBorder="1" applyAlignment="1"/>
    <xf numFmtId="301" fontId="159" fillId="0" borderId="0" xfId="0" applyNumberFormat="1" applyFont="1" applyAlignment="1"/>
    <xf numFmtId="301" fontId="159" fillId="76" borderId="0" xfId="0" applyNumberFormat="1" applyFont="1" applyFill="1" applyBorder="1" applyAlignment="1"/>
    <xf numFmtId="8" fontId="159" fillId="76" borderId="0" xfId="0" applyNumberFormat="1" applyFont="1" applyFill="1" applyBorder="1" applyAlignment="1"/>
    <xf numFmtId="208" fontId="6" fillId="0" borderId="0" xfId="0" applyNumberFormat="1" applyFont="1" applyAlignment="1"/>
    <xf numFmtId="203" fontId="0" fillId="0" borderId="6" xfId="0" applyNumberFormat="1" applyFont="1" applyBorder="1" applyAlignment="1">
      <alignment vertical="center"/>
    </xf>
    <xf numFmtId="165" fontId="25" fillId="0" borderId="87" xfId="0" applyNumberFormat="1" applyFont="1" applyBorder="1" applyAlignment="1">
      <alignment vertical="center"/>
    </xf>
    <xf numFmtId="165" fontId="25" fillId="0" borderId="1" xfId="0" applyNumberFormat="1" applyFont="1" applyBorder="1" applyAlignment="1">
      <alignment vertical="center"/>
    </xf>
    <xf numFmtId="165" fontId="25" fillId="0" borderId="88" xfId="0" applyNumberFormat="1" applyFont="1" applyBorder="1" applyAlignment="1">
      <alignment vertical="center"/>
    </xf>
    <xf numFmtId="229" fontId="0" fillId="76" borderId="7" xfId="0" applyNumberFormat="1" applyFont="1" applyFill="1" applyBorder="1" applyAlignment="1">
      <alignment horizontal="right"/>
    </xf>
    <xf numFmtId="301" fontId="0" fillId="76" borderId="7" xfId="0" applyNumberFormat="1" applyFont="1" applyFill="1" applyBorder="1" applyAlignment="1">
      <alignment horizontal="right"/>
    </xf>
    <xf numFmtId="208" fontId="13" fillId="2" borderId="77" xfId="494" applyNumberFormat="1" applyFont="1" applyFill="1" applyBorder="1" applyAlignment="1">
      <alignment vertical="center"/>
    </xf>
    <xf numFmtId="301" fontId="14" fillId="76" borderId="7" xfId="1188" applyNumberFormat="1" applyFont="1" applyFill="1" applyBorder="1" applyAlignment="1">
      <alignment horizontal="right"/>
    </xf>
    <xf numFmtId="301" fontId="318" fillId="76" borderId="7" xfId="0" applyNumberFormat="1" applyFont="1" applyFill="1" applyBorder="1" applyAlignment="1">
      <alignment horizontal="right" vertical="center" wrapText="1"/>
    </xf>
    <xf numFmtId="301" fontId="316" fillId="76" borderId="7" xfId="0" applyNumberFormat="1" applyFont="1" applyFill="1" applyBorder="1" applyAlignment="1">
      <alignment horizontal="right" vertical="center" wrapText="1"/>
    </xf>
    <xf numFmtId="9" fontId="316" fillId="76" borderId="7" xfId="0" applyNumberFormat="1" applyFont="1" applyFill="1" applyBorder="1" applyAlignment="1">
      <alignment horizontal="right" vertical="center" wrapText="1"/>
    </xf>
    <xf numFmtId="208" fontId="14" fillId="76" borderId="7" xfId="1188" applyNumberFormat="1" applyFont="1" applyFill="1" applyBorder="1" applyAlignment="1">
      <alignment horizontal="right"/>
    </xf>
    <xf numFmtId="301" fontId="317" fillId="76" borderId="7" xfId="0" applyNumberFormat="1" applyFont="1" applyFill="1" applyBorder="1" applyAlignment="1">
      <alignment horizontal="right" vertical="center" wrapText="1"/>
    </xf>
    <xf numFmtId="208" fontId="319" fillId="76" borderId="7" xfId="1188" applyNumberFormat="1" applyFont="1" applyFill="1" applyBorder="1" applyAlignment="1">
      <alignment horizontal="right" vertical="center" wrapText="1"/>
    </xf>
    <xf numFmtId="190" fontId="320" fillId="76" borderId="7" xfId="1188" applyNumberFormat="1" applyFont="1" applyFill="1" applyBorder="1" applyAlignment="1">
      <alignment horizontal="right" vertical="center" wrapText="1"/>
    </xf>
    <xf numFmtId="204" fontId="0" fillId="76" borderId="7" xfId="0" applyNumberFormat="1" applyFont="1" applyFill="1" applyBorder="1" applyAlignment="1">
      <alignment horizontal="right"/>
    </xf>
    <xf numFmtId="0" fontId="318" fillId="76" borderId="7" xfId="1188" applyNumberFormat="1" applyFont="1" applyFill="1" applyBorder="1" applyAlignment="1">
      <alignment horizontal="right" vertical="center" wrapText="1"/>
    </xf>
    <xf numFmtId="229" fontId="13" fillId="76" borderId="7" xfId="0" applyNumberFormat="1" applyFont="1" applyFill="1" applyBorder="1" applyAlignment="1">
      <alignment horizontal="right"/>
    </xf>
    <xf numFmtId="301" fontId="175" fillId="76" borderId="7" xfId="0" applyNumberFormat="1" applyFont="1" applyFill="1" applyBorder="1" applyAlignment="1">
      <alignment horizontal="right"/>
    </xf>
    <xf numFmtId="301" fontId="13" fillId="76" borderId="7" xfId="0" applyNumberFormat="1" applyFont="1" applyFill="1" applyBorder="1" applyAlignment="1">
      <alignment horizontal="right"/>
    </xf>
    <xf numFmtId="0" fontId="13" fillId="0" borderId="0" xfId="0" applyFont="1" applyAlignment="1">
      <alignment horizontal="left" vertical="center"/>
    </xf>
    <xf numFmtId="302" fontId="0" fillId="0" borderId="0" xfId="0" applyNumberFormat="1" applyFont="1" applyAlignment="1">
      <alignment vertical="center"/>
    </xf>
    <xf numFmtId="203" fontId="0" fillId="0" borderId="0" xfId="0" applyNumberFormat="1" applyFont="1"/>
    <xf numFmtId="0" fontId="10" fillId="76" borderId="0" xfId="495" applyFont="1" applyFill="1"/>
    <xf numFmtId="37" fontId="6" fillId="76" borderId="0" xfId="9" applyNumberFormat="1" applyFont="1" applyFill="1" applyAlignment="1">
      <alignment horizontal="center" vertical="top" wrapText="1"/>
    </xf>
    <xf numFmtId="0" fontId="6" fillId="76" borderId="0" xfId="0" applyFont="1" applyFill="1"/>
    <xf numFmtId="0" fontId="6" fillId="76" borderId="0" xfId="0" applyFont="1" applyFill="1" applyAlignment="1">
      <alignment horizontal="centerContinuous" vertical="center"/>
    </xf>
    <xf numFmtId="0" fontId="6" fillId="76" borderId="0" xfId="0" applyFont="1" applyFill="1" applyBorder="1"/>
    <xf numFmtId="0" fontId="0" fillId="0" borderId="0" xfId="0" applyBorder="1" applyAlignment="1"/>
    <xf numFmtId="228" fontId="0" fillId="0" borderId="89" xfId="0" applyNumberFormat="1" applyFont="1" applyBorder="1" applyAlignment="1">
      <alignment horizontal="center" vertical="center"/>
    </xf>
    <xf numFmtId="229" fontId="6" fillId="0" borderId="87" xfId="0" applyNumberFormat="1" applyFont="1" applyBorder="1" applyAlignment="1">
      <alignment horizontal="right" vertical="center"/>
    </xf>
    <xf numFmtId="229" fontId="6" fillId="0" borderId="1" xfId="0" applyNumberFormat="1" applyFont="1" applyBorder="1" applyAlignment="1">
      <alignment horizontal="right" vertical="center"/>
    </xf>
    <xf numFmtId="229" fontId="6" fillId="0" borderId="88" xfId="0" applyNumberFormat="1" applyFont="1" applyBorder="1" applyAlignment="1">
      <alignment horizontal="right" vertical="center"/>
    </xf>
    <xf numFmtId="224" fontId="6" fillId="0" borderId="6" xfId="0" applyNumberFormat="1" applyFont="1" applyBorder="1" applyAlignment="1">
      <alignment horizontal="right" vertical="center"/>
    </xf>
    <xf numFmtId="224" fontId="6" fillId="0" borderId="7" xfId="0" applyNumberFormat="1" applyFont="1" applyBorder="1" applyAlignment="1">
      <alignment horizontal="right" vertical="center"/>
    </xf>
    <xf numFmtId="224" fontId="25" fillId="0" borderId="6" xfId="0" applyNumberFormat="1" applyFont="1" applyBorder="1" applyAlignment="1">
      <alignment horizontal="right" vertical="center"/>
    </xf>
    <xf numFmtId="224" fontId="25" fillId="0" borderId="7" xfId="0" applyNumberFormat="1" applyFont="1" applyBorder="1" applyAlignment="1">
      <alignment horizontal="right" vertical="center"/>
    </xf>
    <xf numFmtId="165" fontId="15" fillId="0" borderId="6" xfId="0" applyNumberFormat="1" applyFont="1" applyBorder="1" applyAlignment="1">
      <alignment horizontal="right" vertical="center"/>
    </xf>
    <xf numFmtId="165" fontId="15" fillId="0" borderId="7" xfId="0" applyNumberFormat="1" applyFont="1" applyBorder="1" applyAlignment="1">
      <alignment horizontal="right" vertical="center"/>
    </xf>
    <xf numFmtId="225" fontId="6" fillId="0" borderId="6" xfId="0" applyNumberFormat="1" applyFont="1" applyBorder="1" applyAlignment="1">
      <alignment horizontal="right" vertical="center"/>
    </xf>
    <xf numFmtId="225" fontId="25" fillId="0" borderId="6" xfId="0" applyNumberFormat="1" applyFont="1" applyBorder="1" applyAlignment="1">
      <alignment horizontal="right" vertical="center"/>
    </xf>
    <xf numFmtId="225" fontId="25" fillId="0" borderId="7" xfId="0" applyNumberFormat="1" applyFont="1" applyBorder="1" applyAlignment="1">
      <alignment horizontal="right" vertical="center"/>
    </xf>
    <xf numFmtId="269" fontId="15" fillId="0" borderId="6" xfId="0" applyNumberFormat="1" applyFont="1" applyBorder="1" applyAlignment="1">
      <alignment horizontal="right" vertical="center"/>
    </xf>
    <xf numFmtId="269" fontId="15" fillId="0" borderId="7" xfId="0" applyNumberFormat="1" applyFont="1" applyBorder="1" applyAlignment="1">
      <alignment horizontal="right" vertical="center"/>
    </xf>
    <xf numFmtId="269" fontId="36" fillId="0" borderId="6" xfId="0" applyNumberFormat="1" applyFont="1" applyBorder="1" applyAlignment="1">
      <alignment horizontal="right" vertical="center"/>
    </xf>
    <xf numFmtId="269" fontId="36" fillId="0" borderId="7" xfId="0" applyNumberFormat="1" applyFont="1" applyBorder="1" applyAlignment="1">
      <alignment horizontal="right" vertical="center"/>
    </xf>
    <xf numFmtId="269" fontId="10" fillId="0" borderId="74" xfId="0" applyNumberFormat="1" applyFont="1" applyBorder="1" applyAlignment="1">
      <alignment horizontal="right" vertical="center"/>
    </xf>
    <xf numFmtId="269" fontId="10" fillId="0" borderId="5" xfId="0" applyNumberFormat="1" applyFont="1" applyBorder="1" applyAlignment="1">
      <alignment horizontal="right" vertical="center"/>
    </xf>
    <xf numFmtId="269" fontId="10" fillId="0" borderId="75" xfId="0" applyNumberFormat="1" applyFont="1" applyBorder="1" applyAlignment="1">
      <alignment horizontal="right" vertical="center"/>
    </xf>
    <xf numFmtId="229" fontId="15" fillId="0" borderId="1" xfId="0" applyNumberFormat="1" applyFont="1" applyBorder="1" applyAlignment="1">
      <alignment horizontal="right" vertical="center"/>
    </xf>
    <xf numFmtId="229" fontId="15" fillId="0" borderId="88" xfId="0" applyNumberFormat="1" applyFont="1" applyBorder="1" applyAlignment="1">
      <alignment horizontal="right" vertical="center"/>
    </xf>
    <xf numFmtId="224" fontId="15" fillId="0" borderId="7" xfId="0" applyNumberFormat="1" applyFont="1" applyBorder="1" applyAlignment="1">
      <alignment horizontal="right" vertical="center"/>
    </xf>
    <xf numFmtId="224" fontId="159" fillId="0" borderId="7" xfId="0" applyNumberFormat="1" applyFont="1" applyBorder="1" applyAlignment="1">
      <alignment horizontal="right" vertical="center"/>
    </xf>
    <xf numFmtId="224" fontId="161" fillId="0" borderId="7" xfId="0" applyNumberFormat="1" applyFont="1" applyBorder="1" applyAlignment="1">
      <alignment horizontal="right" vertical="center"/>
    </xf>
    <xf numFmtId="0" fontId="0" fillId="0" borderId="7" xfId="0" applyFont="1" applyBorder="1" applyAlignment="1">
      <alignment horizontal="right" vertical="center"/>
    </xf>
    <xf numFmtId="225" fontId="17" fillId="0" borderId="7" xfId="0" applyNumberFormat="1" applyFont="1" applyBorder="1" applyAlignment="1">
      <alignment horizontal="right" vertical="center"/>
    </xf>
    <xf numFmtId="269" fontId="327" fillId="0" borderId="6" xfId="0" applyNumberFormat="1" applyFont="1" applyBorder="1" applyAlignment="1">
      <alignment horizontal="right" vertical="center"/>
    </xf>
    <xf numFmtId="269" fontId="175" fillId="0" borderId="7" xfId="0" applyNumberFormat="1" applyFont="1" applyBorder="1" applyAlignment="1">
      <alignment horizontal="right" vertical="center"/>
    </xf>
    <xf numFmtId="269" fontId="13" fillId="0" borderId="5" xfId="0" applyNumberFormat="1" applyFont="1" applyBorder="1" applyAlignment="1">
      <alignment horizontal="right" vertical="center"/>
    </xf>
    <xf numFmtId="269" fontId="13" fillId="0" borderId="75" xfId="0" applyNumberFormat="1" applyFont="1" applyBorder="1" applyAlignment="1">
      <alignment horizontal="right" vertical="center"/>
    </xf>
    <xf numFmtId="229" fontId="15" fillId="0" borderId="87" xfId="0" applyNumberFormat="1" applyFont="1" applyBorder="1" applyAlignment="1">
      <alignment horizontal="right" vertical="center"/>
    </xf>
    <xf numFmtId="224" fontId="15" fillId="0" borderId="6" xfId="0" applyNumberFormat="1" applyFont="1" applyBorder="1" applyAlignment="1">
      <alignment horizontal="right" vertical="center"/>
    </xf>
    <xf numFmtId="224" fontId="159" fillId="0" borderId="6" xfId="0" applyNumberFormat="1" applyFont="1" applyBorder="1" applyAlignment="1">
      <alignment horizontal="right" vertical="center"/>
    </xf>
    <xf numFmtId="224" fontId="161" fillId="0" borderId="6" xfId="0" applyNumberFormat="1" applyFont="1" applyBorder="1" applyAlignment="1">
      <alignment horizontal="right" vertical="center"/>
    </xf>
    <xf numFmtId="0" fontId="0" fillId="0" borderId="6" xfId="0" applyFont="1" applyBorder="1" applyAlignment="1">
      <alignment horizontal="right" vertical="center"/>
    </xf>
    <xf numFmtId="225" fontId="40" fillId="0" borderId="6" xfId="0" applyNumberFormat="1" applyFont="1" applyFill="1" applyBorder="1" applyAlignment="1">
      <alignment horizontal="right" vertical="center"/>
    </xf>
    <xf numFmtId="225" fontId="17" fillId="0" borderId="6" xfId="0" applyNumberFormat="1" applyFont="1" applyBorder="1" applyAlignment="1">
      <alignment horizontal="right" vertical="center"/>
    </xf>
    <xf numFmtId="269" fontId="175" fillId="0" borderId="6" xfId="0" applyNumberFormat="1" applyFont="1" applyBorder="1" applyAlignment="1">
      <alignment horizontal="right" vertical="center"/>
    </xf>
    <xf numFmtId="269" fontId="13" fillId="0" borderId="74" xfId="0" applyNumberFormat="1" applyFont="1" applyBorder="1" applyAlignment="1">
      <alignment horizontal="right" vertical="center"/>
    </xf>
    <xf numFmtId="229" fontId="10" fillId="0" borderId="76" xfId="0" applyNumberFormat="1" applyFont="1" applyBorder="1" applyAlignment="1">
      <alignment horizontal="right" vertical="center"/>
    </xf>
    <xf numFmtId="229" fontId="10" fillId="0" borderId="8" xfId="0" applyNumberFormat="1" applyFont="1" applyBorder="1" applyAlignment="1">
      <alignment horizontal="right" vertical="center"/>
    </xf>
    <xf numFmtId="229" fontId="10" fillId="0" borderId="77" xfId="0" applyNumberFormat="1" applyFont="1" applyBorder="1" applyAlignment="1">
      <alignment horizontal="right" vertical="center"/>
    </xf>
    <xf numFmtId="269" fontId="6" fillId="0" borderId="87" xfId="0" applyNumberFormat="1" applyFont="1" applyBorder="1" applyAlignment="1">
      <alignment horizontal="right" vertical="center"/>
    </xf>
    <xf numFmtId="269" fontId="0" fillId="0" borderId="1" xfId="0" applyNumberFormat="1" applyFont="1" applyBorder="1" applyAlignment="1">
      <alignment horizontal="right" vertical="center"/>
    </xf>
    <xf numFmtId="269" fontId="0" fillId="0" borderId="88" xfId="0" applyNumberFormat="1" applyFont="1" applyBorder="1" applyAlignment="1">
      <alignment horizontal="right" vertical="center"/>
    </xf>
    <xf numFmtId="269" fontId="0" fillId="0" borderId="87" xfId="0" applyNumberFormat="1" applyFont="1" applyBorder="1" applyAlignment="1">
      <alignment horizontal="right" vertical="center"/>
    </xf>
    <xf numFmtId="269" fontId="36" fillId="0" borderId="74" xfId="0" applyNumberFormat="1" applyFont="1" applyBorder="1" applyAlignment="1">
      <alignment horizontal="right" vertical="center"/>
    </xf>
    <xf numFmtId="269" fontId="36" fillId="0" borderId="5" xfId="0" applyNumberFormat="1" applyFont="1" applyBorder="1" applyAlignment="1">
      <alignment horizontal="right" vertical="center"/>
    </xf>
    <xf numFmtId="269" fontId="6" fillId="0" borderId="74" xfId="0" applyNumberFormat="1" applyFont="1" applyBorder="1" applyAlignment="1">
      <alignment horizontal="right" vertical="center"/>
    </xf>
    <xf numFmtId="269" fontId="6" fillId="0" borderId="75" xfId="0" applyNumberFormat="1" applyFont="1" applyBorder="1" applyAlignment="1">
      <alignment horizontal="right" vertical="center"/>
    </xf>
    <xf numFmtId="269" fontId="0" fillId="0" borderId="5" xfId="0" applyNumberFormat="1" applyFont="1" applyBorder="1" applyAlignment="1">
      <alignment horizontal="right" vertical="center"/>
    </xf>
    <xf numFmtId="269" fontId="0" fillId="0" borderId="75" xfId="0" applyNumberFormat="1" applyFont="1" applyBorder="1" applyAlignment="1">
      <alignment horizontal="right" vertical="center"/>
    </xf>
    <xf numFmtId="269" fontId="0" fillId="0" borderId="74" xfId="0" applyNumberFormat="1" applyFont="1" applyBorder="1" applyAlignment="1">
      <alignment horizontal="right" vertical="center"/>
    </xf>
    <xf numFmtId="301" fontId="257" fillId="0" borderId="0" xfId="0" applyNumberFormat="1" applyFont="1" applyBorder="1" applyAlignment="1">
      <alignment vertical="center"/>
    </xf>
    <xf numFmtId="229" fontId="159" fillId="0" borderId="1" xfId="0" applyNumberFormat="1" applyFont="1" applyBorder="1" applyAlignment="1">
      <alignment vertical="center"/>
    </xf>
    <xf numFmtId="229" fontId="159" fillId="0" borderId="39" xfId="0" applyNumberFormat="1" applyFont="1" applyBorder="1" applyAlignment="1">
      <alignment vertical="center"/>
    </xf>
    <xf numFmtId="229" fontId="257" fillId="0" borderId="0" xfId="0" applyNumberFormat="1" applyFont="1" applyAlignment="1">
      <alignment vertical="center"/>
    </xf>
    <xf numFmtId="301" fontId="6" fillId="0" borderId="6" xfId="0" applyNumberFormat="1" applyFont="1" applyBorder="1" applyAlignment="1">
      <alignment vertical="center"/>
    </xf>
    <xf numFmtId="301" fontId="13" fillId="2" borderId="6" xfId="0" applyNumberFormat="1" applyFont="1" applyFill="1" applyBorder="1" applyAlignment="1">
      <alignment horizontal="right" vertical="center"/>
    </xf>
    <xf numFmtId="301" fontId="13" fillId="2" borderId="7" xfId="0" applyNumberFormat="1" applyFont="1" applyFill="1" applyBorder="1" applyAlignment="1">
      <alignment horizontal="right" vertical="center"/>
    </xf>
    <xf numFmtId="229" fontId="21" fillId="0" borderId="1" xfId="0" applyNumberFormat="1" applyFont="1" applyBorder="1" applyAlignment="1">
      <alignment vertical="center"/>
    </xf>
    <xf numFmtId="8" fontId="10" fillId="0" borderId="0" xfId="0" applyNumberFormat="1" applyFont="1" applyBorder="1" applyAlignment="1">
      <alignment vertical="center"/>
    </xf>
    <xf numFmtId="229" fontId="15" fillId="0" borderId="87" xfId="0" applyNumberFormat="1" applyFont="1" applyBorder="1" applyAlignment="1">
      <alignment vertical="center"/>
    </xf>
    <xf numFmtId="229" fontId="15" fillId="0" borderId="1" xfId="0" applyNumberFormat="1" applyFont="1" applyBorder="1" applyAlignment="1">
      <alignment vertical="center"/>
    </xf>
    <xf numFmtId="229" fontId="15" fillId="0" borderId="88" xfId="0" applyNumberFormat="1" applyFont="1" applyBorder="1" applyAlignment="1">
      <alignment vertical="center"/>
    </xf>
    <xf numFmtId="165" fontId="0" fillId="0" borderId="74" xfId="0" applyNumberFormat="1" applyFont="1" applyBorder="1" applyAlignment="1">
      <alignment vertical="center"/>
    </xf>
    <xf numFmtId="165" fontId="0" fillId="0" borderId="5" xfId="0" applyNumberFormat="1" applyFont="1" applyBorder="1" applyAlignment="1">
      <alignment vertical="center"/>
    </xf>
    <xf numFmtId="328" fontId="0" fillId="0" borderId="5" xfId="0" quotePrefix="1" applyNumberFormat="1" applyFont="1" applyBorder="1" applyAlignment="1">
      <alignment vertical="center"/>
    </xf>
    <xf numFmtId="328" fontId="0" fillId="0" borderId="75" xfId="0" quotePrefix="1" applyNumberFormat="1" applyFont="1" applyBorder="1" applyAlignment="1">
      <alignment vertical="center"/>
    </xf>
    <xf numFmtId="328" fontId="0" fillId="0" borderId="87" xfId="0" applyNumberFormat="1" applyFont="1" applyBorder="1" applyAlignment="1">
      <alignment vertical="center"/>
    </xf>
    <xf numFmtId="328" fontId="0" fillId="0" borderId="1" xfId="0" applyNumberFormat="1" applyFont="1" applyBorder="1" applyAlignment="1">
      <alignment vertical="center"/>
    </xf>
    <xf numFmtId="328" fontId="0" fillId="0" borderId="88" xfId="0" applyNumberFormat="1" applyFont="1" applyBorder="1" applyAlignment="1">
      <alignment vertical="center"/>
    </xf>
    <xf numFmtId="328" fontId="0" fillId="0" borderId="74" xfId="0" applyNumberFormat="1" applyFont="1" applyBorder="1" applyAlignment="1">
      <alignment vertical="center"/>
    </xf>
    <xf numFmtId="328" fontId="0" fillId="0" borderId="5" xfId="0" applyNumberFormat="1" applyFont="1" applyBorder="1" applyAlignment="1">
      <alignment vertical="center"/>
    </xf>
    <xf numFmtId="328" fontId="0" fillId="0" borderId="75" xfId="0" applyNumberFormat="1" applyFont="1" applyBorder="1" applyAlignment="1">
      <alignment vertical="center"/>
    </xf>
    <xf numFmtId="277" fontId="0" fillId="0" borderId="87" xfId="0" applyNumberFormat="1" applyFont="1" applyBorder="1" applyAlignment="1">
      <alignment vertical="center"/>
    </xf>
    <xf numFmtId="277" fontId="0" fillId="0" borderId="1" xfId="0" applyNumberFormat="1" applyFont="1" applyBorder="1" applyAlignment="1">
      <alignment vertical="center"/>
    </xf>
    <xf numFmtId="277" fontId="0" fillId="0" borderId="88" xfId="0" applyNumberFormat="1" applyFont="1" applyBorder="1" applyAlignment="1">
      <alignment vertical="center"/>
    </xf>
    <xf numFmtId="277" fontId="0" fillId="0" borderId="74" xfId="0" applyNumberFormat="1" applyFont="1" applyBorder="1" applyAlignment="1">
      <alignment vertical="center"/>
    </xf>
    <xf numFmtId="277" fontId="0" fillId="0" borderId="5" xfId="0" applyNumberFormat="1" applyFont="1" applyBorder="1" applyAlignment="1">
      <alignment vertical="center"/>
    </xf>
    <xf numFmtId="277" fontId="0" fillId="0" borderId="75" xfId="0" applyNumberFormat="1" applyFont="1" applyBorder="1" applyAlignment="1">
      <alignment vertical="center"/>
    </xf>
    <xf numFmtId="329" fontId="15" fillId="0" borderId="87" xfId="0" applyNumberFormat="1" applyFont="1" applyBorder="1" applyAlignment="1">
      <alignment vertical="center"/>
    </xf>
    <xf numFmtId="329" fontId="0" fillId="0" borderId="1" xfId="0" applyNumberFormat="1" applyFont="1" applyBorder="1" applyAlignment="1">
      <alignment vertical="center"/>
    </xf>
    <xf numFmtId="329" fontId="0" fillId="0" borderId="88" xfId="0" applyNumberFormat="1" applyFont="1" applyBorder="1" applyAlignment="1">
      <alignment vertical="center"/>
    </xf>
    <xf numFmtId="8" fontId="10" fillId="0" borderId="5" xfId="0" applyNumberFormat="1" applyFont="1" applyBorder="1" applyAlignment="1">
      <alignment vertical="center"/>
    </xf>
    <xf numFmtId="8" fontId="10" fillId="0" borderId="75" xfId="0" applyNumberFormat="1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25" fontId="0" fillId="0" borderId="0" xfId="0" applyNumberFormat="1" applyBorder="1" applyAlignment="1">
      <alignment vertical="center"/>
    </xf>
    <xf numFmtId="269" fontId="0" fillId="0" borderId="0" xfId="0" applyNumberFormat="1" applyBorder="1" applyAlignment="1">
      <alignment vertical="center"/>
    </xf>
    <xf numFmtId="330" fontId="0" fillId="0" borderId="0" xfId="0" applyNumberFormat="1" applyFont="1" applyBorder="1" applyAlignment="1">
      <alignment vertical="center"/>
    </xf>
    <xf numFmtId="330" fontId="0" fillId="0" borderId="0" xfId="0" applyNumberFormat="1" applyBorder="1" applyAlignment="1">
      <alignment vertical="center"/>
    </xf>
    <xf numFmtId="229" fontId="0" fillId="0" borderId="0" xfId="0" applyNumberFormat="1" applyBorder="1" applyAlignment="1">
      <alignment vertical="center"/>
    </xf>
    <xf numFmtId="330" fontId="13" fillId="0" borderId="0" xfId="0" applyNumberFormat="1" applyFont="1" applyBorder="1" applyAlignment="1">
      <alignment vertical="center"/>
    </xf>
    <xf numFmtId="301" fontId="0" fillId="0" borderId="0" xfId="0" applyNumberFormat="1" applyBorder="1" applyAlignment="1">
      <alignment vertical="center"/>
    </xf>
    <xf numFmtId="44" fontId="0" fillId="0" borderId="0" xfId="0" applyNumberFormat="1" applyBorder="1" applyAlignment="1">
      <alignment vertical="center"/>
    </xf>
    <xf numFmtId="3" fontId="0" fillId="0" borderId="0" xfId="0" applyNumberFormat="1" applyBorder="1" applyAlignment="1">
      <alignment vertical="center"/>
    </xf>
    <xf numFmtId="277" fontId="159" fillId="76" borderId="0" xfId="1188" applyNumberFormat="1" applyFont="1" applyFill="1" applyBorder="1" applyAlignment="1">
      <alignment horizontal="right" vertical="center" wrapText="1"/>
    </xf>
    <xf numFmtId="277" fontId="159" fillId="76" borderId="7" xfId="1188" applyNumberFormat="1" applyFont="1" applyFill="1" applyBorder="1" applyAlignment="1">
      <alignment horizontal="right" vertical="center" wrapText="1"/>
    </xf>
    <xf numFmtId="301" fontId="6" fillId="76" borderId="87" xfId="0" applyNumberFormat="1" applyFont="1" applyFill="1" applyBorder="1"/>
    <xf numFmtId="301" fontId="6" fillId="76" borderId="1" xfId="0" applyNumberFormat="1" applyFont="1" applyFill="1" applyBorder="1" applyAlignment="1">
      <alignment horizontal="right"/>
    </xf>
    <xf numFmtId="301" fontId="6" fillId="76" borderId="1" xfId="1188" applyNumberFormat="1" applyFont="1" applyFill="1" applyBorder="1" applyAlignment="1">
      <alignment horizontal="right" vertical="center" wrapText="1"/>
    </xf>
    <xf numFmtId="301" fontId="6" fillId="76" borderId="88" xfId="1188" applyNumberFormat="1" applyFont="1" applyFill="1" applyBorder="1" applyAlignment="1">
      <alignment horizontal="right" vertical="center" wrapText="1"/>
    </xf>
    <xf numFmtId="301" fontId="40" fillId="76" borderId="1" xfId="1188" applyNumberFormat="1" applyFont="1" applyFill="1" applyBorder="1" applyAlignment="1">
      <alignment horizontal="right" vertical="center" wrapText="1"/>
    </xf>
    <xf numFmtId="2" fontId="0" fillId="76" borderId="74" xfId="0" applyNumberFormat="1" applyFont="1" applyFill="1" applyBorder="1"/>
    <xf numFmtId="190" fontId="320" fillId="76" borderId="5" xfId="1188" applyNumberFormat="1" applyFont="1" applyFill="1" applyBorder="1" applyAlignment="1">
      <alignment horizontal="right" vertical="center" wrapText="1"/>
    </xf>
    <xf numFmtId="190" fontId="320" fillId="76" borderId="75" xfId="1188" applyNumberFormat="1" applyFont="1" applyFill="1" applyBorder="1" applyAlignment="1">
      <alignment horizontal="right" vertical="center" wrapText="1"/>
    </xf>
    <xf numFmtId="16" fontId="185" fillId="76" borderId="10" xfId="9" applyNumberFormat="1" applyFont="1" applyFill="1" applyBorder="1" applyAlignment="1">
      <alignment horizontal="center"/>
    </xf>
    <xf numFmtId="8" fontId="25" fillId="0" borderId="0" xfId="0" applyNumberFormat="1" applyFont="1" applyBorder="1" applyAlignment="1">
      <alignment vertical="center"/>
    </xf>
    <xf numFmtId="8" fontId="257" fillId="0" borderId="74" xfId="0" applyNumberFormat="1" applyFont="1" applyBorder="1" applyAlignment="1">
      <alignment vertical="center"/>
    </xf>
    <xf numFmtId="8" fontId="257" fillId="0" borderId="5" xfId="0" applyNumberFormat="1" applyFont="1" applyBorder="1" applyAlignment="1">
      <alignment vertical="center"/>
    </xf>
    <xf numFmtId="301" fontId="13" fillId="76" borderId="7" xfId="0" applyNumberFormat="1" applyFont="1" applyFill="1" applyBorder="1" applyAlignment="1">
      <alignment horizontal="right" vertical="center"/>
    </xf>
    <xf numFmtId="229" fontId="257" fillId="0" borderId="7" xfId="0" applyNumberFormat="1" applyFont="1" applyBorder="1" applyAlignment="1">
      <alignment vertical="center"/>
    </xf>
    <xf numFmtId="301" fontId="0" fillId="0" borderId="7" xfId="0" applyNumberFormat="1" applyFont="1" applyBorder="1" applyAlignment="1">
      <alignment vertical="center"/>
    </xf>
    <xf numFmtId="301" fontId="257" fillId="0" borderId="7" xfId="0" applyNumberFormat="1" applyFont="1" applyBorder="1" applyAlignment="1">
      <alignment vertical="center"/>
    </xf>
    <xf numFmtId="301" fontId="175" fillId="0" borderId="7" xfId="0" applyNumberFormat="1" applyFont="1" applyBorder="1" applyAlignment="1">
      <alignment vertical="center"/>
    </xf>
    <xf numFmtId="165" fontId="14" fillId="0" borderId="7" xfId="0" applyNumberFormat="1" applyFont="1" applyBorder="1" applyAlignment="1">
      <alignment vertical="center"/>
    </xf>
    <xf numFmtId="301" fontId="13" fillId="2" borderId="77" xfId="0" applyNumberFormat="1" applyFont="1" applyFill="1" applyBorder="1" applyAlignment="1">
      <alignment horizontal="right" vertical="center"/>
    </xf>
    <xf numFmtId="229" fontId="159" fillId="0" borderId="88" xfId="0" applyNumberFormat="1" applyFont="1" applyBorder="1" applyAlignment="1">
      <alignment vertical="center"/>
    </xf>
    <xf numFmtId="229" fontId="159" fillId="0" borderId="90" xfId="0" applyNumberFormat="1" applyFont="1" applyBorder="1" applyAlignment="1">
      <alignment vertical="center"/>
    </xf>
    <xf numFmtId="0" fontId="322" fillId="0" borderId="0" xfId="495" applyFont="1" applyAlignment="1">
      <alignment vertical="center"/>
    </xf>
    <xf numFmtId="301" fontId="10" fillId="0" borderId="6" xfId="0" applyNumberFormat="1" applyFont="1" applyBorder="1" applyAlignment="1">
      <alignment vertical="center"/>
    </xf>
    <xf numFmtId="301" fontId="10" fillId="0" borderId="0" xfId="0" applyNumberFormat="1" applyFont="1" applyBorder="1" applyAlignment="1">
      <alignment vertical="center"/>
    </xf>
    <xf numFmtId="301" fontId="10" fillId="0" borderId="7" xfId="0" applyNumberFormat="1" applyFont="1" applyBorder="1" applyAlignment="1">
      <alignment vertical="center"/>
    </xf>
    <xf numFmtId="301" fontId="6" fillId="0" borderId="0" xfId="0" applyNumberFormat="1" applyFont="1" applyBorder="1" applyAlignment="1">
      <alignment vertical="center"/>
    </xf>
    <xf numFmtId="301" fontId="6" fillId="0" borderId="7" xfId="0" applyNumberFormat="1" applyFont="1" applyBorder="1" applyAlignment="1">
      <alignment vertical="center"/>
    </xf>
    <xf numFmtId="301" fontId="40" fillId="0" borderId="0" xfId="0" applyNumberFormat="1" applyFont="1" applyBorder="1" applyAlignment="1">
      <alignment vertical="center"/>
    </xf>
    <xf numFmtId="301" fontId="15" fillId="0" borderId="0" xfId="0" applyNumberFormat="1" applyFont="1" applyBorder="1" applyAlignment="1">
      <alignment vertical="center"/>
    </xf>
    <xf numFmtId="301" fontId="6" fillId="0" borderId="74" xfId="0" applyNumberFormat="1" applyFont="1" applyBorder="1" applyAlignment="1">
      <alignment vertical="center"/>
    </xf>
    <xf numFmtId="301" fontId="6" fillId="0" borderId="5" xfId="0" applyNumberFormat="1" applyFont="1" applyBorder="1" applyAlignment="1">
      <alignment vertical="center"/>
    </xf>
    <xf numFmtId="301" fontId="6" fillId="0" borderId="75" xfId="0" applyNumberFormat="1" applyFont="1" applyBorder="1" applyAlignment="1">
      <alignment vertical="center"/>
    </xf>
    <xf numFmtId="301" fontId="40" fillId="0" borderId="5" xfId="0" applyNumberFormat="1" applyFont="1" applyBorder="1" applyAlignment="1">
      <alignment vertical="center"/>
    </xf>
    <xf numFmtId="43" fontId="15" fillId="0" borderId="6" xfId="0" applyNumberFormat="1" applyFont="1" applyBorder="1" applyAlignment="1">
      <alignment vertical="center"/>
    </xf>
    <xf numFmtId="43" fontId="15" fillId="0" borderId="0" xfId="0" applyNumberFormat="1" applyFont="1" applyBorder="1" applyAlignment="1">
      <alignment vertical="center"/>
    </xf>
    <xf numFmtId="43" fontId="15" fillId="0" borderId="7" xfId="0" applyNumberFormat="1" applyFont="1" applyBorder="1" applyAlignment="1">
      <alignment vertical="center"/>
    </xf>
    <xf numFmtId="277" fontId="40" fillId="0" borderId="0" xfId="0" applyNumberFormat="1" applyFont="1" applyBorder="1" applyAlignment="1">
      <alignment vertical="center"/>
    </xf>
    <xf numFmtId="277" fontId="40" fillId="0" borderId="7" xfId="0" applyNumberFormat="1" applyFont="1" applyBorder="1" applyAlignment="1">
      <alignment vertical="center"/>
    </xf>
    <xf numFmtId="277" fontId="40" fillId="0" borderId="6" xfId="0" applyNumberFormat="1" applyFont="1" applyBorder="1" applyAlignment="1">
      <alignment vertical="center"/>
    </xf>
    <xf numFmtId="208" fontId="18" fillId="0" borderId="87" xfId="494" applyNumberFormat="1" applyFont="1" applyBorder="1" applyAlignment="1">
      <alignment vertical="center"/>
    </xf>
    <xf numFmtId="208" fontId="18" fillId="0" borderId="1" xfId="494" applyNumberFormat="1" applyFont="1" applyBorder="1" applyAlignment="1">
      <alignment vertical="center"/>
    </xf>
    <xf numFmtId="208" fontId="18" fillId="0" borderId="88" xfId="494" applyNumberFormat="1" applyFont="1" applyBorder="1" applyAlignment="1">
      <alignment vertical="center"/>
    </xf>
    <xf numFmtId="208" fontId="164" fillId="0" borderId="1" xfId="494" applyNumberFormat="1" applyFont="1" applyBorder="1" applyAlignment="1">
      <alignment vertical="center"/>
    </xf>
    <xf numFmtId="208" fontId="18" fillId="0" borderId="0" xfId="494" applyNumberFormat="1" applyFont="1" applyBorder="1" applyAlignment="1">
      <alignment vertical="center"/>
    </xf>
    <xf numFmtId="208" fontId="18" fillId="0" borderId="7" xfId="494" applyNumberFormat="1" applyFont="1" applyBorder="1" applyAlignment="1">
      <alignment vertical="center"/>
    </xf>
    <xf numFmtId="208" fontId="18" fillId="0" borderId="6" xfId="494" applyNumberFormat="1" applyFont="1" applyBorder="1" applyAlignment="1">
      <alignment vertical="center"/>
    </xf>
    <xf numFmtId="208" fontId="18" fillId="0" borderId="74" xfId="494" applyNumberFormat="1" applyFont="1" applyBorder="1" applyAlignment="1">
      <alignment vertical="center"/>
    </xf>
    <xf numFmtId="208" fontId="18" fillId="0" borderId="5" xfId="494" applyNumberFormat="1" applyFont="1" applyBorder="1" applyAlignment="1">
      <alignment vertical="center"/>
    </xf>
    <xf numFmtId="208" fontId="18" fillId="0" borderId="75" xfId="494" applyNumberFormat="1" applyFont="1" applyBorder="1" applyAlignment="1">
      <alignment vertical="center"/>
    </xf>
    <xf numFmtId="208" fontId="164" fillId="0" borderId="5" xfId="494" applyNumberFormat="1" applyFont="1" applyBorder="1" applyAlignment="1">
      <alignment vertical="center"/>
    </xf>
    <xf numFmtId="229" fontId="15" fillId="0" borderId="74" xfId="0" applyNumberFormat="1" applyFont="1" applyBorder="1" applyAlignment="1">
      <alignment vertical="center"/>
    </xf>
    <xf numFmtId="229" fontId="15" fillId="0" borderId="5" xfId="0" applyNumberFormat="1" applyFont="1" applyBorder="1" applyAlignment="1">
      <alignment vertical="center"/>
    </xf>
    <xf numFmtId="229" fontId="15" fillId="0" borderId="75" xfId="0" applyNumberFormat="1" applyFont="1" applyBorder="1" applyAlignment="1">
      <alignment vertical="center"/>
    </xf>
    <xf numFmtId="0" fontId="6" fillId="76" borderId="0" xfId="0" applyFont="1" applyFill="1" applyAlignment="1">
      <alignment vertical="center"/>
    </xf>
    <xf numFmtId="301" fontId="10" fillId="0" borderId="0" xfId="6" applyNumberFormat="1" applyFont="1" applyBorder="1" applyAlignment="1">
      <alignment horizontal="left" vertical="center"/>
    </xf>
    <xf numFmtId="269" fontId="22" fillId="0" borderId="0" xfId="6" applyNumberFormat="1" applyFont="1" applyBorder="1" applyAlignment="1">
      <alignment horizontal="left" vertical="center"/>
    </xf>
    <xf numFmtId="328" fontId="21" fillId="0" borderId="0" xfId="6" applyNumberFormat="1" applyFont="1" applyBorder="1" applyAlignment="1">
      <alignment horizontal="left" vertical="center"/>
    </xf>
    <xf numFmtId="44" fontId="21" fillId="0" borderId="0" xfId="6" applyNumberFormat="1" applyFont="1" applyBorder="1" applyAlignment="1">
      <alignment horizontal="left" vertical="center"/>
    </xf>
    <xf numFmtId="0" fontId="268" fillId="0" borderId="0" xfId="6" applyFont="1" applyBorder="1" applyAlignment="1">
      <alignment horizontal="left" vertical="center"/>
    </xf>
    <xf numFmtId="301" fontId="22" fillId="0" borderId="0" xfId="6" applyNumberFormat="1" applyFont="1" applyBorder="1" applyAlignment="1">
      <alignment horizontal="left" vertical="center"/>
    </xf>
    <xf numFmtId="4" fontId="22" fillId="0" borderId="0" xfId="6" applyNumberFormat="1" applyFont="1" applyBorder="1" applyAlignment="1">
      <alignment horizontal="left" vertical="center"/>
    </xf>
    <xf numFmtId="3" fontId="22" fillId="0" borderId="0" xfId="6" applyNumberFormat="1" applyFont="1" applyBorder="1" applyAlignment="1">
      <alignment horizontal="left" vertical="center"/>
    </xf>
    <xf numFmtId="329" fontId="22" fillId="0" borderId="0" xfId="6" applyNumberFormat="1" applyFont="1" applyBorder="1" applyAlignment="1">
      <alignment horizontal="left" vertical="center"/>
    </xf>
    <xf numFmtId="208" fontId="22" fillId="0" borderId="0" xfId="6" applyNumberFormat="1" applyFont="1" applyBorder="1" applyAlignment="1">
      <alignment horizontal="left" vertical="center"/>
    </xf>
    <xf numFmtId="224" fontId="0" fillId="0" borderId="0" xfId="0" applyNumberFormat="1" applyFont="1" applyAlignment="1">
      <alignment vertical="center"/>
    </xf>
    <xf numFmtId="224" fontId="0" fillId="0" borderId="0" xfId="0" applyNumberFormat="1" applyFont="1" applyBorder="1" applyAlignment="1">
      <alignment vertical="center"/>
    </xf>
    <xf numFmtId="224" fontId="6" fillId="0" borderId="0" xfId="0" applyNumberFormat="1" applyFont="1" applyAlignment="1">
      <alignment vertical="center"/>
    </xf>
    <xf numFmtId="224" fontId="6" fillId="0" borderId="0" xfId="0" applyNumberFormat="1" applyFont="1" applyBorder="1" applyAlignment="1">
      <alignment vertical="center"/>
    </xf>
    <xf numFmtId="229" fontId="10" fillId="0" borderId="0" xfId="495" applyNumberFormat="1" applyFont="1" applyAlignment="1">
      <alignment horizontal="left" vertical="center"/>
    </xf>
    <xf numFmtId="225" fontId="0" fillId="0" borderId="66" xfId="0" applyNumberFormat="1" applyFont="1" applyBorder="1" applyAlignment="1">
      <alignment vertical="center"/>
    </xf>
    <xf numFmtId="225" fontId="17" fillId="0" borderId="0" xfId="0" applyNumberFormat="1" applyFont="1" applyAlignment="1">
      <alignment vertical="center"/>
    </xf>
    <xf numFmtId="225" fontId="17" fillId="0" borderId="66" xfId="0" applyNumberFormat="1" applyFont="1" applyBorder="1" applyAlignment="1">
      <alignment vertical="center"/>
    </xf>
    <xf numFmtId="269" fontId="6" fillId="0" borderId="0" xfId="495" applyNumberFormat="1" applyFont="1" applyFill="1" applyAlignment="1">
      <alignment vertical="center"/>
    </xf>
    <xf numFmtId="269" fontId="6" fillId="0" borderId="0" xfId="495" applyNumberFormat="1" applyFont="1" applyAlignment="1">
      <alignment vertical="center"/>
    </xf>
    <xf numFmtId="269" fontId="175" fillId="0" borderId="0" xfId="0" applyNumberFormat="1" applyFont="1" applyAlignment="1">
      <alignment vertical="center"/>
    </xf>
    <xf numFmtId="269" fontId="10" fillId="0" borderId="0" xfId="495" applyNumberFormat="1" applyFont="1" applyAlignment="1">
      <alignment horizontal="left" vertical="center"/>
    </xf>
    <xf numFmtId="269" fontId="13" fillId="0" borderId="0" xfId="0" applyNumberFormat="1" applyFont="1" applyAlignment="1">
      <alignment vertical="center"/>
    </xf>
    <xf numFmtId="269" fontId="13" fillId="0" borderId="66" xfId="0" applyNumberFormat="1" applyFont="1" applyBorder="1" applyAlignment="1">
      <alignment vertical="center"/>
    </xf>
    <xf numFmtId="269" fontId="13" fillId="0" borderId="0" xfId="0" applyNumberFormat="1" applyFont="1" applyBorder="1" applyAlignment="1">
      <alignment vertical="center"/>
    </xf>
    <xf numFmtId="269" fontId="267" fillId="0" borderId="66" xfId="0" applyNumberFormat="1" applyFont="1" applyBorder="1" applyAlignment="1">
      <alignment vertical="center"/>
    </xf>
    <xf numFmtId="0" fontId="21" fillId="0" borderId="0" xfId="0" applyNumberFormat="1" applyFont="1" applyAlignment="1">
      <alignment horizontal="right" vertical="center" wrapText="1"/>
    </xf>
    <xf numFmtId="269" fontId="6" fillId="0" borderId="0" xfId="495" applyNumberFormat="1" applyFont="1" applyAlignment="1">
      <alignment horizontal="left" vertical="center"/>
    </xf>
    <xf numFmtId="269" fontId="10" fillId="0" borderId="0" xfId="495" applyNumberFormat="1" applyFont="1" applyAlignment="1">
      <alignment vertical="center"/>
    </xf>
    <xf numFmtId="225" fontId="176" fillId="0" borderId="0" xfId="495" applyNumberFormat="1" applyFont="1" applyAlignment="1">
      <alignment horizontal="left" vertical="center"/>
    </xf>
    <xf numFmtId="0" fontId="22" fillId="0" borderId="0" xfId="494" applyNumberFormat="1" applyFont="1" applyAlignment="1">
      <alignment horizontal="left" vertical="center" indent="1"/>
    </xf>
    <xf numFmtId="0" fontId="22" fillId="0" borderId="0" xfId="0" applyNumberFormat="1" applyFont="1" applyAlignment="1">
      <alignment horizontal="left" vertical="center" indent="1"/>
    </xf>
    <xf numFmtId="0" fontId="6" fillId="0" borderId="0" xfId="495" applyNumberFormat="1" applyFont="1" applyBorder="1" applyAlignment="1">
      <alignment horizontal="left" vertical="center" indent="1"/>
    </xf>
    <xf numFmtId="0" fontId="6" fillId="0" borderId="0" xfId="495" applyFont="1" applyBorder="1" applyAlignment="1">
      <alignment horizontal="left" vertical="center" indent="1"/>
    </xf>
    <xf numFmtId="0" fontId="6" fillId="0" borderId="87" xfId="495" applyFont="1" applyBorder="1" applyAlignment="1">
      <alignment horizontal="left" vertical="center"/>
    </xf>
    <xf numFmtId="301" fontId="0" fillId="0" borderId="1" xfId="0" applyNumberFormat="1" applyFont="1" applyBorder="1" applyAlignment="1">
      <alignment vertical="center"/>
    </xf>
    <xf numFmtId="301" fontId="0" fillId="0" borderId="70" xfId="0" applyNumberFormat="1" applyFont="1" applyBorder="1" applyAlignment="1">
      <alignment vertical="center"/>
    </xf>
    <xf numFmtId="301" fontId="0" fillId="0" borderId="88" xfId="0" applyNumberFormat="1" applyFont="1" applyBorder="1" applyAlignment="1">
      <alignment vertical="center"/>
    </xf>
    <xf numFmtId="0" fontId="6" fillId="0" borderId="6" xfId="495" applyFont="1" applyBorder="1" applyAlignment="1">
      <alignment horizontal="left" vertical="center"/>
    </xf>
    <xf numFmtId="208" fontId="6" fillId="0" borderId="6" xfId="495" applyNumberFormat="1" applyFont="1" applyBorder="1" applyAlignment="1">
      <alignment horizontal="left" vertical="center"/>
    </xf>
    <xf numFmtId="331" fontId="6" fillId="0" borderId="6" xfId="495" quotePrefix="1" applyNumberFormat="1" applyFont="1" applyBorder="1" applyAlignment="1">
      <alignment horizontal="left" vertical="center"/>
    </xf>
    <xf numFmtId="331" fontId="0" fillId="0" borderId="7" xfId="0" applyNumberFormat="1" applyFont="1" applyBorder="1" applyAlignment="1">
      <alignment vertical="center"/>
    </xf>
    <xf numFmtId="269" fontId="6" fillId="0" borderId="6" xfId="495" applyNumberFormat="1" applyFont="1" applyBorder="1" applyAlignment="1">
      <alignment horizontal="left" vertical="center"/>
    </xf>
    <xf numFmtId="0" fontId="6" fillId="0" borderId="74" xfId="495" applyFont="1" applyBorder="1" applyAlignment="1">
      <alignment horizontal="left" vertical="center"/>
    </xf>
    <xf numFmtId="331" fontId="0" fillId="0" borderId="5" xfId="0" applyNumberFormat="1" applyFont="1" applyBorder="1" applyAlignment="1">
      <alignment horizontal="right" vertical="center"/>
    </xf>
    <xf numFmtId="190" fontId="0" fillId="0" borderId="69" xfId="0" applyNumberFormat="1" applyFont="1" applyBorder="1" applyAlignment="1">
      <alignment vertical="center"/>
    </xf>
    <xf numFmtId="331" fontId="0" fillId="0" borderId="75" xfId="0" applyNumberFormat="1" applyFont="1" applyBorder="1" applyAlignment="1">
      <alignment horizontal="right" vertical="center"/>
    </xf>
    <xf numFmtId="277" fontId="6" fillId="0" borderId="87" xfId="0" applyNumberFormat="1" applyFont="1" applyBorder="1" applyAlignment="1">
      <alignment vertical="center"/>
    </xf>
    <xf numFmtId="277" fontId="6" fillId="0" borderId="1" xfId="0" applyNumberFormat="1" applyFont="1" applyBorder="1" applyAlignment="1">
      <alignment vertical="center"/>
    </xf>
    <xf numFmtId="277" fontId="6" fillId="0" borderId="88" xfId="0" applyNumberFormat="1" applyFont="1" applyBorder="1" applyAlignment="1">
      <alignment vertical="center"/>
    </xf>
    <xf numFmtId="277" fontId="6" fillId="0" borderId="6" xfId="0" applyNumberFormat="1" applyFont="1" applyBorder="1" applyAlignment="1">
      <alignment vertical="center"/>
    </xf>
    <xf numFmtId="277" fontId="6" fillId="0" borderId="7" xfId="0" applyNumberFormat="1" applyFont="1" applyBorder="1" applyAlignment="1">
      <alignment vertical="center"/>
    </xf>
    <xf numFmtId="277" fontId="35" fillId="0" borderId="6" xfId="0" applyNumberFormat="1" applyFont="1" applyBorder="1" applyAlignment="1">
      <alignment vertical="center"/>
    </xf>
    <xf numFmtId="277" fontId="35" fillId="0" borderId="7" xfId="0" applyNumberFormat="1" applyFont="1" applyBorder="1" applyAlignment="1">
      <alignment vertical="center"/>
    </xf>
    <xf numFmtId="277" fontId="10" fillId="0" borderId="6" xfId="0" applyNumberFormat="1" applyFont="1" applyBorder="1" applyAlignment="1">
      <alignment vertical="center"/>
    </xf>
    <xf numFmtId="277" fontId="10" fillId="0" borderId="7" xfId="0" applyNumberFormat="1" applyFont="1" applyBorder="1" applyAlignment="1">
      <alignment vertical="center"/>
    </xf>
    <xf numFmtId="331" fontId="0" fillId="0" borderId="6" xfId="0" applyNumberFormat="1" applyFont="1" applyBorder="1" applyAlignment="1">
      <alignment horizontal="right" vertical="center"/>
    </xf>
    <xf numFmtId="331" fontId="0" fillId="0" borderId="0" xfId="0" applyNumberFormat="1" applyFont="1" applyBorder="1" applyAlignment="1">
      <alignment horizontal="right" vertical="center"/>
    </xf>
    <xf numFmtId="331" fontId="0" fillId="0" borderId="7" xfId="0" applyNumberFormat="1" applyFont="1" applyBorder="1" applyAlignment="1">
      <alignment horizontal="right" vertical="center"/>
    </xf>
    <xf numFmtId="269" fontId="6" fillId="0" borderId="6" xfId="0" applyNumberFormat="1" applyFont="1" applyBorder="1" applyAlignment="1">
      <alignment vertical="center"/>
    </xf>
    <xf numFmtId="3" fontId="0" fillId="0" borderId="76" xfId="0" applyNumberFormat="1" applyFont="1" applyBorder="1" applyAlignment="1">
      <alignment vertical="center"/>
    </xf>
    <xf numFmtId="3" fontId="0" fillId="0" borderId="8" xfId="0" applyNumberFormat="1" applyFont="1" applyBorder="1" applyAlignment="1">
      <alignment vertical="center"/>
    </xf>
    <xf numFmtId="3" fontId="0" fillId="0" borderId="77" xfId="0" applyNumberFormat="1" applyFont="1" applyBorder="1" applyAlignment="1">
      <alignment vertical="center"/>
    </xf>
    <xf numFmtId="331" fontId="0" fillId="0" borderId="6" xfId="0" applyNumberFormat="1" applyFont="1" applyBorder="1" applyAlignment="1">
      <alignment vertical="center"/>
    </xf>
    <xf numFmtId="277" fontId="159" fillId="0" borderId="0" xfId="0" applyNumberFormat="1" applyFont="1" applyBorder="1" applyAlignment="1">
      <alignment vertical="center"/>
    </xf>
    <xf numFmtId="277" fontId="159" fillId="0" borderId="7" xfId="0" applyNumberFormat="1" applyFont="1" applyBorder="1" applyAlignment="1">
      <alignment vertical="center"/>
    </xf>
    <xf numFmtId="277" fontId="258" fillId="0" borderId="0" xfId="0" applyNumberFormat="1" applyFont="1" applyBorder="1" applyAlignment="1">
      <alignment vertical="center"/>
    </xf>
    <xf numFmtId="277" fontId="175" fillId="0" borderId="7" xfId="0" applyNumberFormat="1" applyFont="1" applyBorder="1" applyAlignment="1">
      <alignment vertical="center"/>
    </xf>
    <xf numFmtId="0" fontId="258" fillId="0" borderId="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40" fillId="0" borderId="0" xfId="0" applyFont="1" applyBorder="1" applyAlignment="1">
      <alignment vertical="center"/>
    </xf>
    <xf numFmtId="277" fontId="266" fillId="0" borderId="0" xfId="0" applyNumberFormat="1" applyFont="1" applyBorder="1" applyAlignment="1">
      <alignment vertical="center"/>
    </xf>
    <xf numFmtId="277" fontId="266" fillId="0" borderId="7" xfId="0" applyNumberFormat="1" applyFont="1" applyBorder="1" applyAlignment="1">
      <alignment vertical="center"/>
    </xf>
    <xf numFmtId="277" fontId="159" fillId="0" borderId="6" xfId="0" applyNumberFormat="1" applyFont="1" applyBorder="1" applyAlignment="1">
      <alignment vertical="center"/>
    </xf>
    <xf numFmtId="277" fontId="175" fillId="0" borderId="6" xfId="0" applyNumberFormat="1" applyFont="1" applyBorder="1" applyAlignment="1">
      <alignment vertical="center"/>
    </xf>
    <xf numFmtId="277" fontId="175" fillId="0" borderId="0" xfId="0" applyNumberFormat="1" applyFont="1" applyBorder="1" applyAlignment="1">
      <alignment vertical="center"/>
    </xf>
    <xf numFmtId="277" fontId="0" fillId="0" borderId="6" xfId="0" applyNumberFormat="1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277" fontId="266" fillId="0" borderId="6" xfId="0" applyNumberFormat="1" applyFont="1" applyBorder="1" applyAlignment="1">
      <alignment vertical="center"/>
    </xf>
    <xf numFmtId="301" fontId="0" fillId="0" borderId="6" xfId="0" applyNumberFormat="1" applyFont="1" applyBorder="1" applyAlignment="1">
      <alignment vertical="center"/>
    </xf>
    <xf numFmtId="277" fontId="10" fillId="0" borderId="76" xfId="0" applyNumberFormat="1" applyFont="1" applyBorder="1" applyAlignment="1">
      <alignment vertical="center"/>
    </xf>
    <xf numFmtId="277" fontId="10" fillId="0" borderId="8" xfId="0" applyNumberFormat="1" applyFont="1" applyBorder="1" applyAlignment="1">
      <alignment vertical="center"/>
    </xf>
    <xf numFmtId="277" fontId="10" fillId="0" borderId="77" xfId="0" applyNumberFormat="1" applyFont="1" applyBorder="1" applyAlignment="1">
      <alignment vertical="center"/>
    </xf>
    <xf numFmtId="277" fontId="13" fillId="0" borderId="8" xfId="0" applyNumberFormat="1" applyFont="1" applyBorder="1" applyAlignment="1">
      <alignment vertical="center"/>
    </xf>
    <xf numFmtId="277" fontId="13" fillId="0" borderId="77" xfId="0" applyNumberFormat="1" applyFont="1" applyBorder="1" applyAlignment="1">
      <alignment vertical="center"/>
    </xf>
    <xf numFmtId="277" fontId="13" fillId="0" borderId="76" xfId="0" applyNumberFormat="1" applyFont="1" applyBorder="1" applyAlignment="1">
      <alignment vertical="center"/>
    </xf>
    <xf numFmtId="301" fontId="40" fillId="0" borderId="1" xfId="0" applyNumberFormat="1" applyFont="1" applyBorder="1" applyAlignment="1">
      <alignment vertical="center"/>
    </xf>
    <xf numFmtId="277" fontId="10" fillId="0" borderId="74" xfId="0" applyNumberFormat="1" applyFont="1" applyBorder="1" applyAlignment="1">
      <alignment vertical="center"/>
    </xf>
    <xf numFmtId="277" fontId="10" fillId="0" borderId="5" xfId="0" applyNumberFormat="1" applyFont="1" applyBorder="1" applyAlignment="1">
      <alignment vertical="center"/>
    </xf>
    <xf numFmtId="277" fontId="10" fillId="0" borderId="75" xfId="0" applyNumberFormat="1" applyFont="1" applyBorder="1" applyAlignment="1">
      <alignment vertical="center"/>
    </xf>
    <xf numFmtId="301" fontId="159" fillId="0" borderId="1" xfId="0" applyNumberFormat="1" applyFont="1" applyBorder="1" applyAlignment="1">
      <alignment vertical="center"/>
    </xf>
    <xf numFmtId="301" fontId="159" fillId="0" borderId="88" xfId="0" applyNumberFormat="1" applyFont="1" applyBorder="1" applyAlignment="1">
      <alignment vertical="center"/>
    </xf>
    <xf numFmtId="301" fontId="159" fillId="0" borderId="87" xfId="0" applyNumberFormat="1" applyFont="1" applyBorder="1" applyAlignment="1">
      <alignment vertical="center"/>
    </xf>
    <xf numFmtId="301" fontId="13" fillId="0" borderId="8" xfId="0" applyNumberFormat="1" applyFont="1" applyBorder="1" applyAlignment="1">
      <alignment vertical="center"/>
    </xf>
    <xf numFmtId="301" fontId="13" fillId="0" borderId="77" xfId="0" applyNumberFormat="1" applyFont="1" applyBorder="1" applyAlignment="1">
      <alignment vertical="center"/>
    </xf>
    <xf numFmtId="301" fontId="13" fillId="0" borderId="76" xfId="0" applyNumberFormat="1" applyFont="1" applyBorder="1" applyAlignment="1">
      <alignment vertical="center"/>
    </xf>
    <xf numFmtId="277" fontId="10" fillId="0" borderId="87" xfId="0" applyNumberFormat="1" applyFont="1" applyBorder="1" applyAlignment="1">
      <alignment vertical="center"/>
    </xf>
    <xf numFmtId="277" fontId="10" fillId="0" borderId="1" xfId="0" applyNumberFormat="1" applyFont="1" applyBorder="1" applyAlignment="1">
      <alignment vertical="center"/>
    </xf>
    <xf numFmtId="277" fontId="10" fillId="0" borderId="88" xfId="0" applyNumberFormat="1" applyFont="1" applyBorder="1" applyAlignment="1">
      <alignment vertical="center"/>
    </xf>
    <xf numFmtId="277" fontId="257" fillId="0" borderId="1" xfId="0" applyNumberFormat="1" applyFont="1" applyBorder="1" applyAlignment="1">
      <alignment vertical="center"/>
    </xf>
    <xf numFmtId="277" fontId="257" fillId="0" borderId="88" xfId="0" applyNumberFormat="1" applyFont="1" applyBorder="1" applyAlignment="1">
      <alignment vertical="center"/>
    </xf>
    <xf numFmtId="277" fontId="257" fillId="0" borderId="87" xfId="0" applyNumberFormat="1" applyFont="1" applyBorder="1" applyAlignment="1">
      <alignment vertical="center"/>
    </xf>
    <xf numFmtId="301" fontId="0" fillId="0" borderId="87" xfId="0" applyNumberFormat="1" applyFont="1" applyBorder="1" applyAlignment="1">
      <alignment vertical="center"/>
    </xf>
    <xf numFmtId="331" fontId="0" fillId="0" borderId="74" xfId="0" applyNumberFormat="1" applyFont="1" applyBorder="1" applyAlignment="1">
      <alignment horizontal="right" vertical="center"/>
    </xf>
    <xf numFmtId="331" fontId="0" fillId="0" borderId="74" xfId="0" applyNumberFormat="1" applyFont="1" applyBorder="1" applyAlignment="1">
      <alignment vertical="center"/>
    </xf>
    <xf numFmtId="331" fontId="0" fillId="0" borderId="5" xfId="0" applyNumberFormat="1" applyFont="1" applyBorder="1" applyAlignment="1">
      <alignment vertical="center"/>
    </xf>
    <xf numFmtId="331" fontId="0" fillId="0" borderId="75" xfId="0" applyNumberFormat="1" applyFont="1" applyBorder="1" applyAlignment="1">
      <alignment vertical="center"/>
    </xf>
    <xf numFmtId="0" fontId="19" fillId="0" borderId="0" xfId="0" applyFont="1" applyFill="1" applyBorder="1"/>
    <xf numFmtId="208" fontId="14" fillId="0" borderId="0" xfId="0" applyNumberFormat="1" applyFont="1" applyAlignment="1">
      <alignment horizontal="left" vertical="center" indent="2"/>
    </xf>
    <xf numFmtId="0" fontId="0" fillId="0" borderId="91" xfId="0" applyFont="1" applyBorder="1"/>
    <xf numFmtId="229" fontId="10" fillId="2" borderId="91" xfId="0" applyNumberFormat="1" applyFont="1" applyFill="1" applyBorder="1" applyAlignment="1">
      <alignment horizontal="right" vertical="center"/>
    </xf>
    <xf numFmtId="0" fontId="0" fillId="0" borderId="92" xfId="0" applyFont="1" applyBorder="1" applyAlignment="1">
      <alignment vertical="center"/>
    </xf>
    <xf numFmtId="301" fontId="0" fillId="0" borderId="6" xfId="0" applyNumberFormat="1" applyFont="1" applyBorder="1" applyAlignment="1">
      <alignment horizontal="right" vertical="center"/>
    </xf>
    <xf numFmtId="301" fontId="6" fillId="0" borderId="6" xfId="497" applyNumberFormat="1" applyFont="1" applyBorder="1" applyAlignment="1">
      <alignment horizontal="right" vertical="center"/>
    </xf>
    <xf numFmtId="301" fontId="6" fillId="0" borderId="6" xfId="1357" applyNumberFormat="1" applyFont="1" applyBorder="1" applyAlignment="1">
      <alignment horizontal="right" vertical="center"/>
    </xf>
    <xf numFmtId="301" fontId="35" fillId="0" borderId="6" xfId="497" applyNumberFormat="1" applyFont="1" applyBorder="1" applyAlignment="1">
      <alignment horizontal="right" vertical="center"/>
    </xf>
    <xf numFmtId="203" fontId="10" fillId="0" borderId="87" xfId="1357" applyNumberFormat="1" applyFont="1" applyBorder="1" applyAlignment="1">
      <alignment horizontal="right" vertical="center"/>
    </xf>
    <xf numFmtId="208" fontId="18" fillId="0" borderId="6" xfId="1357" applyNumberFormat="1" applyFont="1" applyBorder="1" applyAlignment="1">
      <alignment horizontal="right" vertical="center"/>
    </xf>
    <xf numFmtId="329" fontId="0" fillId="0" borderId="6" xfId="0" applyNumberFormat="1" applyFont="1" applyBorder="1" applyAlignment="1">
      <alignment horizontal="right" vertical="center"/>
    </xf>
    <xf numFmtId="208" fontId="6" fillId="0" borderId="6" xfId="1357" applyNumberFormat="1" applyFont="1" applyBorder="1" applyAlignment="1">
      <alignment horizontal="right" vertical="center"/>
    </xf>
    <xf numFmtId="208" fontId="18" fillId="0" borderId="6" xfId="497" applyNumberFormat="1" applyFont="1" applyBorder="1" applyAlignment="1">
      <alignment horizontal="right" vertical="center"/>
    </xf>
    <xf numFmtId="208" fontId="18" fillId="0" borderId="74" xfId="497" applyNumberFormat="1" applyFont="1" applyBorder="1" applyAlignment="1">
      <alignment horizontal="right" vertical="center"/>
    </xf>
    <xf numFmtId="208" fontId="6" fillId="0" borderId="6" xfId="497" applyNumberFormat="1" applyFont="1" applyBorder="1" applyAlignment="1">
      <alignment horizontal="right" vertical="center"/>
    </xf>
    <xf numFmtId="4" fontId="0" fillId="0" borderId="6" xfId="0" applyNumberFormat="1" applyFont="1" applyBorder="1" applyAlignment="1">
      <alignment horizontal="right" vertical="center"/>
    </xf>
    <xf numFmtId="301" fontId="6" fillId="0" borderId="6" xfId="0" applyNumberFormat="1" applyFont="1" applyBorder="1" applyAlignment="1">
      <alignment horizontal="right" vertical="center"/>
    </xf>
    <xf numFmtId="301" fontId="18" fillId="0" borderId="6" xfId="1357" applyNumberFormat="1" applyFont="1" applyBorder="1" applyAlignment="1">
      <alignment horizontal="right" vertical="center"/>
    </xf>
    <xf numFmtId="9" fontId="0" fillId="0" borderId="6" xfId="0" applyNumberFormat="1" applyFont="1" applyBorder="1" applyAlignment="1">
      <alignment horizontal="right" vertical="center"/>
    </xf>
    <xf numFmtId="208" fontId="14" fillId="0" borderId="87" xfId="0" applyNumberFormat="1" applyFont="1" applyBorder="1" applyAlignment="1">
      <alignment horizontal="right" vertical="center"/>
    </xf>
    <xf numFmtId="229" fontId="10" fillId="2" borderId="93" xfId="0" applyNumberFormat="1" applyFont="1" applyFill="1" applyBorder="1" applyAlignment="1">
      <alignment horizontal="right" vertical="center"/>
    </xf>
    <xf numFmtId="301" fontId="39" fillId="0" borderId="7" xfId="494" applyNumberFormat="1" applyFont="1" applyBorder="1" applyAlignment="1">
      <alignment horizontal="right" vertical="center"/>
    </xf>
    <xf numFmtId="301" fontId="35" fillId="0" borderId="7" xfId="0" applyNumberFormat="1" applyFont="1" applyBorder="1" applyAlignment="1">
      <alignment horizontal="right" vertical="center"/>
    </xf>
    <xf numFmtId="4" fontId="14" fillId="0" borderId="7" xfId="494" applyNumberFormat="1" applyFont="1" applyBorder="1" applyAlignment="1">
      <alignment horizontal="right" vertical="center"/>
    </xf>
    <xf numFmtId="229" fontId="10" fillId="2" borderId="92" xfId="0" applyNumberFormat="1" applyFont="1" applyFill="1" applyBorder="1" applyAlignment="1">
      <alignment horizontal="right" vertical="center"/>
    </xf>
    <xf numFmtId="301" fontId="6" fillId="0" borderId="6" xfId="494" applyNumberFormat="1" applyFont="1" applyBorder="1" applyAlignment="1">
      <alignment horizontal="right" vertical="center"/>
    </xf>
    <xf numFmtId="301" fontId="6" fillId="0" borderId="7" xfId="494" applyNumberFormat="1" applyFont="1" applyBorder="1" applyAlignment="1">
      <alignment horizontal="right" vertical="center"/>
    </xf>
    <xf numFmtId="301" fontId="35" fillId="0" borderId="6" xfId="0" applyNumberFormat="1" applyFont="1" applyBorder="1" applyAlignment="1">
      <alignment horizontal="right" vertical="center"/>
    </xf>
    <xf numFmtId="329" fontId="10" fillId="0" borderId="87" xfId="1357" applyNumberFormat="1" applyFont="1" applyBorder="1" applyAlignment="1">
      <alignment horizontal="right" vertical="center"/>
    </xf>
    <xf numFmtId="208" fontId="164" fillId="0" borderId="87" xfId="494" applyNumberFormat="1" applyFont="1" applyBorder="1" applyAlignment="1">
      <alignment horizontal="right" vertical="center"/>
    </xf>
    <xf numFmtId="208" fontId="164" fillId="0" borderId="6" xfId="494" applyNumberFormat="1" applyFont="1" applyBorder="1" applyAlignment="1">
      <alignment horizontal="right" vertical="center"/>
    </xf>
    <xf numFmtId="208" fontId="164" fillId="0" borderId="74" xfId="494" applyNumberFormat="1" applyFont="1" applyBorder="1" applyAlignment="1">
      <alignment horizontal="right" vertical="center"/>
    </xf>
    <xf numFmtId="4" fontId="18" fillId="0" borderId="6" xfId="494" applyNumberFormat="1" applyFont="1" applyBorder="1" applyAlignment="1">
      <alignment horizontal="right" vertical="center"/>
    </xf>
    <xf numFmtId="9" fontId="6" fillId="0" borderId="6" xfId="0" applyNumberFormat="1" applyFont="1" applyBorder="1" applyAlignment="1">
      <alignment horizontal="right" vertical="center"/>
    </xf>
    <xf numFmtId="208" fontId="18" fillId="0" borderId="0" xfId="1357" applyNumberFormat="1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9" fontId="6" fillId="0" borderId="0" xfId="497" applyNumberFormat="1" applyFont="1" applyBorder="1" applyAlignment="1">
      <alignment horizontal="left" vertical="center" indent="1"/>
    </xf>
    <xf numFmtId="9" fontId="6" fillId="0" borderId="0" xfId="1357" applyNumberFormat="1" applyFont="1" applyBorder="1" applyAlignment="1">
      <alignment horizontal="left" vertical="center" indent="1"/>
    </xf>
    <xf numFmtId="329" fontId="41" fillId="76" borderId="0" xfId="34" applyNumberFormat="1" applyFont="1" applyFill="1" applyBorder="1" applyAlignment="1">
      <alignment horizontal="right" vertical="center"/>
    </xf>
    <xf numFmtId="329" fontId="40" fillId="76" borderId="0" xfId="34" applyNumberFormat="1" applyFont="1" applyFill="1" applyBorder="1" applyAlignment="1">
      <alignment horizontal="right" vertical="center"/>
    </xf>
    <xf numFmtId="14" fontId="39" fillId="0" borderId="0" xfId="0" applyNumberFormat="1" applyFont="1" applyAlignment="1">
      <alignment horizontal="left" vertical="center"/>
    </xf>
    <xf numFmtId="168" fontId="13" fillId="0" borderId="75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Border="1"/>
    <xf numFmtId="164" fontId="328" fillId="0" borderId="2" xfId="0" applyNumberFormat="1" applyFont="1" applyFill="1" applyBorder="1" applyAlignment="1">
      <alignment vertical="center"/>
    </xf>
    <xf numFmtId="0" fontId="249" fillId="0" borderId="2" xfId="0" applyFont="1" applyBorder="1"/>
    <xf numFmtId="0" fontId="330" fillId="0" borderId="1" xfId="0" applyFont="1" applyFill="1" applyBorder="1" applyAlignment="1">
      <alignment horizontal="left" vertical="center"/>
    </xf>
    <xf numFmtId="14" fontId="40" fillId="0" borderId="0" xfId="0" applyNumberFormat="1" applyFont="1" applyAlignment="1">
      <alignment horizontal="left" vertical="center"/>
    </xf>
    <xf numFmtId="168" fontId="19" fillId="0" borderId="0" xfId="0" applyNumberFormat="1" applyFont="1" applyBorder="1" applyAlignment="1">
      <alignment horizontal="center" vertical="center"/>
    </xf>
    <xf numFmtId="169" fontId="19" fillId="0" borderId="0" xfId="0" applyNumberFormat="1" applyFont="1" applyBorder="1" applyAlignment="1">
      <alignment horizontal="center" vertical="center"/>
    </xf>
    <xf numFmtId="0" fontId="21" fillId="0" borderId="0" xfId="1357" applyFont="1" applyBorder="1" applyAlignment="1">
      <alignment horizontal="left" vertical="center"/>
    </xf>
    <xf numFmtId="0" fontId="6" fillId="76" borderId="0" xfId="15" applyFont="1" applyFill="1" applyBorder="1" applyAlignment="1">
      <alignment horizontal="left" vertical="center"/>
    </xf>
    <xf numFmtId="14" fontId="6" fillId="76" borderId="0" xfId="21" applyNumberFormat="1" applyFont="1" applyFill="1" applyBorder="1" applyAlignment="1">
      <alignment horizontal="left" vertical="center"/>
    </xf>
    <xf numFmtId="202" fontId="174" fillId="98" borderId="0" xfId="48" applyNumberFormat="1" applyFont="1" applyFill="1" applyBorder="1" applyAlignment="1">
      <alignment horizontal="right" vertical="center"/>
    </xf>
    <xf numFmtId="4" fontId="185" fillId="77" borderId="10" xfId="495" applyNumberFormat="1" applyFont="1" applyFill="1" applyBorder="1" applyAlignment="1">
      <alignment horizontal="center" vertical="center"/>
    </xf>
    <xf numFmtId="0" fontId="22" fillId="0" borderId="0" xfId="1357" applyFont="1" applyAlignment="1">
      <alignment horizontal="left" vertical="center"/>
    </xf>
    <xf numFmtId="343" fontId="21" fillId="0" borderId="0" xfId="0" applyNumberFormat="1" applyFont="1" applyAlignment="1">
      <alignment horizontal="left" vertical="center"/>
    </xf>
    <xf numFmtId="343" fontId="21" fillId="0" borderId="0" xfId="0" applyNumberFormat="1" applyFont="1" applyBorder="1" applyAlignment="1">
      <alignment horizontal="right" vertical="center" wrapText="1"/>
    </xf>
    <xf numFmtId="0" fontId="6" fillId="0" borderId="0" xfId="15" applyFont="1" applyAlignment="1">
      <alignment horizontal="left" vertical="center"/>
    </xf>
    <xf numFmtId="170" fontId="6" fillId="0" borderId="0" xfId="21" applyFont="1" applyAlignment="1">
      <alignment horizontal="center" vertical="center"/>
    </xf>
    <xf numFmtId="202" fontId="174" fillId="0" borderId="0" xfId="48" applyNumberFormat="1" applyFont="1" applyAlignment="1">
      <alignment horizontal="right" vertical="center"/>
    </xf>
    <xf numFmtId="301" fontId="6" fillId="0" borderId="0" xfId="1358" applyNumberFormat="1" applyFont="1" applyAlignment="1">
      <alignment horizontal="center" vertical="center"/>
    </xf>
    <xf numFmtId="0" fontId="22" fillId="76" borderId="0" xfId="1357" applyNumberFormat="1" applyFont="1" applyFill="1" applyAlignment="1">
      <alignment horizontal="right" vertical="center" wrapText="1"/>
    </xf>
    <xf numFmtId="208" fontId="158" fillId="0" borderId="0" xfId="317" applyNumberFormat="1" applyFont="1" applyBorder="1" applyAlignment="1">
      <alignment horizontal="right" vertical="center" wrapText="1"/>
    </xf>
    <xf numFmtId="0" fontId="10" fillId="0" borderId="0" xfId="15" applyFont="1" applyAlignment="1">
      <alignment horizontal="left" vertical="center"/>
    </xf>
    <xf numFmtId="329" fontId="10" fillId="0" borderId="0" xfId="1358" applyNumberFormat="1" applyFont="1" applyAlignment="1">
      <alignment horizontal="center" vertical="center"/>
    </xf>
    <xf numFmtId="329" fontId="6" fillId="0" borderId="0" xfId="1358" applyNumberFormat="1" applyFont="1" applyAlignment="1">
      <alignment horizontal="center" vertical="center"/>
    </xf>
    <xf numFmtId="208" fontId="18" fillId="76" borderId="0" xfId="1357" applyNumberFormat="1" applyFont="1" applyFill="1" applyAlignment="1">
      <alignment horizontal="right" vertical="center"/>
    </xf>
    <xf numFmtId="170" fontId="10" fillId="0" borderId="0" xfId="21" applyFont="1" applyAlignment="1">
      <alignment horizontal="center" vertical="center"/>
    </xf>
    <xf numFmtId="202" fontId="329" fillId="0" borderId="0" xfId="48" applyNumberFormat="1" applyFont="1" applyAlignment="1">
      <alignment horizontal="right" vertical="center"/>
    </xf>
    <xf numFmtId="170" fontId="10" fillId="76" borderId="16" xfId="18" applyFont="1" applyFill="1" applyBorder="1" applyAlignment="1">
      <alignment horizontal="left" vertical="center"/>
    </xf>
    <xf numFmtId="44" fontId="10" fillId="0" borderId="16" xfId="1357" applyNumberFormat="1" applyFont="1" applyBorder="1" applyAlignment="1">
      <alignment horizontal="right" vertical="center"/>
    </xf>
    <xf numFmtId="0" fontId="39" fillId="0" borderId="0" xfId="495" applyFont="1" applyAlignment="1">
      <alignment vertical="center"/>
    </xf>
    <xf numFmtId="343" fontId="22" fillId="0" borderId="0" xfId="0" applyNumberFormat="1" applyFont="1" applyAlignment="1">
      <alignment horizontal="left" vertical="center"/>
    </xf>
    <xf numFmtId="190" fontId="6" fillId="0" borderId="0" xfId="1357" applyNumberFormat="1" applyFont="1" applyAlignment="1">
      <alignment horizontal="right" vertical="center"/>
    </xf>
    <xf numFmtId="190" fontId="6" fillId="0" borderId="0" xfId="1358" applyNumberFormat="1" applyFont="1" applyAlignment="1">
      <alignment horizontal="center" vertical="center"/>
    </xf>
    <xf numFmtId="0" fontId="6" fillId="0" borderId="0" xfId="15" applyFont="1" applyAlignment="1">
      <alignment horizontal="left" vertical="center" indent="1"/>
    </xf>
    <xf numFmtId="204" fontId="6" fillId="0" borderId="0" xfId="1357" applyNumberFormat="1" applyFont="1" applyAlignment="1">
      <alignment horizontal="right" vertical="center"/>
    </xf>
    <xf numFmtId="208" fontId="18" fillId="0" borderId="0" xfId="317" applyNumberFormat="1" applyFont="1" applyAlignment="1">
      <alignment horizontal="right" vertical="center"/>
    </xf>
    <xf numFmtId="343" fontId="158" fillId="0" borderId="0" xfId="0" applyNumberFormat="1" applyFont="1" applyAlignment="1">
      <alignment horizontal="left" vertical="center" indent="1"/>
    </xf>
    <xf numFmtId="170" fontId="18" fillId="76" borderId="0" xfId="18" applyFont="1" applyFill="1" applyBorder="1" applyAlignment="1">
      <alignment horizontal="center" vertical="center"/>
    </xf>
    <xf numFmtId="203" fontId="6" fillId="76" borderId="0" xfId="1357" applyNumberFormat="1" applyFont="1" applyFill="1" applyAlignment="1">
      <alignment horizontal="right" vertical="center"/>
    </xf>
    <xf numFmtId="11" fontId="6" fillId="76" borderId="0" xfId="1357" applyNumberFormat="1" applyFont="1" applyFill="1" applyAlignment="1">
      <alignment horizontal="right" vertical="center"/>
    </xf>
    <xf numFmtId="225" fontId="0" fillId="0" borderId="0" xfId="0" applyNumberFormat="1" applyFont="1" applyAlignment="1">
      <alignment horizontal="left" vertical="center" indent="1"/>
    </xf>
    <xf numFmtId="269" fontId="0" fillId="0" borderId="0" xfId="495" applyNumberFormat="1" applyFont="1" applyAlignment="1">
      <alignment horizontal="left" vertical="center" indent="1"/>
    </xf>
    <xf numFmtId="14" fontId="13" fillId="99" borderId="8" xfId="0" applyNumberFormat="1" applyFont="1" applyFill="1" applyBorder="1" applyAlignment="1">
      <alignment horizontal="centerContinuous" vertical="center"/>
    </xf>
    <xf numFmtId="0" fontId="13" fillId="99" borderId="8" xfId="495" applyFont="1" applyFill="1" applyBorder="1" applyAlignment="1">
      <alignment horizontal="centerContinuous"/>
    </xf>
    <xf numFmtId="0" fontId="10" fillId="99" borderId="8" xfId="495" applyFont="1" applyFill="1" applyBorder="1" applyAlignment="1">
      <alignment horizontal="centerContinuous"/>
    </xf>
    <xf numFmtId="0" fontId="39" fillId="99" borderId="8" xfId="495" applyFont="1" applyFill="1" applyBorder="1" applyAlignment="1">
      <alignment horizontal="centerContinuous"/>
    </xf>
    <xf numFmtId="164" fontId="328" fillId="0" borderId="2" xfId="0" quotePrefix="1" applyNumberFormat="1" applyFont="1" applyFill="1" applyBorder="1" applyAlignment="1">
      <alignment vertical="center"/>
    </xf>
    <xf numFmtId="0" fontId="6" fillId="76" borderId="87" xfId="1357" applyFont="1" applyFill="1" applyBorder="1" applyAlignment="1">
      <alignment horizontal="left" vertical="center" indent="1"/>
    </xf>
    <xf numFmtId="208" fontId="159" fillId="76" borderId="1" xfId="497" applyNumberFormat="1" applyFont="1" applyFill="1" applyBorder="1" applyAlignment="1">
      <alignment horizontal="right" vertical="center"/>
    </xf>
    <xf numFmtId="208" fontId="6" fillId="76" borderId="1" xfId="497" applyNumberFormat="1" applyFont="1" applyFill="1" applyBorder="1" applyAlignment="1">
      <alignment horizontal="right" vertical="center"/>
    </xf>
    <xf numFmtId="208" fontId="6" fillId="76" borderId="88" xfId="497" applyNumberFormat="1" applyFont="1" applyFill="1" applyBorder="1" applyAlignment="1">
      <alignment horizontal="right" vertical="center"/>
    </xf>
    <xf numFmtId="0" fontId="6" fillId="76" borderId="6" xfId="1357" applyFont="1" applyFill="1" applyBorder="1" applyAlignment="1">
      <alignment horizontal="left" vertical="center" indent="1"/>
    </xf>
    <xf numFmtId="167" fontId="159" fillId="76" borderId="7" xfId="34" applyNumberFormat="1" applyFont="1" applyFill="1" applyBorder="1" applyAlignment="1">
      <alignment horizontal="right" vertical="center"/>
    </xf>
    <xf numFmtId="167" fontId="0" fillId="76" borderId="7" xfId="34" applyNumberFormat="1" applyFont="1" applyFill="1" applyBorder="1" applyAlignment="1">
      <alignment horizontal="right" vertical="center"/>
    </xf>
    <xf numFmtId="0" fontId="6" fillId="76" borderId="74" xfId="1357" applyFont="1" applyFill="1" applyBorder="1" applyAlignment="1">
      <alignment horizontal="left" vertical="center" indent="1"/>
    </xf>
    <xf numFmtId="208" fontId="0" fillId="76" borderId="5" xfId="497" applyNumberFormat="1" applyFont="1" applyFill="1" applyBorder="1" applyAlignment="1">
      <alignment horizontal="right" vertical="center"/>
    </xf>
    <xf numFmtId="208" fontId="0" fillId="76" borderId="75" xfId="497" applyNumberFormat="1" applyFont="1" applyFill="1" applyBorder="1" applyAlignment="1">
      <alignment horizontal="right" vertical="center"/>
    </xf>
    <xf numFmtId="0" fontId="19" fillId="76" borderId="87" xfId="0" applyFont="1" applyFill="1" applyBorder="1" applyAlignment="1">
      <alignment vertical="center"/>
    </xf>
    <xf numFmtId="42" fontId="13" fillId="76" borderId="1" xfId="34" applyNumberFormat="1" applyFont="1" applyFill="1" applyBorder="1" applyAlignment="1">
      <alignment horizontal="right" vertical="center"/>
    </xf>
    <xf numFmtId="42" fontId="13" fillId="76" borderId="88" xfId="34" applyNumberFormat="1" applyFont="1" applyFill="1" applyBorder="1" applyAlignment="1">
      <alignment horizontal="right" vertical="center"/>
    </xf>
    <xf numFmtId="208" fontId="14" fillId="0" borderId="6" xfId="0" applyNumberFormat="1" applyFont="1" applyBorder="1" applyAlignment="1">
      <alignment horizontal="left" vertical="center" indent="1"/>
    </xf>
    <xf numFmtId="208" fontId="14" fillId="76" borderId="7" xfId="497" applyNumberFormat="1" applyFont="1" applyFill="1" applyBorder="1" applyAlignment="1">
      <alignment horizontal="right" vertical="center"/>
    </xf>
    <xf numFmtId="0" fontId="0" fillId="76" borderId="6" xfId="0" applyFont="1" applyFill="1" applyBorder="1" applyAlignment="1">
      <alignment vertical="center"/>
    </xf>
    <xf numFmtId="4" fontId="0" fillId="76" borderId="7" xfId="184" applyNumberFormat="1" applyFont="1" applyFill="1" applyBorder="1" applyAlignment="1">
      <alignment horizontal="right" vertical="center"/>
    </xf>
    <xf numFmtId="208" fontId="18" fillId="76" borderId="7" xfId="497" applyNumberFormat="1" applyFont="1" applyFill="1" applyBorder="1" applyAlignment="1">
      <alignment horizontal="right" vertical="center"/>
    </xf>
    <xf numFmtId="3" fontId="0" fillId="76" borderId="6" xfId="0" applyNumberFormat="1" applyFont="1" applyFill="1" applyBorder="1" applyAlignment="1">
      <alignment vertical="center"/>
    </xf>
    <xf numFmtId="3" fontId="40" fillId="76" borderId="7" xfId="497" applyNumberFormat="1" applyFont="1" applyFill="1" applyBorder="1" applyAlignment="1">
      <alignment horizontal="right" vertical="center"/>
    </xf>
    <xf numFmtId="329" fontId="41" fillId="76" borderId="7" xfId="34" applyNumberFormat="1" applyFont="1" applyFill="1" applyBorder="1" applyAlignment="1">
      <alignment horizontal="right" vertical="center"/>
    </xf>
    <xf numFmtId="0" fontId="0" fillId="76" borderId="74" xfId="0" applyFont="1" applyFill="1" applyBorder="1" applyAlignment="1">
      <alignment vertical="center"/>
    </xf>
    <xf numFmtId="329" fontId="0" fillId="76" borderId="5" xfId="0" applyNumberFormat="1" applyFont="1" applyFill="1" applyBorder="1" applyAlignment="1">
      <alignment horizontal="right" vertical="center"/>
    </xf>
    <xf numFmtId="329" fontId="0" fillId="76" borderId="75" xfId="0" applyNumberFormat="1" applyFont="1" applyFill="1" applyBorder="1" applyAlignment="1">
      <alignment horizontal="right" vertical="center"/>
    </xf>
  </cellXfs>
  <cellStyles count="1359">
    <cellStyle name="-" xfId="939" xr:uid="{00000000-0005-0000-0000-000000000000}"/>
    <cellStyle name="          _x000d__x000a_386grabber=VGA.3GR_x000d__x000a_" xfId="1" xr:uid="{00000000-0005-0000-0000-000001000000}"/>
    <cellStyle name=" 1" xfId="940" xr:uid="{00000000-0005-0000-0000-000002000000}"/>
    <cellStyle name="# Assets" xfId="941" xr:uid="{00000000-0005-0000-0000-000003000000}"/>
    <cellStyle name="$ 1 decimal" xfId="942" xr:uid="{00000000-0005-0000-0000-000004000000}"/>
    <cellStyle name="%" xfId="518" xr:uid="{00000000-0005-0000-0000-000005000000}"/>
    <cellStyle name="******************************************" xfId="498" xr:uid="{00000000-0005-0000-0000-000006000000}"/>
    <cellStyle name="****************************************** 2" xfId="499" xr:uid="{00000000-0005-0000-0000-000007000000}"/>
    <cellStyle name="****************************************** 3" xfId="500" xr:uid="{00000000-0005-0000-0000-000008000000}"/>
    <cellStyle name=";;;" xfId="35" xr:uid="{00000000-0005-0000-0000-000009000000}"/>
    <cellStyle name="?‹æØ‚è [0.00]_Region Orders (2)" xfId="943" xr:uid="{00000000-0005-0000-0000-00000A000000}"/>
    <cellStyle name="?‹æØ‚è_Region Orders (2)" xfId="944" xr:uid="{00000000-0005-0000-0000-00000B000000}"/>
    <cellStyle name="?Q\?1@" xfId="519" xr:uid="{00000000-0005-0000-0000-00000C000000}"/>
    <cellStyle name="_%(SignOnly)" xfId="520" xr:uid="{00000000-0005-0000-0000-00000D000000}"/>
    <cellStyle name="_%(SignSpaceOnly)" xfId="521" xr:uid="{00000000-0005-0000-0000-00000E000000}"/>
    <cellStyle name="_19,20,21" xfId="36" xr:uid="{00000000-0005-0000-0000-00000F000000}"/>
    <cellStyle name="_3.2.2. МЭФ_14.08.06" xfId="37" xr:uid="{00000000-0005-0000-0000-000010000000}"/>
    <cellStyle name="_3_1_1 Производственная программа" xfId="38" xr:uid="{00000000-0005-0000-0000-000011000000}"/>
    <cellStyle name="_3_2_2 Смета затрат" xfId="39" xr:uid="{00000000-0005-0000-0000-000012000000}"/>
    <cellStyle name="_3_2_9 ФЗП_испр_v2" xfId="40" xr:uid="{00000000-0005-0000-0000-000013000000}"/>
    <cellStyle name="_3_5_1Capex19_v2" xfId="41" xr:uid="{00000000-0005-0000-0000-000014000000}"/>
    <cellStyle name="_3_5_2 CAPEX_20_v2" xfId="42" xr:uid="{00000000-0005-0000-0000-000015000000}"/>
    <cellStyle name="_CAPEX 2006 (18.11.2005)" xfId="43" xr:uid="{00000000-0005-0000-0000-000016000000}"/>
    <cellStyle name="_Comma" xfId="522" xr:uid="{00000000-0005-0000-0000-000017000000}"/>
    <cellStyle name="_Comma_01 adj for merger plan" xfId="945" xr:uid="{00000000-0005-0000-0000-000018000000}"/>
    <cellStyle name="_Comma_Ability to Pay Analysis" xfId="946" xr:uid="{00000000-0005-0000-0000-000019000000}"/>
    <cellStyle name="_Comma_AFL" xfId="947" xr:uid="{00000000-0005-0000-0000-00001A000000}"/>
    <cellStyle name="_Comma_AIZ" xfId="948" xr:uid="{00000000-0005-0000-0000-00001B000000}"/>
    <cellStyle name="_Comma_AIZ04-Quantum2" xfId="949" xr:uid="{00000000-0005-0000-0000-00001C000000}"/>
    <cellStyle name="_Comma_AMP" xfId="950" xr:uid="{00000000-0005-0000-0000-00001D000000}"/>
    <cellStyle name="_Comma_Book1" xfId="951" xr:uid="{00000000-0005-0000-0000-00001E000000}"/>
    <cellStyle name="_Comma_Book3" xfId="952" xr:uid="{00000000-0005-0000-0000-00001F000000}"/>
    <cellStyle name="_Comma_CNO" xfId="953" xr:uid="{00000000-0005-0000-0000-000020000000}"/>
    <cellStyle name="_Comma_CNO04" xfId="954" xr:uid="{00000000-0005-0000-0000-000021000000}"/>
    <cellStyle name="_Comma_DCF Alexander Forbes" xfId="955" xr:uid="{00000000-0005-0000-0000-000022000000}"/>
    <cellStyle name="_Comma_fmbi counties" xfId="956" xr:uid="{00000000-0005-0000-0000-000023000000}"/>
    <cellStyle name="_Comma_FMBI MBHI Graphs" xfId="957" xr:uid="{00000000-0005-0000-0000-000024000000}"/>
    <cellStyle name="_Comma_FMBI MBHI Graphs 07102001" xfId="958" xr:uid="{00000000-0005-0000-0000-000025000000}"/>
    <cellStyle name="_Comma_FMBI MBHI Graphs_7601" xfId="959" xr:uid="{00000000-0005-0000-0000-000026000000}"/>
    <cellStyle name="_Comma_genworth model" xfId="960" xr:uid="{00000000-0005-0000-0000-000027000000}"/>
    <cellStyle name="_Comma_Insurance Brokerage CSC_1Q2002" xfId="961" xr:uid="{00000000-0005-0000-0000-000028000000}"/>
    <cellStyle name="_Comma_JP_LNC_spread_monitor (2)" xfId="962" xr:uid="{00000000-0005-0000-0000-000029000000}"/>
    <cellStyle name="_Comma_NFP" xfId="963" xr:uid="{00000000-0005-0000-0000-00002A000000}"/>
    <cellStyle name="_Comma_NFS" xfId="964" xr:uid="{00000000-0005-0000-0000-00002B000000}"/>
    <cellStyle name="_Comma_Overview3" xfId="965" xr:uid="{00000000-0005-0000-0000-00002C000000}"/>
    <cellStyle name="_Comma_phil data" xfId="966" xr:uid="{00000000-0005-0000-0000-00002D000000}"/>
    <cellStyle name="_Comma_Price Performance Charts" xfId="967" xr:uid="{00000000-0005-0000-0000-00002E000000}"/>
    <cellStyle name="_Comma_Quarterly Review by Company" xfId="968" xr:uid="{00000000-0005-0000-0000-00002F000000}"/>
    <cellStyle name="_Comma_SFG Data File" xfId="969" xr:uid="{00000000-0005-0000-0000-000030000000}"/>
    <cellStyle name="_Comma_Sheet1" xfId="970" xr:uid="{00000000-0005-0000-0000-000031000000}"/>
    <cellStyle name="_Comma_Stock-QTR1 FDS" xfId="971" xr:uid="{00000000-0005-0000-0000-000032000000}"/>
    <cellStyle name="_Comma_Updated Valuation Changes" xfId="972" xr:uid="{00000000-0005-0000-0000-000033000000}"/>
    <cellStyle name="_Comma_Valuation Graphs" xfId="973" xr:uid="{00000000-0005-0000-0000-000034000000}"/>
    <cellStyle name="_Comma_xratio - historical mkt val" xfId="974" xr:uid="{00000000-0005-0000-0000-000035000000}"/>
    <cellStyle name="_Cost usage rates 2008" xfId="44" xr:uid="{00000000-0005-0000-0000-000036000000}"/>
    <cellStyle name="_Currency" xfId="523" xr:uid="{00000000-0005-0000-0000-000037000000}"/>
    <cellStyle name="_Currency_01 adj for merger plan" xfId="975" xr:uid="{00000000-0005-0000-0000-000038000000}"/>
    <cellStyle name="_Currency_Ability to Pay Analysis" xfId="976" xr:uid="{00000000-0005-0000-0000-000039000000}"/>
    <cellStyle name="_Currency_AFL" xfId="977" xr:uid="{00000000-0005-0000-0000-00003A000000}"/>
    <cellStyle name="_Currency_AIZ" xfId="978" xr:uid="{00000000-0005-0000-0000-00003B000000}"/>
    <cellStyle name="_Currency_AMP" xfId="979" xr:uid="{00000000-0005-0000-0000-00003C000000}"/>
    <cellStyle name="_Currency_Balance Sheet" xfId="980" xr:uid="{00000000-0005-0000-0000-00003D000000}"/>
    <cellStyle name="_Currency_Book1" xfId="981" xr:uid="{00000000-0005-0000-0000-00003E000000}"/>
    <cellStyle name="_Currency_Book29" xfId="982" xr:uid="{00000000-0005-0000-0000-00003F000000}"/>
    <cellStyle name="_Currency_Book3" xfId="983" xr:uid="{00000000-0005-0000-0000-000040000000}"/>
    <cellStyle name="_Currency_Book3_1" xfId="984" xr:uid="{00000000-0005-0000-0000-000041000000}"/>
    <cellStyle name="_Currency_CNO" xfId="985" xr:uid="{00000000-0005-0000-0000-000042000000}"/>
    <cellStyle name="_Currency_DCF Alexander Forbes" xfId="986" xr:uid="{00000000-0005-0000-0000-000043000000}"/>
    <cellStyle name="_Currency_fmbi counties" xfId="987" xr:uid="{00000000-0005-0000-0000-000044000000}"/>
    <cellStyle name="_Currency_FMBI MBHI Graphs" xfId="988" xr:uid="{00000000-0005-0000-0000-000045000000}"/>
    <cellStyle name="_Currency_FMBI MBHI Graphs 07102001" xfId="989" xr:uid="{00000000-0005-0000-0000-000046000000}"/>
    <cellStyle name="_Currency_FMBI MBHI Graphs_7601" xfId="990" xr:uid="{00000000-0005-0000-0000-000047000000}"/>
    <cellStyle name="_Currency_GNW" xfId="991" xr:uid="{00000000-0005-0000-0000-000048000000}"/>
    <cellStyle name="_Currency_Insurance Brokerage CSC_1Q2002" xfId="992" xr:uid="{00000000-0005-0000-0000-000049000000}"/>
    <cellStyle name="_Currency_JP" xfId="993" xr:uid="{00000000-0005-0000-0000-00004A000000}"/>
    <cellStyle name="_Currency_LNC" xfId="994" xr:uid="{00000000-0005-0000-0000-00004B000000}"/>
    <cellStyle name="_Currency_MET" xfId="995" xr:uid="{00000000-0005-0000-0000-00004C000000}"/>
    <cellStyle name="_Currency_MET04" xfId="996" xr:uid="{00000000-0005-0000-0000-00004D000000}"/>
    <cellStyle name="_Currency_NFS" xfId="997" xr:uid="{00000000-0005-0000-0000-00004E000000}"/>
    <cellStyle name="_Currency_Overview3" xfId="998" xr:uid="{00000000-0005-0000-0000-00004F000000}"/>
    <cellStyle name="_Currency_phil data" xfId="999" xr:uid="{00000000-0005-0000-0000-000050000000}"/>
    <cellStyle name="_Currency_Price Performance Charts" xfId="1000" xr:uid="{00000000-0005-0000-0000-000051000000}"/>
    <cellStyle name="_Currency_PRU" xfId="1001" xr:uid="{00000000-0005-0000-0000-000052000000}"/>
    <cellStyle name="_Currency_PRU04" xfId="1002" xr:uid="{00000000-0005-0000-0000-000053000000}"/>
    <cellStyle name="_Currency_RiskReward" xfId="1003" xr:uid="{00000000-0005-0000-0000-000054000000}"/>
    <cellStyle name="_Currency_SFG" xfId="1004" xr:uid="{00000000-0005-0000-0000-000055000000}"/>
    <cellStyle name="_Currency_Sheet1" xfId="1005" xr:uid="{00000000-0005-0000-0000-000056000000}"/>
    <cellStyle name="_Currency_Stock-QTR1 FDS" xfId="1006" xr:uid="{00000000-0005-0000-0000-000057000000}"/>
    <cellStyle name="_Currency_TMK" xfId="1007" xr:uid="{00000000-0005-0000-0000-000058000000}"/>
    <cellStyle name="_Currency_Updated Valuation Changes" xfId="1008" xr:uid="{00000000-0005-0000-0000-000059000000}"/>
    <cellStyle name="_Currency_Valuation Graphs" xfId="1009" xr:uid="{00000000-0005-0000-0000-00005A000000}"/>
    <cellStyle name="_Currency_xratio - historical mkt val" xfId="1010" xr:uid="{00000000-0005-0000-0000-00005B000000}"/>
    <cellStyle name="_CurrencySpace" xfId="524" xr:uid="{00000000-0005-0000-0000-00005C000000}"/>
    <cellStyle name="_CurrencySpace_01 adj for merger plan" xfId="1011" xr:uid="{00000000-0005-0000-0000-00005D000000}"/>
    <cellStyle name="_CurrencySpace_Ability to Pay Analysis" xfId="1012" xr:uid="{00000000-0005-0000-0000-00005E000000}"/>
    <cellStyle name="_CurrencySpace_AFL" xfId="1013" xr:uid="{00000000-0005-0000-0000-00005F000000}"/>
    <cellStyle name="_CurrencySpace_AIZ" xfId="1014" xr:uid="{00000000-0005-0000-0000-000060000000}"/>
    <cellStyle name="_CurrencySpace_AMP" xfId="1015" xr:uid="{00000000-0005-0000-0000-000061000000}"/>
    <cellStyle name="_CurrencySpace_Balance Sheet" xfId="1016" xr:uid="{00000000-0005-0000-0000-000062000000}"/>
    <cellStyle name="_CurrencySpace_Book1" xfId="1017" xr:uid="{00000000-0005-0000-0000-000063000000}"/>
    <cellStyle name="_CurrencySpace_Book29" xfId="1018" xr:uid="{00000000-0005-0000-0000-000064000000}"/>
    <cellStyle name="_CurrencySpace_Book3" xfId="1019" xr:uid="{00000000-0005-0000-0000-000065000000}"/>
    <cellStyle name="_CurrencySpace_Book3_1" xfId="1020" xr:uid="{00000000-0005-0000-0000-000066000000}"/>
    <cellStyle name="_CurrencySpace_CNO" xfId="1021" xr:uid="{00000000-0005-0000-0000-000067000000}"/>
    <cellStyle name="_CurrencySpace_DCF Alexander Forbes" xfId="1022" xr:uid="{00000000-0005-0000-0000-000068000000}"/>
    <cellStyle name="_CurrencySpace_fmbi counties" xfId="1023" xr:uid="{00000000-0005-0000-0000-000069000000}"/>
    <cellStyle name="_CurrencySpace_FMBI MBHI Graphs" xfId="1024" xr:uid="{00000000-0005-0000-0000-00006A000000}"/>
    <cellStyle name="_CurrencySpace_FMBI MBHI Graphs 07102001" xfId="1025" xr:uid="{00000000-0005-0000-0000-00006B000000}"/>
    <cellStyle name="_CurrencySpace_FMBI MBHI Graphs_7601" xfId="1026" xr:uid="{00000000-0005-0000-0000-00006C000000}"/>
    <cellStyle name="_CurrencySpace_GNW" xfId="1027" xr:uid="{00000000-0005-0000-0000-00006D000000}"/>
    <cellStyle name="_CurrencySpace_Insurance Brokerage CSC_1Q2002" xfId="1028" xr:uid="{00000000-0005-0000-0000-00006E000000}"/>
    <cellStyle name="_CurrencySpace_JP" xfId="1029" xr:uid="{00000000-0005-0000-0000-00006F000000}"/>
    <cellStyle name="_CurrencySpace_LNC" xfId="1030" xr:uid="{00000000-0005-0000-0000-000070000000}"/>
    <cellStyle name="_CurrencySpace_MET" xfId="1031" xr:uid="{00000000-0005-0000-0000-000071000000}"/>
    <cellStyle name="_CurrencySpace_MET04" xfId="1032" xr:uid="{00000000-0005-0000-0000-000072000000}"/>
    <cellStyle name="_CurrencySpace_NFS" xfId="1033" xr:uid="{00000000-0005-0000-0000-000073000000}"/>
    <cellStyle name="_CurrencySpace_Overview3" xfId="1034" xr:uid="{00000000-0005-0000-0000-000074000000}"/>
    <cellStyle name="_CurrencySpace_phil data" xfId="1035" xr:uid="{00000000-0005-0000-0000-000075000000}"/>
    <cellStyle name="_CurrencySpace_Price Performance Charts" xfId="1036" xr:uid="{00000000-0005-0000-0000-000076000000}"/>
    <cellStyle name="_CurrencySpace_PRU" xfId="1037" xr:uid="{00000000-0005-0000-0000-000077000000}"/>
    <cellStyle name="_CurrencySpace_PRU04" xfId="1038" xr:uid="{00000000-0005-0000-0000-000078000000}"/>
    <cellStyle name="_CurrencySpace_RiskReward" xfId="1039" xr:uid="{00000000-0005-0000-0000-000079000000}"/>
    <cellStyle name="_CurrencySpace_SFG" xfId="1040" xr:uid="{00000000-0005-0000-0000-00007A000000}"/>
    <cellStyle name="_CurrencySpace_Sheet1" xfId="1041" xr:uid="{00000000-0005-0000-0000-00007B000000}"/>
    <cellStyle name="_CurrencySpace_Stock-QTR1 FDS" xfId="1042" xr:uid="{00000000-0005-0000-0000-00007C000000}"/>
    <cellStyle name="_CurrencySpace_TMK" xfId="1043" xr:uid="{00000000-0005-0000-0000-00007D000000}"/>
    <cellStyle name="_CurrencySpace_Updated Valuation Changes" xfId="1044" xr:uid="{00000000-0005-0000-0000-00007E000000}"/>
    <cellStyle name="_CurrencySpace_Valuation Graphs" xfId="1045" xr:uid="{00000000-0005-0000-0000-00007F000000}"/>
    <cellStyle name="_CurrencySpace_xratio - historical mkt val" xfId="1046" xr:uid="{00000000-0005-0000-0000-000080000000}"/>
    <cellStyle name="_Dollar" xfId="1047" xr:uid="{00000000-0005-0000-0000-000081000000}"/>
    <cellStyle name="_EAF_1400 TMT_budget_26-06-06 для меморандума корр " xfId="45" xr:uid="{00000000-0005-0000-0000-000082000000}"/>
    <cellStyle name="_Euro" xfId="525" xr:uid="{00000000-0005-0000-0000-000083000000}"/>
    <cellStyle name="_F FEB EBITDA " xfId="46" xr:uid="{00000000-0005-0000-0000-000084000000}"/>
    <cellStyle name="_for_BD_Пакет_форм2уровня_баз_final" xfId="47" xr:uid="{00000000-0005-0000-0000-000085000000}"/>
    <cellStyle name="_Gunshot DCF Model v.11 (disclosures) " xfId="48" xr:uid="{00000000-0005-0000-0000-000086000000}"/>
    <cellStyle name="_Heading" xfId="526" xr:uid="{00000000-0005-0000-0000-000087000000}"/>
    <cellStyle name="_Heading_prestemp" xfId="1048" xr:uid="{00000000-0005-0000-0000-000088000000}"/>
    <cellStyle name="_Highlight" xfId="527" xr:uid="{00000000-0005-0000-0000-000089000000}"/>
    <cellStyle name="_MB2006_sample2006_баз" xfId="49" xr:uid="{00000000-0005-0000-0000-00008A000000}"/>
    <cellStyle name="_Multiple" xfId="528" xr:uid="{00000000-0005-0000-0000-00008B000000}"/>
    <cellStyle name="_Multiple_01 adj for merger plan" xfId="1049" xr:uid="{00000000-0005-0000-0000-00008C000000}"/>
    <cellStyle name="_Multiple_Ability to Pay Analysis" xfId="1050" xr:uid="{00000000-0005-0000-0000-00008D000000}"/>
    <cellStyle name="_Multiple_AFL" xfId="1051" xr:uid="{00000000-0005-0000-0000-00008E000000}"/>
    <cellStyle name="_Multiple_AIZ" xfId="1052" xr:uid="{00000000-0005-0000-0000-00008F000000}"/>
    <cellStyle name="_Multiple_AMP" xfId="1053" xr:uid="{00000000-0005-0000-0000-000090000000}"/>
    <cellStyle name="_Multiple_Balance Sheet" xfId="1054" xr:uid="{00000000-0005-0000-0000-000091000000}"/>
    <cellStyle name="_Multiple_Book1" xfId="1055" xr:uid="{00000000-0005-0000-0000-000092000000}"/>
    <cellStyle name="_Multiple_Book29" xfId="1056" xr:uid="{00000000-0005-0000-0000-000093000000}"/>
    <cellStyle name="_Multiple_Book3" xfId="1057" xr:uid="{00000000-0005-0000-0000-000094000000}"/>
    <cellStyle name="_Multiple_Book3_1" xfId="1058" xr:uid="{00000000-0005-0000-0000-000095000000}"/>
    <cellStyle name="_Multiple_CNO" xfId="1059" xr:uid="{00000000-0005-0000-0000-000096000000}"/>
    <cellStyle name="_Multiple_DCF Alexander Forbes" xfId="1060" xr:uid="{00000000-0005-0000-0000-000097000000}"/>
    <cellStyle name="_Multiple_fmbi counties" xfId="1061" xr:uid="{00000000-0005-0000-0000-000098000000}"/>
    <cellStyle name="_Multiple_FMBI MBHI Graphs" xfId="1062" xr:uid="{00000000-0005-0000-0000-000099000000}"/>
    <cellStyle name="_Multiple_FMBI MBHI Graphs 07102001" xfId="1063" xr:uid="{00000000-0005-0000-0000-00009A000000}"/>
    <cellStyle name="_Multiple_FMBI MBHI Graphs_7601" xfId="1064" xr:uid="{00000000-0005-0000-0000-00009B000000}"/>
    <cellStyle name="_Multiple_GNW" xfId="1065" xr:uid="{00000000-0005-0000-0000-00009C000000}"/>
    <cellStyle name="_Multiple_Insurance Brokerage CSC_1Q2002" xfId="1066" xr:uid="{00000000-0005-0000-0000-00009D000000}"/>
    <cellStyle name="_Multiple_JP" xfId="1067" xr:uid="{00000000-0005-0000-0000-00009E000000}"/>
    <cellStyle name="_Multiple_LNC" xfId="1068" xr:uid="{00000000-0005-0000-0000-00009F000000}"/>
    <cellStyle name="_Multiple_MET" xfId="1069" xr:uid="{00000000-0005-0000-0000-0000A0000000}"/>
    <cellStyle name="_Multiple_MET04" xfId="1070" xr:uid="{00000000-0005-0000-0000-0000A1000000}"/>
    <cellStyle name="_Multiple_NFS" xfId="1071" xr:uid="{00000000-0005-0000-0000-0000A2000000}"/>
    <cellStyle name="_Multiple_Overview3" xfId="1072" xr:uid="{00000000-0005-0000-0000-0000A3000000}"/>
    <cellStyle name="_Multiple_phil data" xfId="1073" xr:uid="{00000000-0005-0000-0000-0000A4000000}"/>
    <cellStyle name="_Multiple_Price Performance Charts" xfId="1074" xr:uid="{00000000-0005-0000-0000-0000A5000000}"/>
    <cellStyle name="_Multiple_PRU" xfId="1075" xr:uid="{00000000-0005-0000-0000-0000A6000000}"/>
    <cellStyle name="_Multiple_PRU04" xfId="1076" xr:uid="{00000000-0005-0000-0000-0000A7000000}"/>
    <cellStyle name="_Multiple_RiskReward" xfId="1077" xr:uid="{00000000-0005-0000-0000-0000A8000000}"/>
    <cellStyle name="_Multiple_SFG" xfId="1078" xr:uid="{00000000-0005-0000-0000-0000A9000000}"/>
    <cellStyle name="_Multiple_Sheet1" xfId="1079" xr:uid="{00000000-0005-0000-0000-0000AA000000}"/>
    <cellStyle name="_Multiple_Stock-QTR1 FDS" xfId="1080" xr:uid="{00000000-0005-0000-0000-0000AB000000}"/>
    <cellStyle name="_Multiple_TMK" xfId="1081" xr:uid="{00000000-0005-0000-0000-0000AC000000}"/>
    <cellStyle name="_Multiple_Updated Valuation Changes" xfId="1082" xr:uid="{00000000-0005-0000-0000-0000AD000000}"/>
    <cellStyle name="_Multiple_Valuation Graphs" xfId="1083" xr:uid="{00000000-0005-0000-0000-0000AE000000}"/>
    <cellStyle name="_Multiple_xratio - historical mkt val" xfId="1084" xr:uid="{00000000-0005-0000-0000-0000AF000000}"/>
    <cellStyle name="_MultipleSpace" xfId="529" xr:uid="{00000000-0005-0000-0000-0000B0000000}"/>
    <cellStyle name="_MultipleSpace_01 adj for merger plan" xfId="1085" xr:uid="{00000000-0005-0000-0000-0000B1000000}"/>
    <cellStyle name="_MultipleSpace_Ability to Pay Analysis" xfId="1086" xr:uid="{00000000-0005-0000-0000-0000B2000000}"/>
    <cellStyle name="_MultipleSpace_AFL" xfId="1087" xr:uid="{00000000-0005-0000-0000-0000B3000000}"/>
    <cellStyle name="_MultipleSpace_AIZ" xfId="1088" xr:uid="{00000000-0005-0000-0000-0000B4000000}"/>
    <cellStyle name="_MultipleSpace_AMP" xfId="1089" xr:uid="{00000000-0005-0000-0000-0000B5000000}"/>
    <cellStyle name="_MultipleSpace_Balance Sheet" xfId="1090" xr:uid="{00000000-0005-0000-0000-0000B6000000}"/>
    <cellStyle name="_MultipleSpace_Book1" xfId="1091" xr:uid="{00000000-0005-0000-0000-0000B7000000}"/>
    <cellStyle name="_MultipleSpace_Book29" xfId="1092" xr:uid="{00000000-0005-0000-0000-0000B8000000}"/>
    <cellStyle name="_MultipleSpace_Book3" xfId="1093" xr:uid="{00000000-0005-0000-0000-0000B9000000}"/>
    <cellStyle name="_MultipleSpace_Book3_1" xfId="1094" xr:uid="{00000000-0005-0000-0000-0000BA000000}"/>
    <cellStyle name="_MultipleSpace_CNO" xfId="1095" xr:uid="{00000000-0005-0000-0000-0000BB000000}"/>
    <cellStyle name="_MultipleSpace_DCF Alexander Forbes" xfId="1096" xr:uid="{00000000-0005-0000-0000-0000BC000000}"/>
    <cellStyle name="_MultipleSpace_fmbi counties" xfId="1097" xr:uid="{00000000-0005-0000-0000-0000BD000000}"/>
    <cellStyle name="_MultipleSpace_FMBI MBHI Graphs" xfId="1098" xr:uid="{00000000-0005-0000-0000-0000BE000000}"/>
    <cellStyle name="_MultipleSpace_FMBI MBHI Graphs 07102001" xfId="1099" xr:uid="{00000000-0005-0000-0000-0000BF000000}"/>
    <cellStyle name="_MultipleSpace_FMBI MBHI Graphs_7601" xfId="1100" xr:uid="{00000000-0005-0000-0000-0000C0000000}"/>
    <cellStyle name="_MultipleSpace_GNW" xfId="1101" xr:uid="{00000000-0005-0000-0000-0000C1000000}"/>
    <cellStyle name="_MultipleSpace_Insurance Brokerage CSC_1Q2002" xfId="1102" xr:uid="{00000000-0005-0000-0000-0000C2000000}"/>
    <cellStyle name="_MultipleSpace_JP" xfId="1103" xr:uid="{00000000-0005-0000-0000-0000C3000000}"/>
    <cellStyle name="_MultipleSpace_LNC" xfId="1104" xr:uid="{00000000-0005-0000-0000-0000C4000000}"/>
    <cellStyle name="_MultipleSpace_MET" xfId="1105" xr:uid="{00000000-0005-0000-0000-0000C5000000}"/>
    <cellStyle name="_MultipleSpace_MET04" xfId="1106" xr:uid="{00000000-0005-0000-0000-0000C6000000}"/>
    <cellStyle name="_MultipleSpace_NFS" xfId="1107" xr:uid="{00000000-0005-0000-0000-0000C7000000}"/>
    <cellStyle name="_MultipleSpace_Overview3" xfId="1108" xr:uid="{00000000-0005-0000-0000-0000C8000000}"/>
    <cellStyle name="_MultipleSpace_phil data" xfId="1109" xr:uid="{00000000-0005-0000-0000-0000C9000000}"/>
    <cellStyle name="_MultipleSpace_Price Performance Charts" xfId="1110" xr:uid="{00000000-0005-0000-0000-0000CA000000}"/>
    <cellStyle name="_MultipleSpace_PRU" xfId="1111" xr:uid="{00000000-0005-0000-0000-0000CB000000}"/>
    <cellStyle name="_MultipleSpace_PRU04" xfId="1112" xr:uid="{00000000-0005-0000-0000-0000CC000000}"/>
    <cellStyle name="_MultipleSpace_RiskReward" xfId="1113" xr:uid="{00000000-0005-0000-0000-0000CD000000}"/>
    <cellStyle name="_MultipleSpace_SFG" xfId="1114" xr:uid="{00000000-0005-0000-0000-0000CE000000}"/>
    <cellStyle name="_MultipleSpace_Sheet1" xfId="1115" xr:uid="{00000000-0005-0000-0000-0000CF000000}"/>
    <cellStyle name="_MultipleSpace_Stock-QTR1 FDS" xfId="1116" xr:uid="{00000000-0005-0000-0000-0000D0000000}"/>
    <cellStyle name="_MultipleSpace_TMK" xfId="1117" xr:uid="{00000000-0005-0000-0000-0000D1000000}"/>
    <cellStyle name="_MultipleSpace_Updated Valuation Changes" xfId="1118" xr:uid="{00000000-0005-0000-0000-0000D2000000}"/>
    <cellStyle name="_MultipleSpace_Valuation Graphs" xfId="1119" xr:uid="{00000000-0005-0000-0000-0000D3000000}"/>
    <cellStyle name="_MultipleSpace_xratio - historical mkt val" xfId="1120" xr:uid="{00000000-0005-0000-0000-0000D4000000}"/>
    <cellStyle name="_NTMK forecast 2006-1" xfId="50" xr:uid="{00000000-0005-0000-0000-0000D5000000}"/>
    <cellStyle name="_NTMK forecast 2006-1 2" xfId="51" xr:uid="{00000000-0005-0000-0000-0000D6000000}"/>
    <cellStyle name="_NTMK forecast 2006-1 3" xfId="52" xr:uid="{00000000-0005-0000-0000-0000D7000000}"/>
    <cellStyle name="_Percent" xfId="1121" xr:uid="{00000000-0005-0000-0000-0000D8000000}"/>
    <cellStyle name="_Percent_DCF Alexander Forbes" xfId="1122" xr:uid="{00000000-0005-0000-0000-0000D9000000}"/>
    <cellStyle name="_Percent_FMBI MBHI Graphs" xfId="1123" xr:uid="{00000000-0005-0000-0000-0000DA000000}"/>
    <cellStyle name="_Percent_FMBI MBHI Graphs 07102001" xfId="1124" xr:uid="{00000000-0005-0000-0000-0000DB000000}"/>
    <cellStyle name="_Percent_FMBI MBHI Graphs_7601" xfId="1125" xr:uid="{00000000-0005-0000-0000-0000DC000000}"/>
    <cellStyle name="_PercentSpace" xfId="1126" xr:uid="{00000000-0005-0000-0000-0000DD000000}"/>
    <cellStyle name="_PercentSpace_01 adj for merger plan" xfId="1127" xr:uid="{00000000-0005-0000-0000-0000DE000000}"/>
    <cellStyle name="_PercentSpace_DCF Alexander Forbes" xfId="1128" xr:uid="{00000000-0005-0000-0000-0000DF000000}"/>
    <cellStyle name="_PercentSpace_FMBI MBHI Graphs" xfId="1129" xr:uid="{00000000-0005-0000-0000-0000E0000000}"/>
    <cellStyle name="_PercentSpace_FMBI MBHI Graphs 07102001" xfId="1130" xr:uid="{00000000-0005-0000-0000-0000E1000000}"/>
    <cellStyle name="_PercentSpace_FMBI MBHI Graphs_7601" xfId="1131" xr:uid="{00000000-0005-0000-0000-0000E2000000}"/>
    <cellStyle name="_Sales Template Budget 2008 revised" xfId="53" xr:uid="{00000000-0005-0000-0000-0000E3000000}"/>
    <cellStyle name="_SubHeading" xfId="530" xr:uid="{00000000-0005-0000-0000-0000E4000000}"/>
    <cellStyle name="_SubHeading_Ability to Pay Analysis" xfId="1132" xr:uid="{00000000-0005-0000-0000-0000E5000000}"/>
    <cellStyle name="_SubHeading_BankUnited Model" xfId="1133" xr:uid="{00000000-0005-0000-0000-0000E6000000}"/>
    <cellStyle name="_SubHeading_fmbi counties" xfId="1134" xr:uid="{00000000-0005-0000-0000-0000E7000000}"/>
    <cellStyle name="_SubHeading_FMBI MBHI Graphs" xfId="1135" xr:uid="{00000000-0005-0000-0000-0000E8000000}"/>
    <cellStyle name="_SubHeading_FMBI MBHI Graphs 07102001" xfId="1136" xr:uid="{00000000-0005-0000-0000-0000E9000000}"/>
    <cellStyle name="_SubHeading_FMBI MBHI Graphs_7601" xfId="1137" xr:uid="{00000000-0005-0000-0000-0000EA000000}"/>
    <cellStyle name="_SubHeading_prestemp" xfId="1138" xr:uid="{00000000-0005-0000-0000-0000EB000000}"/>
    <cellStyle name="_SubHeading_prestemp_Insurance Brokerage CSC_1Q2002" xfId="1139" xr:uid="{00000000-0005-0000-0000-0000EC000000}"/>
    <cellStyle name="_SubHeading_prestemp_Overview3" xfId="1140" xr:uid="{00000000-0005-0000-0000-0000ED000000}"/>
    <cellStyle name="_SubHeading_prestemp_Updated Valuation Changes" xfId="1141" xr:uid="{00000000-0005-0000-0000-0000EE000000}"/>
    <cellStyle name="_SubHeading_xratio - historical mkt val" xfId="1142" xr:uid="{00000000-0005-0000-0000-0000EF000000}"/>
    <cellStyle name="_SUMMARY " xfId="1143" xr:uid="{00000000-0005-0000-0000-0000F0000000}"/>
    <cellStyle name="_Table" xfId="531" xr:uid="{00000000-0005-0000-0000-0000F1000000}"/>
    <cellStyle name="_Table_Ability to Pay Analysis" xfId="1144" xr:uid="{00000000-0005-0000-0000-0000F2000000}"/>
    <cellStyle name="_Table_BankUnited Model" xfId="1145" xr:uid="{00000000-0005-0000-0000-0000F3000000}"/>
    <cellStyle name="_Table_fmbi counties" xfId="1146" xr:uid="{00000000-0005-0000-0000-0000F4000000}"/>
    <cellStyle name="_Table_xratio - historical mkt val" xfId="1147" xr:uid="{00000000-0005-0000-0000-0000F5000000}"/>
    <cellStyle name="_TableHead" xfId="532" xr:uid="{00000000-0005-0000-0000-0000F6000000}"/>
    <cellStyle name="_TableRowHead" xfId="533" xr:uid="{00000000-0005-0000-0000-0000F7000000}"/>
    <cellStyle name="_TableSuperHead" xfId="534" xr:uid="{00000000-0005-0000-0000-0000F8000000}"/>
    <cellStyle name="_TableSuperHead_Ability to Pay Analysis" xfId="1148" xr:uid="{00000000-0005-0000-0000-0000F9000000}"/>
    <cellStyle name="_TableSuperHead_BankUnited Model" xfId="1149" xr:uid="{00000000-0005-0000-0000-0000FA000000}"/>
    <cellStyle name="_TableSuperHead_fmbi counties" xfId="1150" xr:uid="{00000000-0005-0000-0000-0000FB000000}"/>
    <cellStyle name="_TableSuperHead_xratio - historical mkt val" xfId="1151" xr:uid="{00000000-0005-0000-0000-0000FC000000}"/>
    <cellStyle name="_UFOP" xfId="54" xr:uid="{00000000-0005-0000-0000-0000FD000000}"/>
    <cellStyle name="_VBAModel" xfId="1152" xr:uid="{00000000-0005-0000-0000-0000FE000000}"/>
    <cellStyle name="_Аналитические_признаки" xfId="55" xr:uid="{00000000-0005-0000-0000-0000FF000000}"/>
    <cellStyle name="_Аналитические_признаки - исправленная версия" xfId="56" xr:uid="{00000000-0005-0000-0000-000000010000}"/>
    <cellStyle name="_Единица отчетности_update" xfId="57" xr:uid="{00000000-0005-0000-0000-000001010000}"/>
    <cellStyle name="_ЗСМК отчет за январь 2006 (2005.12.27) план ЕХ" xfId="58" xr:uid="{00000000-0005-0000-0000-000002010000}"/>
    <cellStyle name="_ЗСМК отчет за январь 2006 (2006.01.10) план2 ЕХ" xfId="59" xr:uid="{00000000-0005-0000-0000-000003010000}"/>
    <cellStyle name="_Книга3__Расчет презентации бюджета_2008 рабоч " xfId="60" xr:uid="{00000000-0005-0000-0000-000004010000}"/>
    <cellStyle name="_Консолидация и отчетность - мастерданные" xfId="61" xr:uid="{00000000-0005-0000-0000-000005010000}"/>
    <cellStyle name="_Мощности_МП_исх_формы_ручного_ввода" xfId="62" xr:uid="{00000000-0005-0000-0000-000006010000}"/>
    <cellStyle name="_НКМК отчет по осв-ю квартальный " xfId="63" xr:uid="{00000000-0005-0000-0000-000007010000}"/>
    <cellStyle name="_Пакет №1 (Coal)" xfId="64" xr:uid="{00000000-0005-0000-0000-000008010000}"/>
    <cellStyle name="_Пакет ГОКи" xfId="65" xr:uid="{00000000-0005-0000-0000-000009010000}"/>
    <cellStyle name="_Пакет по МП" xfId="66" xr:uid="{00000000-0005-0000-0000-00000A010000}"/>
    <cellStyle name="_Пакет_форм_2_уровня_ГОКи_модель" xfId="67" xr:uid="{00000000-0005-0000-0000-00000B010000}"/>
    <cellStyle name="_Презентация бюджета 2006" xfId="68" xr:uid="{00000000-0005-0000-0000-00000C010000}"/>
    <cellStyle name="_Прогноз освоения'05 ЗСМК (2005.11.02)ЕХ" xfId="69" xr:uid="{00000000-0005-0000-0000-00000D010000}"/>
    <cellStyle name="_слайд КВ 2006" xfId="70" xr:uid="{00000000-0005-0000-0000-00000E010000}"/>
    <cellStyle name="_Формуляры форм ручного ввода" xfId="71" xr:uid="{00000000-0005-0000-0000-00000F010000}"/>
    <cellStyle name="_Формы - утверждено на СД" xfId="72" xr:uid="{00000000-0005-0000-0000-000010010000}"/>
    <cellStyle name="_Формы 2 уровня ЗСМК баз." xfId="73" xr:uid="{00000000-0005-0000-0000-000011010000}"/>
    <cellStyle name="_Формы 2 уровня ЗСМК баз.15.11 от Паньшина." xfId="74" xr:uid="{00000000-0005-0000-0000-000012010000}"/>
    <cellStyle name="_Формы 2 уровня(баз)" xfId="75" xr:uid="{00000000-0005-0000-0000-000013010000}"/>
    <cellStyle name="_Формы 2 уровня(баз)СД" xfId="76" xr:uid="{00000000-0005-0000-0000-000014010000}"/>
    <cellStyle name="’Ê‰Ý [0.00]_GE 3 MINIMUM" xfId="1153" xr:uid="{00000000-0005-0000-0000-000015010000}"/>
    <cellStyle name="’Ê‰Ý_GE 3 MINIMUM" xfId="1154" xr:uid="{00000000-0005-0000-0000-000016010000}"/>
    <cellStyle name="”ќђќ‘ћ‚›‰" xfId="77" xr:uid="{00000000-0005-0000-0000-000017010000}"/>
    <cellStyle name="”љ‘ђћ‚ђќќ›‰" xfId="78" xr:uid="{00000000-0005-0000-0000-000018010000}"/>
    <cellStyle name="„…ќ…†ќ›‰" xfId="79" xr:uid="{00000000-0005-0000-0000-000019010000}"/>
    <cellStyle name="„ђ’ђ" xfId="80" xr:uid="{00000000-0005-0000-0000-00001A010000}"/>
    <cellStyle name="£ BP" xfId="535" xr:uid="{00000000-0005-0000-0000-00001B010000}"/>
    <cellStyle name="¥ JY" xfId="536" xr:uid="{00000000-0005-0000-0000-00001C010000}"/>
    <cellStyle name="=C:\WINNT35\SYSTEM32\COMMAND.COM" xfId="537" xr:uid="{00000000-0005-0000-0000-00001D010000}"/>
    <cellStyle name="‡ђѓћ‹ћ‚ћљ1" xfId="81" xr:uid="{00000000-0005-0000-0000-00001E010000}"/>
    <cellStyle name="‡ђѓћ‹ћ‚ћљ2" xfId="82" xr:uid="{00000000-0005-0000-0000-00001F010000}"/>
    <cellStyle name="•W?_Pacific Region P&amp;L" xfId="1155" xr:uid="{00000000-0005-0000-0000-000020010000}"/>
    <cellStyle name="•W€_Comparables" xfId="1156" xr:uid="{00000000-0005-0000-0000-000021010000}"/>
    <cellStyle name="•W_GE 3 MINIMUM" xfId="1157" xr:uid="{00000000-0005-0000-0000-000022010000}"/>
    <cellStyle name="’ћѓћ‚›‰" xfId="83" xr:uid="{00000000-0005-0000-0000-000023010000}"/>
    <cellStyle name="0" xfId="538" xr:uid="{00000000-0005-0000-0000-000024010000}"/>
    <cellStyle name="0%" xfId="1158" xr:uid="{00000000-0005-0000-0000-000025010000}"/>
    <cellStyle name="0.0" xfId="1159" xr:uid="{00000000-0005-0000-0000-000026010000}"/>
    <cellStyle name="0.0%" xfId="1160" xr:uid="{00000000-0005-0000-0000-000027010000}"/>
    <cellStyle name="0.0_CALMODC-Modelware-test" xfId="1161" xr:uid="{00000000-0005-0000-0000-000028010000}"/>
    <cellStyle name="0.00" xfId="1162" xr:uid="{00000000-0005-0000-0000-000029010000}"/>
    <cellStyle name="0.00%" xfId="1163" xr:uid="{00000000-0005-0000-0000-00002A010000}"/>
    <cellStyle name="0_BAYTRAF" xfId="1164" xr:uid="{00000000-0005-0000-0000-00002B010000}"/>
    <cellStyle name="0_CALMODC-Modelware-test" xfId="1165" xr:uid="{00000000-0005-0000-0000-00002C010000}"/>
    <cellStyle name="0_Capacity Module" xfId="1166" xr:uid="{00000000-0005-0000-0000-00002D010000}"/>
    <cellStyle name="0_Capex &amp; Depreciation " xfId="1167" xr:uid="{00000000-0005-0000-0000-00002E010000}"/>
    <cellStyle name="0_Cashflow" xfId="1168" xr:uid="{00000000-0005-0000-0000-00002F010000}"/>
    <cellStyle name="0_Debt Module" xfId="1169" xr:uid="{00000000-0005-0000-0000-000030010000}"/>
    <cellStyle name="0_Eva-fs" xfId="1170" xr:uid="{00000000-0005-0000-0000-000031010000}"/>
    <cellStyle name="0_EVAMODC-Modelware" xfId="1171" xr:uid="{00000000-0005-0000-0000-000032010000}"/>
    <cellStyle name="0_Lease examples 04082004" xfId="1172" xr:uid="{00000000-0005-0000-0000-000033010000}"/>
    <cellStyle name="0_Lease examples 23072004" xfId="1173" xr:uid="{00000000-0005-0000-0000-000034010000}"/>
    <cellStyle name="0_Lease Module" xfId="1174" xr:uid="{00000000-0005-0000-0000-000035010000}"/>
    <cellStyle name="0_Lease Module Neptune Orient example 2004-06-29" xfId="1175" xr:uid="{00000000-0005-0000-0000-000036010000}"/>
    <cellStyle name="0_M&amp;S" xfId="1176" xr:uid="{00000000-0005-0000-0000-000037010000}"/>
    <cellStyle name="0_Next_Master" xfId="1177" xr:uid="{00000000-0005-0000-0000-000038010000}"/>
    <cellStyle name="0_NOLMODC-Modelware" xfId="1178" xr:uid="{00000000-0005-0000-0000-000039010000}"/>
    <cellStyle name="0_SIA-FS" xfId="1179" xr:uid="{00000000-0005-0000-0000-00003A010000}"/>
    <cellStyle name="0_SIAMODC-Modelware" xfId="1180" xr:uid="{00000000-0005-0000-0000-00003B010000}"/>
    <cellStyle name="0_Spreads" xfId="539" xr:uid="{00000000-0005-0000-0000-00003C010000}"/>
    <cellStyle name="0_Valuing BP " xfId="1181" xr:uid="{00000000-0005-0000-0000-00003D010000}"/>
    <cellStyle name="1" xfId="2" xr:uid="{00000000-0005-0000-0000-00003E010000}"/>
    <cellStyle name="1,comma" xfId="1182" xr:uid="{00000000-0005-0000-0000-00003F010000}"/>
    <cellStyle name="1000" xfId="84" xr:uid="{00000000-0005-0000-0000-000040010000}"/>
    <cellStyle name="1dec" xfId="1183" xr:uid="{00000000-0005-0000-0000-000041010000}"/>
    <cellStyle name="1Outputbox1" xfId="85" xr:uid="{00000000-0005-0000-0000-000042010000}"/>
    <cellStyle name="1Outputbox2" xfId="86" xr:uid="{00000000-0005-0000-0000-000043010000}"/>
    <cellStyle name="1Outputheader" xfId="87" xr:uid="{00000000-0005-0000-0000-000044010000}"/>
    <cellStyle name="1Outputheader2" xfId="88" xr:uid="{00000000-0005-0000-0000-000045010000}"/>
    <cellStyle name="1Outputsubtitle" xfId="89" xr:uid="{00000000-0005-0000-0000-000046010000}"/>
    <cellStyle name="1Outputtitle" xfId="90" xr:uid="{00000000-0005-0000-0000-000047010000}"/>
    <cellStyle name="1Profileheader" xfId="91" xr:uid="{00000000-0005-0000-0000-000048010000}"/>
    <cellStyle name="1Profilelowerbox" xfId="92" xr:uid="{00000000-0005-0000-0000-000049010000}"/>
    <cellStyle name="1Profilesubheader" xfId="93" xr:uid="{00000000-0005-0000-0000-00004A010000}"/>
    <cellStyle name="1Profiletitle" xfId="94" xr:uid="{00000000-0005-0000-0000-00004B010000}"/>
    <cellStyle name="1Profiletopbox" xfId="95" xr:uid="{00000000-0005-0000-0000-00004C010000}"/>
    <cellStyle name="20% - Colore 1" xfId="96" xr:uid="{00000000-0005-0000-0000-00004D010000}"/>
    <cellStyle name="20% - Colore 2" xfId="97" xr:uid="{00000000-0005-0000-0000-00004E010000}"/>
    <cellStyle name="20% - Colore 3" xfId="98" xr:uid="{00000000-0005-0000-0000-00004F010000}"/>
    <cellStyle name="20% - Colore 4" xfId="99" xr:uid="{00000000-0005-0000-0000-000050010000}"/>
    <cellStyle name="20% - Colore 5" xfId="100" xr:uid="{00000000-0005-0000-0000-000051010000}"/>
    <cellStyle name="20% - Colore 6" xfId="101" xr:uid="{00000000-0005-0000-0000-000052010000}"/>
    <cellStyle name="2wide" xfId="540" xr:uid="{00000000-0005-0000-0000-000053010000}"/>
    <cellStyle name="40% - Colore 1" xfId="102" xr:uid="{00000000-0005-0000-0000-000054010000}"/>
    <cellStyle name="40% - Colore 2" xfId="103" xr:uid="{00000000-0005-0000-0000-000055010000}"/>
    <cellStyle name="40% - Colore 3" xfId="104" xr:uid="{00000000-0005-0000-0000-000056010000}"/>
    <cellStyle name="40% - Colore 4" xfId="105" xr:uid="{00000000-0005-0000-0000-000057010000}"/>
    <cellStyle name="40% - Colore 5" xfId="106" xr:uid="{00000000-0005-0000-0000-000058010000}"/>
    <cellStyle name="40% - Colore 6" xfId="107" xr:uid="{00000000-0005-0000-0000-000059010000}"/>
    <cellStyle name="60% - Colore 1" xfId="108" xr:uid="{00000000-0005-0000-0000-00005A010000}"/>
    <cellStyle name="60% - Colore 2" xfId="109" xr:uid="{00000000-0005-0000-0000-00005B010000}"/>
    <cellStyle name="60% - Colore 3" xfId="110" xr:uid="{00000000-0005-0000-0000-00005C010000}"/>
    <cellStyle name="60% - Colore 4" xfId="111" xr:uid="{00000000-0005-0000-0000-00005D010000}"/>
    <cellStyle name="60% - Colore 5" xfId="112" xr:uid="{00000000-0005-0000-0000-00005E010000}"/>
    <cellStyle name="60% - Colore 6" xfId="113" xr:uid="{00000000-0005-0000-0000-00005F010000}"/>
    <cellStyle name="752131" xfId="1184" xr:uid="{00000000-0005-0000-0000-000060010000}"/>
    <cellStyle name="8pt" xfId="114" xr:uid="{00000000-0005-0000-0000-000061010000}"/>
    <cellStyle name="a" xfId="541" xr:uid="{00000000-0005-0000-0000-000062010000}"/>
    <cellStyle name="a_Simple lease example_guidance for % asset over liability" xfId="1185" xr:uid="{00000000-0005-0000-0000-000063010000}"/>
    <cellStyle name="Aaia?iue [0]_vaqduGfTSN7qyUJNWHRlcWo3H" xfId="115" xr:uid="{00000000-0005-0000-0000-000064010000}"/>
    <cellStyle name="Aaia?iue_vaqduGfTSN7qyUJNWHRlcWo3H" xfId="116" xr:uid="{00000000-0005-0000-0000-000065010000}"/>
    <cellStyle name="Äåíåæíûé [0]_vaqduGfTSN7qyUJNWHRlcWo3H" xfId="117" xr:uid="{00000000-0005-0000-0000-000066010000}"/>
    <cellStyle name="Äåíåæíûé_vaqduGfTSN7qyUJNWHRlcWo3H" xfId="118" xr:uid="{00000000-0005-0000-0000-000067010000}"/>
    <cellStyle name="acct" xfId="119" xr:uid="{00000000-0005-0000-0000-000068010000}"/>
    <cellStyle name="Acctg" xfId="1190" xr:uid="{00000000-0005-0000-0000-000069010000}"/>
    <cellStyle name="Actual data" xfId="1191" xr:uid="{00000000-0005-0000-0000-00006A010000}"/>
    <cellStyle name="Actual year" xfId="1192" xr:uid="{00000000-0005-0000-0000-00006B010000}"/>
    <cellStyle name="Actuals Cells" xfId="1193" xr:uid="{00000000-0005-0000-0000-00006C010000}"/>
    <cellStyle name="AeE­ [0]_?A°??µAoC?" xfId="120" xr:uid="{00000000-0005-0000-0000-00006D010000}"/>
    <cellStyle name="AeE­_?A°??µAoC?" xfId="121" xr:uid="{00000000-0005-0000-0000-00006E010000}"/>
    <cellStyle name="Aeia?nnueea" xfId="122" xr:uid="{00000000-0005-0000-0000-00006F010000}"/>
    <cellStyle name="AFE" xfId="123" xr:uid="{00000000-0005-0000-0000-000070010000}"/>
    <cellStyle name="AFE 2" xfId="124" xr:uid="{00000000-0005-0000-0000-000071010000}"/>
    <cellStyle name="AFE 3" xfId="125" xr:uid="{00000000-0005-0000-0000-000072010000}"/>
    <cellStyle name="afl" xfId="1194" xr:uid="{00000000-0005-0000-0000-000073010000}"/>
    <cellStyle name="Andre's Title" xfId="1195" xr:uid="{00000000-0005-0000-0000-000074010000}"/>
    <cellStyle name="args.style" xfId="542" xr:uid="{00000000-0005-0000-0000-000075010000}"/>
    <cellStyle name="Arial 10" xfId="126" xr:uid="{00000000-0005-0000-0000-000076010000}"/>
    <cellStyle name="Arial 10 2" xfId="127" xr:uid="{00000000-0005-0000-0000-000077010000}"/>
    <cellStyle name="Arial 10 3" xfId="128" xr:uid="{00000000-0005-0000-0000-000078010000}"/>
    <cellStyle name="Arial 12" xfId="129" xr:uid="{00000000-0005-0000-0000-000079010000}"/>
    <cellStyle name="Arial 12 2" xfId="130" xr:uid="{00000000-0005-0000-0000-00007A010000}"/>
    <cellStyle name="Arial 12 3" xfId="131" xr:uid="{00000000-0005-0000-0000-00007B010000}"/>
    <cellStyle name="ArialNormal" xfId="543" xr:uid="{00000000-0005-0000-0000-00007C010000}"/>
    <cellStyle name="Balance" xfId="132" xr:uid="{00000000-0005-0000-0000-00007D010000}"/>
    <cellStyle name="BalanceBold" xfId="133" xr:uid="{00000000-0005-0000-0000-00007E010000}"/>
    <cellStyle name="Band 2" xfId="1196" xr:uid="{00000000-0005-0000-0000-00007F010000}"/>
    <cellStyle name="BLACK" xfId="134" xr:uid="{00000000-0005-0000-0000-000080010000}"/>
    <cellStyle name="BlackStrike" xfId="544" xr:uid="{00000000-0005-0000-0000-000081010000}"/>
    <cellStyle name="BlackText" xfId="545" xr:uid="{00000000-0005-0000-0000-000082010000}"/>
    <cellStyle name="Blank" xfId="1197" xr:uid="{00000000-0005-0000-0000-000083010000}"/>
    <cellStyle name="blp_column_header" xfId="1198" xr:uid="{00000000-0005-0000-0000-000084010000}"/>
    <cellStyle name="Blue" xfId="135" xr:uid="{00000000-0005-0000-0000-000085010000}"/>
    <cellStyle name="Blue 2" xfId="1199" xr:uid="{00000000-0005-0000-0000-000086010000}"/>
    <cellStyle name="Blue Title" xfId="1200" xr:uid="{00000000-0005-0000-0000-000087010000}"/>
    <cellStyle name="Body" xfId="136" xr:uid="{00000000-0005-0000-0000-000088010000}"/>
    <cellStyle name="bold" xfId="546" xr:uid="{00000000-0005-0000-0000-000089010000}"/>
    <cellStyle name="bold big" xfId="547" xr:uid="{00000000-0005-0000-0000-00008A010000}"/>
    <cellStyle name="Bold/Border" xfId="548" xr:uid="{00000000-0005-0000-0000-00008B010000}"/>
    <cellStyle name="bold_Spreads" xfId="549" xr:uid="{00000000-0005-0000-0000-00008C010000}"/>
    <cellStyle name="BoldText" xfId="550" xr:uid="{00000000-0005-0000-0000-00008D010000}"/>
    <cellStyle name="Border" xfId="551" xr:uid="{00000000-0005-0000-0000-00008E010000}"/>
    <cellStyle name="Border Heavy" xfId="552" xr:uid="{00000000-0005-0000-0000-00008F010000}"/>
    <cellStyle name="Border Thin" xfId="553" xr:uid="{00000000-0005-0000-0000-000090010000}"/>
    <cellStyle name="Border_adsf" xfId="554" xr:uid="{00000000-0005-0000-0000-000091010000}"/>
    <cellStyle name="BRACKET" xfId="1201" xr:uid="{00000000-0005-0000-0000-000092010000}"/>
    <cellStyle name="British Pound" xfId="137" xr:uid="{00000000-0005-0000-0000-000093010000}"/>
    <cellStyle name="British Pound 2" xfId="138" xr:uid="{00000000-0005-0000-0000-000094010000}"/>
    <cellStyle name="British Pound 3" xfId="139" xr:uid="{00000000-0005-0000-0000-000095010000}"/>
    <cellStyle name="Bullet" xfId="555" xr:uid="{00000000-0005-0000-0000-000096010000}"/>
    <cellStyle name="C?AO_?A°??µAoC?" xfId="140" xr:uid="{00000000-0005-0000-0000-000097010000}"/>
    <cellStyle name="c_HardInc " xfId="1202" xr:uid="{00000000-0005-0000-0000-000098010000}"/>
    <cellStyle name="C05_Style E Text" xfId="1203" xr:uid="{00000000-0005-0000-0000-000099010000}"/>
    <cellStyle name="Calc Cells" xfId="1204" xr:uid="{00000000-0005-0000-0000-00009A010000}"/>
    <cellStyle name="Calc Currency (0)" xfId="141" xr:uid="{00000000-0005-0000-0000-00009B010000}"/>
    <cellStyle name="Calc Currency (2)" xfId="556" xr:uid="{00000000-0005-0000-0000-00009C010000}"/>
    <cellStyle name="Calc Percent (0)" xfId="557" xr:uid="{00000000-0005-0000-0000-00009D010000}"/>
    <cellStyle name="Calc Percent (1)" xfId="558" xr:uid="{00000000-0005-0000-0000-00009E010000}"/>
    <cellStyle name="Calc Percent (2)" xfId="559" xr:uid="{00000000-0005-0000-0000-00009F010000}"/>
    <cellStyle name="Calc Units (0)" xfId="560" xr:uid="{00000000-0005-0000-0000-0000A0010000}"/>
    <cellStyle name="Calc Units (1)" xfId="561" xr:uid="{00000000-0005-0000-0000-0000A1010000}"/>
    <cellStyle name="Calc Units (2)" xfId="562" xr:uid="{00000000-0005-0000-0000-0000A2010000}"/>
    <cellStyle name="Calcolo" xfId="142" xr:uid="{00000000-0005-0000-0000-0000A3010000}"/>
    <cellStyle name="CAPS1" xfId="563" xr:uid="{00000000-0005-0000-0000-0000A4010000}"/>
    <cellStyle name="čárky [0]_09-him-nim" xfId="143" xr:uid="{00000000-0005-0000-0000-0000A5010000}"/>
    <cellStyle name="čárky_Budget 2007_VS_level 1 (8A) -4.12.2006" xfId="144" xr:uid="{00000000-0005-0000-0000-0000A6010000}"/>
    <cellStyle name="Case" xfId="145" xr:uid="{00000000-0005-0000-0000-0000A7010000}"/>
    <cellStyle name="Cella collegata" xfId="146" xr:uid="{00000000-0005-0000-0000-0000A8010000}"/>
    <cellStyle name="Cella da controllare" xfId="147" xr:uid="{00000000-0005-0000-0000-0000A9010000}"/>
    <cellStyle name="Center Across" xfId="148" xr:uid="{00000000-0005-0000-0000-0000AA010000}"/>
    <cellStyle name="Centered Heading" xfId="564" xr:uid="{00000000-0005-0000-0000-0000AB010000}"/>
    <cellStyle name="Cents" xfId="1205" xr:uid="{00000000-0005-0000-0000-0000AC010000}"/>
    <cellStyle name="Change" xfId="1206" xr:uid="{00000000-0005-0000-0000-0000AD010000}"/>
    <cellStyle name="Changeable" xfId="565" xr:uid="{00000000-0005-0000-0000-0000AE010000}"/>
    <cellStyle name="ChartingText" xfId="501" xr:uid="{00000000-0005-0000-0000-0000AF010000}"/>
    <cellStyle name="Check" xfId="149" xr:uid="{00000000-0005-0000-0000-0000B0010000}"/>
    <cellStyle name="Check 2" xfId="150" xr:uid="{00000000-0005-0000-0000-0000B1010000}"/>
    <cellStyle name="Check 3" xfId="151" xr:uid="{00000000-0005-0000-0000-0000B2010000}"/>
    <cellStyle name="CHPAboveAverage" xfId="502" xr:uid="{00000000-0005-0000-0000-0000B3010000}"/>
    <cellStyle name="CHPBelowAverage" xfId="503" xr:uid="{00000000-0005-0000-0000-0000B4010000}"/>
    <cellStyle name="CHPBottom" xfId="504" xr:uid="{00000000-0005-0000-0000-0000B5010000}"/>
    <cellStyle name="CHPTop" xfId="505" xr:uid="{00000000-0005-0000-0000-0000B6010000}"/>
    <cellStyle name="čiarky [0]_SPT_Telecom" xfId="152" xr:uid="{00000000-0005-0000-0000-0000B7010000}"/>
    <cellStyle name="čiarky_SPT_Telecom" xfId="153" xr:uid="{00000000-0005-0000-0000-0000B8010000}"/>
    <cellStyle name="City" xfId="1207" xr:uid="{00000000-0005-0000-0000-0000B9010000}"/>
    <cellStyle name="Co. Names" xfId="1208" xr:uid="{00000000-0005-0000-0000-0000BA010000}"/>
    <cellStyle name="Co. Names - Bold" xfId="1209" xr:uid="{00000000-0005-0000-0000-0000BB010000}"/>
    <cellStyle name="Co. Names_Blend" xfId="1210" xr:uid="{00000000-0005-0000-0000-0000BC010000}"/>
    <cellStyle name="Col Head" xfId="1211" xr:uid="{00000000-0005-0000-0000-0000BD010000}"/>
    <cellStyle name="Collateral" xfId="1212" xr:uid="{00000000-0005-0000-0000-0000BE010000}"/>
    <cellStyle name="Color" xfId="566" xr:uid="{00000000-0005-0000-0000-0000BF010000}"/>
    <cellStyle name="Colore 1" xfId="154" xr:uid="{00000000-0005-0000-0000-0000C0010000}"/>
    <cellStyle name="Colore 2" xfId="155" xr:uid="{00000000-0005-0000-0000-0000C1010000}"/>
    <cellStyle name="Colore 3" xfId="156" xr:uid="{00000000-0005-0000-0000-0000C2010000}"/>
    <cellStyle name="Colore 4" xfId="157" xr:uid="{00000000-0005-0000-0000-0000C3010000}"/>
    <cellStyle name="Colore 5" xfId="158" xr:uid="{00000000-0005-0000-0000-0000C4010000}"/>
    <cellStyle name="Colore 6" xfId="159" xr:uid="{00000000-0005-0000-0000-0000C5010000}"/>
    <cellStyle name="Column Heading" xfId="160" xr:uid="{00000000-0005-0000-0000-0000C6010000}"/>
    <cellStyle name="Column_Title" xfId="161" xr:uid="{00000000-0005-0000-0000-0000C7010000}"/>
    <cellStyle name="ColumnHeaderNormal" xfId="506" xr:uid="{00000000-0005-0000-0000-0000C8010000}"/>
    <cellStyle name="ColumnHeadings" xfId="1213" xr:uid="{00000000-0005-0000-0000-0000C9010000}"/>
    <cellStyle name="ColumnHeadings2" xfId="1214" xr:uid="{00000000-0005-0000-0000-0000CA010000}"/>
    <cellStyle name="Com - Zero (0)" xfId="567" xr:uid="{00000000-0005-0000-0000-0000CB010000}"/>
    <cellStyle name="Comma" xfId="1186" builtinId="3"/>
    <cellStyle name="Comma  - Style1" xfId="568" xr:uid="{00000000-0005-0000-0000-0000CD010000}"/>
    <cellStyle name="Comma  - Style2" xfId="569" xr:uid="{00000000-0005-0000-0000-0000CE010000}"/>
    <cellStyle name="Comma  - Style3" xfId="570" xr:uid="{00000000-0005-0000-0000-0000CF010000}"/>
    <cellStyle name="Comma  - Style4" xfId="571" xr:uid="{00000000-0005-0000-0000-0000D0010000}"/>
    <cellStyle name="Comma  - Style5" xfId="572" xr:uid="{00000000-0005-0000-0000-0000D1010000}"/>
    <cellStyle name="Comma  - Style6" xfId="573" xr:uid="{00000000-0005-0000-0000-0000D2010000}"/>
    <cellStyle name="Comma  - Style7" xfId="574" xr:uid="{00000000-0005-0000-0000-0000D3010000}"/>
    <cellStyle name="Comma  - Style8" xfId="575" xr:uid="{00000000-0005-0000-0000-0000D4010000}"/>
    <cellStyle name="Comma [0] 2" xfId="162" xr:uid="{00000000-0005-0000-0000-0000D5010000}"/>
    <cellStyle name="Comma [00]" xfId="576" xr:uid="{00000000-0005-0000-0000-0000D6010000}"/>
    <cellStyle name="Comma [1]" xfId="163" xr:uid="{00000000-0005-0000-0000-0000D7010000}"/>
    <cellStyle name="Comma [2]" xfId="577" xr:uid="{00000000-0005-0000-0000-0000D8010000}"/>
    <cellStyle name="Comma [3]" xfId="578" xr:uid="{00000000-0005-0000-0000-0000D9010000}"/>
    <cellStyle name="Comma 0" xfId="164" xr:uid="{00000000-0005-0000-0000-0000DA010000}"/>
    <cellStyle name="Comma 0*" xfId="165" xr:uid="{00000000-0005-0000-0000-0000DB010000}"/>
    <cellStyle name="Comma 0.0" xfId="579" xr:uid="{00000000-0005-0000-0000-0000DC010000}"/>
    <cellStyle name="Comma 0.00" xfId="580" xr:uid="{00000000-0005-0000-0000-0000DD010000}"/>
    <cellStyle name="Comma 0.000" xfId="581" xr:uid="{00000000-0005-0000-0000-0000DE010000}"/>
    <cellStyle name="Comma 0.0000" xfId="582" xr:uid="{00000000-0005-0000-0000-0000DF010000}"/>
    <cellStyle name="Comma 0.00000" xfId="583" xr:uid="{00000000-0005-0000-0000-0000E0010000}"/>
    <cellStyle name="Comma 1" xfId="584" xr:uid="{00000000-0005-0000-0000-0000E1010000}"/>
    <cellStyle name="Comma 10" xfId="32" xr:uid="{00000000-0005-0000-0000-0000E2010000}"/>
    <cellStyle name="Comma 2" xfId="8" xr:uid="{00000000-0005-0000-0000-0000E3010000}"/>
    <cellStyle name="Comma 2 2" xfId="166" xr:uid="{00000000-0005-0000-0000-0000E4010000}"/>
    <cellStyle name="Comma 2 3" xfId="167" xr:uid="{00000000-0005-0000-0000-0000E5010000}"/>
    <cellStyle name="Comma 3" xfId="12" xr:uid="{00000000-0005-0000-0000-0000E6010000}"/>
    <cellStyle name="Comma 3 2" xfId="168" xr:uid="{00000000-0005-0000-0000-0000E7010000}"/>
    <cellStyle name="Comma 3 3" xfId="169" xr:uid="{00000000-0005-0000-0000-0000E8010000}"/>
    <cellStyle name="Comma 3 4" xfId="170" xr:uid="{00000000-0005-0000-0000-0000E9010000}"/>
    <cellStyle name="Comma 3*" xfId="585" xr:uid="{00000000-0005-0000-0000-0000EA010000}"/>
    <cellStyle name="Comma 339" xfId="171" xr:uid="{00000000-0005-0000-0000-0000EB010000}"/>
    <cellStyle name="Comma 4" xfId="34" xr:uid="{00000000-0005-0000-0000-0000EC010000}"/>
    <cellStyle name="Comma 4 2" xfId="172" xr:uid="{00000000-0005-0000-0000-0000ED010000}"/>
    <cellStyle name="Comma 4 3" xfId="173" xr:uid="{00000000-0005-0000-0000-0000EE010000}"/>
    <cellStyle name="Comma 5" xfId="174" xr:uid="{00000000-0005-0000-0000-0000EF010000}"/>
    <cellStyle name="Comma 6" xfId="175" xr:uid="{00000000-0005-0000-0000-0000F0010000}"/>
    <cellStyle name="Comma 7" xfId="176" xr:uid="{00000000-0005-0000-0000-0000F1010000}"/>
    <cellStyle name="Comma 8" xfId="496" xr:uid="{00000000-0005-0000-0000-0000F2010000}"/>
    <cellStyle name="Comma(1)" xfId="1215" xr:uid="{00000000-0005-0000-0000-0000F3010000}"/>
    <cellStyle name="Comma0" xfId="177" xr:uid="{00000000-0005-0000-0000-0000F4010000}"/>
    <cellStyle name="Comma0 - Style1" xfId="586" xr:uid="{00000000-0005-0000-0000-0000F5010000}"/>
    <cellStyle name="Comma0_Floating Bar 2.28.05" xfId="587" xr:uid="{00000000-0005-0000-0000-0000F6010000}"/>
    <cellStyle name="Comma2" xfId="1216" xr:uid="{00000000-0005-0000-0000-0000F7010000}"/>
    <cellStyle name="Comment" xfId="1217" xr:uid="{00000000-0005-0000-0000-0000F8010000}"/>
    <cellStyle name="Company Name" xfId="588" xr:uid="{00000000-0005-0000-0000-0000F9010000}"/>
    <cellStyle name="CompanyName" xfId="589" xr:uid="{00000000-0005-0000-0000-0000FA010000}"/>
    <cellStyle name="CompanyTitle" xfId="1218" xr:uid="{00000000-0005-0000-0000-0000FB010000}"/>
    <cellStyle name="Copied" xfId="590" xr:uid="{00000000-0005-0000-0000-0000FC010000}"/>
    <cellStyle name="Curren - Style2" xfId="591" xr:uid="{00000000-0005-0000-0000-0000FD010000}"/>
    <cellStyle name="Currency [00]" xfId="592" xr:uid="{00000000-0005-0000-0000-0000FE010000}"/>
    <cellStyle name="Currency [1]" xfId="178" xr:uid="{00000000-0005-0000-0000-0000FF010000}"/>
    <cellStyle name="Currency [2]" xfId="593" xr:uid="{00000000-0005-0000-0000-000000020000}"/>
    <cellStyle name="Currency [3]" xfId="594" xr:uid="{00000000-0005-0000-0000-000001020000}"/>
    <cellStyle name="Currency 0" xfId="179" xr:uid="{00000000-0005-0000-0000-000002020000}"/>
    <cellStyle name="Currency 0.0" xfId="595" xr:uid="{00000000-0005-0000-0000-000003020000}"/>
    <cellStyle name="Currency 0.00" xfId="596" xr:uid="{00000000-0005-0000-0000-000004020000}"/>
    <cellStyle name="Currency 0.000" xfId="597" xr:uid="{00000000-0005-0000-0000-000005020000}"/>
    <cellStyle name="Currency 0.0000" xfId="598" xr:uid="{00000000-0005-0000-0000-000006020000}"/>
    <cellStyle name="Currency 0.00000" xfId="599" xr:uid="{00000000-0005-0000-0000-000007020000}"/>
    <cellStyle name="Currency 2" xfId="7" xr:uid="{00000000-0005-0000-0000-000008020000}"/>
    <cellStyle name="Currency 2 2" xfId="180" xr:uid="{00000000-0005-0000-0000-000009020000}"/>
    <cellStyle name="Currency 2 3" xfId="181" xr:uid="{00000000-0005-0000-0000-00000A020000}"/>
    <cellStyle name="Currency 3" xfId="11" xr:uid="{00000000-0005-0000-0000-00000B020000}"/>
    <cellStyle name="Currency 3 2" xfId="182" xr:uid="{00000000-0005-0000-0000-00000C020000}"/>
    <cellStyle name="Currency 3*" xfId="600" xr:uid="{00000000-0005-0000-0000-00000D020000}"/>
    <cellStyle name="Currency 307" xfId="183" xr:uid="{00000000-0005-0000-0000-00000E020000}"/>
    <cellStyle name="Currency 4" xfId="184" xr:uid="{00000000-0005-0000-0000-00000F020000}"/>
    <cellStyle name="Currency 5" xfId="185" xr:uid="{00000000-0005-0000-0000-000010020000}"/>
    <cellStyle name="Currency 6" xfId="186" xr:uid="{00000000-0005-0000-0000-000011020000}"/>
    <cellStyle name="Currency 7" xfId="938" xr:uid="{00000000-0005-0000-0000-000012020000}"/>
    <cellStyle name="Currency 8" xfId="1189" xr:uid="{00000000-0005-0000-0000-000013020000}"/>
    <cellStyle name="Currency0" xfId="187" xr:uid="{00000000-0005-0000-0000-000014020000}"/>
    <cellStyle name="Currency1Blue" xfId="601" xr:uid="{00000000-0005-0000-0000-000015020000}"/>
    <cellStyle name="Currsmall" xfId="602" xr:uid="{00000000-0005-0000-0000-000016020000}"/>
    <cellStyle name="custom" xfId="603" xr:uid="{00000000-0005-0000-0000-000017020000}"/>
    <cellStyle name="Dash" xfId="604" xr:uid="{00000000-0005-0000-0000-000018020000}"/>
    <cellStyle name="Data" xfId="188" xr:uid="{00000000-0005-0000-0000-000019020000}"/>
    <cellStyle name="Data Link" xfId="605" xr:uid="{00000000-0005-0000-0000-00001A020000}"/>
    <cellStyle name="DataBold" xfId="189" xr:uid="{00000000-0005-0000-0000-00001B020000}"/>
    <cellStyle name="Date" xfId="190" xr:uid="{00000000-0005-0000-0000-00001C020000}"/>
    <cellStyle name="Date [d-mmm-yy]" xfId="606" xr:uid="{00000000-0005-0000-0000-00001D020000}"/>
    <cellStyle name="Date [mm-d-yy]" xfId="607" xr:uid="{00000000-0005-0000-0000-00001E020000}"/>
    <cellStyle name="Date [mm-d-yyyy]" xfId="608" xr:uid="{00000000-0005-0000-0000-00001F020000}"/>
    <cellStyle name="Date [mmm-yy]" xfId="609" xr:uid="{00000000-0005-0000-0000-000020020000}"/>
    <cellStyle name="Date 2" xfId="191" xr:uid="{00000000-0005-0000-0000-000021020000}"/>
    <cellStyle name="Date 3" xfId="192" xr:uid="{00000000-0005-0000-0000-000022020000}"/>
    <cellStyle name="Date Aligned" xfId="193" xr:uid="{00000000-0005-0000-0000-000023020000}"/>
    <cellStyle name="Date Short" xfId="610" xr:uid="{00000000-0005-0000-0000-000024020000}"/>
    <cellStyle name="Date_07.12.2005  КЭШ и баланс " xfId="194" xr:uid="{00000000-0005-0000-0000-000025020000}"/>
    <cellStyle name="Date1" xfId="611" xr:uid="{00000000-0005-0000-0000-000026020000}"/>
    <cellStyle name="Date2" xfId="1219" xr:uid="{00000000-0005-0000-0000-000027020000}"/>
    <cellStyle name="Deal" xfId="1220" xr:uid="{00000000-0005-0000-0000-000028020000}"/>
    <cellStyle name="Dec_0" xfId="195" xr:uid="{00000000-0005-0000-0000-000029020000}"/>
    <cellStyle name="Decimal" xfId="1221" xr:uid="{00000000-0005-0000-0000-00002A020000}"/>
    <cellStyle name="decimal 1" xfId="1222" xr:uid="{00000000-0005-0000-0000-00002B020000}"/>
    <cellStyle name="Default" xfId="612" xr:uid="{00000000-0005-0000-0000-00002C020000}"/>
    <cellStyle name="Deviant" xfId="196" xr:uid="{00000000-0005-0000-0000-00002D020000}"/>
    <cellStyle name="Dollar" xfId="613" xr:uid="{00000000-0005-0000-0000-00002E020000}"/>
    <cellStyle name="Dollar 2" xfId="1223" xr:uid="{00000000-0005-0000-0000-00002F020000}"/>
    <cellStyle name="Dollar1" xfId="614" xr:uid="{00000000-0005-0000-0000-000030020000}"/>
    <cellStyle name="Dollar1Blue" xfId="615" xr:uid="{00000000-0005-0000-0000-000031020000}"/>
    <cellStyle name="Dollar2" xfId="616" xr:uid="{00000000-0005-0000-0000-000032020000}"/>
    <cellStyle name="Dollars" xfId="197" xr:uid="{00000000-0005-0000-0000-000033020000}"/>
    <cellStyle name="Dotted Line" xfId="198" xr:uid="{00000000-0005-0000-0000-000034020000}"/>
    <cellStyle name="Double Accounting" xfId="199" xr:uid="{00000000-0005-0000-0000-000035020000}"/>
    <cellStyle name="Dziesiêtny [0]_1" xfId="200" xr:uid="{00000000-0005-0000-0000-000036020000}"/>
    <cellStyle name="Dziesiêtny_1" xfId="201" xr:uid="{00000000-0005-0000-0000-000037020000}"/>
    <cellStyle name="eárky [0]_1.LIST" xfId="202" xr:uid="{00000000-0005-0000-0000-000038020000}"/>
    <cellStyle name="eárky_1.LIST" xfId="203" xr:uid="{00000000-0005-0000-0000-000039020000}"/>
    <cellStyle name="emp" xfId="1224" xr:uid="{00000000-0005-0000-0000-00003A020000}"/>
    <cellStyle name="Enter Currency (0)" xfId="617" xr:uid="{00000000-0005-0000-0000-00003B020000}"/>
    <cellStyle name="Enter Currency (2)" xfId="618" xr:uid="{00000000-0005-0000-0000-00003C020000}"/>
    <cellStyle name="Enter Units (0)" xfId="619" xr:uid="{00000000-0005-0000-0000-00003D020000}"/>
    <cellStyle name="Enter Units (1)" xfId="620" xr:uid="{00000000-0005-0000-0000-00003E020000}"/>
    <cellStyle name="Enter Units (2)" xfId="621" xr:uid="{00000000-0005-0000-0000-00003F020000}"/>
    <cellStyle name="Entered" xfId="622" xr:uid="{00000000-0005-0000-0000-000040020000}"/>
    <cellStyle name="EPS" xfId="623" xr:uid="{00000000-0005-0000-0000-000041020000}"/>
    <cellStyle name="Euro" xfId="204" xr:uid="{00000000-0005-0000-0000-000042020000}"/>
    <cellStyle name="Euro 2" xfId="205" xr:uid="{00000000-0005-0000-0000-000043020000}"/>
    <cellStyle name="Euro 3" xfId="206" xr:uid="{00000000-0005-0000-0000-000044020000}"/>
    <cellStyle name="External File Cells" xfId="1225" xr:uid="{00000000-0005-0000-0000-000045020000}"/>
    <cellStyle name="EY Narrative text" xfId="24" xr:uid="{00000000-0005-0000-0000-000046020000}"/>
    <cellStyle name="EY0dp" xfId="22" xr:uid="{00000000-0005-0000-0000-000047020000}"/>
    <cellStyle name="EY1dp" xfId="23" xr:uid="{00000000-0005-0000-0000-000048020000}"/>
    <cellStyle name="EYColumnHeading" xfId="20" xr:uid="{00000000-0005-0000-0000-000049020000}"/>
    <cellStyle name="EYCurrency" xfId="18" xr:uid="{00000000-0005-0000-0000-00004A020000}"/>
    <cellStyle name="EYNotes" xfId="21" xr:uid="{00000000-0005-0000-0000-00004B020000}"/>
    <cellStyle name="EYNotesHeading" xfId="19" xr:uid="{00000000-0005-0000-0000-00004C020000}"/>
    <cellStyle name="EYnumber" xfId="17" xr:uid="{00000000-0005-0000-0000-00004D020000}"/>
    <cellStyle name="EYSectionHeading" xfId="13" xr:uid="{00000000-0005-0000-0000-00004E020000}"/>
    <cellStyle name="EYSheetHeading" xfId="16" xr:uid="{00000000-0005-0000-0000-00004F020000}"/>
    <cellStyle name="EYsmallheading" xfId="14" xr:uid="{00000000-0005-0000-0000-000050020000}"/>
    <cellStyle name="EYSource" xfId="25" xr:uid="{00000000-0005-0000-0000-000051020000}"/>
    <cellStyle name="EYtext" xfId="15" xr:uid="{00000000-0005-0000-0000-000052020000}"/>
    <cellStyle name="Ezres [0]_Document" xfId="207" xr:uid="{00000000-0005-0000-0000-000053020000}"/>
    <cellStyle name="Ezres_Document" xfId="208" xr:uid="{00000000-0005-0000-0000-000054020000}"/>
    <cellStyle name="F2" xfId="209" xr:uid="{00000000-0005-0000-0000-000055020000}"/>
    <cellStyle name="F3" xfId="210" xr:uid="{00000000-0005-0000-0000-000056020000}"/>
    <cellStyle name="F4" xfId="211" xr:uid="{00000000-0005-0000-0000-000057020000}"/>
    <cellStyle name="F5" xfId="212" xr:uid="{00000000-0005-0000-0000-000058020000}"/>
    <cellStyle name="F6" xfId="213" xr:uid="{00000000-0005-0000-0000-000059020000}"/>
    <cellStyle name="F7" xfId="214" xr:uid="{00000000-0005-0000-0000-00005A020000}"/>
    <cellStyle name="F8" xfId="215" xr:uid="{00000000-0005-0000-0000-00005B020000}"/>
    <cellStyle name="Factor" xfId="216" xr:uid="{00000000-0005-0000-0000-00005C020000}"/>
    <cellStyle name="Factor 2" xfId="217" xr:uid="{00000000-0005-0000-0000-00005D020000}"/>
    <cellStyle name="Factor 3" xfId="218" xr:uid="{00000000-0005-0000-0000-00005E020000}"/>
    <cellStyle name="FF_EURO" xfId="624" xr:uid="{00000000-0005-0000-0000-00005F020000}"/>
    <cellStyle name="FieldName" xfId="1226" xr:uid="{00000000-0005-0000-0000-000060020000}"/>
    <cellStyle name="Fit" xfId="1227" xr:uid="{00000000-0005-0000-0000-000061020000}"/>
    <cellStyle name="Fixed" xfId="219" xr:uid="{00000000-0005-0000-0000-000062020000}"/>
    <cellStyle name="Fixed [0]" xfId="625" xr:uid="{00000000-0005-0000-0000-000063020000}"/>
    <cellStyle name="Fixed 2" xfId="1228" xr:uid="{00000000-0005-0000-0000-000064020000}"/>
    <cellStyle name="Fixlong" xfId="626" xr:uid="{00000000-0005-0000-0000-000065020000}"/>
    <cellStyle name="footer" xfId="220" xr:uid="{00000000-0005-0000-0000-000066020000}"/>
    <cellStyle name="Footnote" xfId="221" xr:uid="{00000000-0005-0000-0000-000067020000}"/>
    <cellStyle name="Footnotes" xfId="1229" xr:uid="{00000000-0005-0000-0000-000068020000}"/>
    <cellStyle name="Forecast Cells" xfId="1230" xr:uid="{00000000-0005-0000-0000-000069020000}"/>
    <cellStyle name="Formula" xfId="627" xr:uid="{00000000-0005-0000-0000-00006A020000}"/>
    <cellStyle name="fourdecplace" xfId="628" xr:uid="{00000000-0005-0000-0000-00006B020000}"/>
    <cellStyle name="From" xfId="222" xr:uid="{00000000-0005-0000-0000-00006C020000}"/>
    <cellStyle name="From 2" xfId="223" xr:uid="{00000000-0005-0000-0000-00006D020000}"/>
    <cellStyle name="From 3" xfId="224" xr:uid="{00000000-0005-0000-0000-00006E020000}"/>
    <cellStyle name="G02 Table Text" xfId="1231" xr:uid="{00000000-0005-0000-0000-00006F020000}"/>
    <cellStyle name="G04_Main head" xfId="1232" xr:uid="{00000000-0005-0000-0000-000070020000}"/>
    <cellStyle name="G05 Tab Head Bold" xfId="1233" xr:uid="{00000000-0005-0000-0000-000071020000}"/>
    <cellStyle name="G05 Tab Head Light" xfId="1234" xr:uid="{00000000-0005-0000-0000-000072020000}"/>
    <cellStyle name="G1_1999 figures" xfId="1235" xr:uid="{00000000-0005-0000-0000-000073020000}"/>
    <cellStyle name="Global" xfId="629" xr:uid="{00000000-0005-0000-0000-000074020000}"/>
    <cellStyle name="Green" xfId="225" xr:uid="{00000000-0005-0000-0000-000075020000}"/>
    <cellStyle name="Grey" xfId="226" xr:uid="{00000000-0005-0000-0000-000076020000}"/>
    <cellStyle name="Grey 2" xfId="227" xr:uid="{00000000-0005-0000-0000-000077020000}"/>
    <cellStyle name="Grey 3" xfId="228" xr:uid="{00000000-0005-0000-0000-000078020000}"/>
    <cellStyle name="H_1998_col_head" xfId="1236" xr:uid="{00000000-0005-0000-0000-000079020000}"/>
    <cellStyle name="H_1999_col_head" xfId="1237" xr:uid="{00000000-0005-0000-0000-00007A020000}"/>
    <cellStyle name="H1_1998 figures" xfId="1238" xr:uid="{00000000-0005-0000-0000-00007B020000}"/>
    <cellStyle name="hard no" xfId="1239" xr:uid="{00000000-0005-0000-0000-00007C020000}"/>
    <cellStyle name="Hard Percent" xfId="229" xr:uid="{00000000-0005-0000-0000-00007D020000}"/>
    <cellStyle name="hardno" xfId="1240" xr:uid="{00000000-0005-0000-0000-00007E020000}"/>
    <cellStyle name="Header" xfId="230" xr:uid="{00000000-0005-0000-0000-00007F020000}"/>
    <cellStyle name="Header1" xfId="231" xr:uid="{00000000-0005-0000-0000-000080020000}"/>
    <cellStyle name="Header1 2" xfId="232" xr:uid="{00000000-0005-0000-0000-000081020000}"/>
    <cellStyle name="Header1 3" xfId="233" xr:uid="{00000000-0005-0000-0000-000082020000}"/>
    <cellStyle name="Header2" xfId="234" xr:uid="{00000000-0005-0000-0000-000083020000}"/>
    <cellStyle name="Header2 2" xfId="235" xr:uid="{00000000-0005-0000-0000-000084020000}"/>
    <cellStyle name="Header2 3" xfId="236" xr:uid="{00000000-0005-0000-0000-000085020000}"/>
    <cellStyle name="heading" xfId="237" xr:uid="{00000000-0005-0000-0000-000086020000}"/>
    <cellStyle name="Heading Left" xfId="630" xr:uid="{00000000-0005-0000-0000-000087020000}"/>
    <cellStyle name="Heading No Underline" xfId="631" xr:uid="{00000000-0005-0000-0000-000088020000}"/>
    <cellStyle name="Heading Right" xfId="632" xr:uid="{00000000-0005-0000-0000-000089020000}"/>
    <cellStyle name="Heading With Underline" xfId="633" xr:uid="{00000000-0005-0000-0000-00008A020000}"/>
    <cellStyle name="HEADING1" xfId="238" xr:uid="{00000000-0005-0000-0000-00008B020000}"/>
    <cellStyle name="HEADING2" xfId="239" xr:uid="{00000000-0005-0000-0000-00008C020000}"/>
    <cellStyle name="Heading3" xfId="634" xr:uid="{00000000-0005-0000-0000-00008D020000}"/>
    <cellStyle name="HeadingS" xfId="240" xr:uid="{00000000-0005-0000-0000-00008E020000}"/>
    <cellStyle name="HEADINGSTOP" xfId="635" xr:uid="{00000000-0005-0000-0000-00008F020000}"/>
    <cellStyle name="Hidden" xfId="636" xr:uid="{00000000-0005-0000-0000-000090020000}"/>
    <cellStyle name="Hide" xfId="241" xr:uid="{00000000-0005-0000-0000-000091020000}"/>
    <cellStyle name="Historicals" xfId="1241" xr:uid="{00000000-0005-0000-0000-000092020000}"/>
    <cellStyle name="Hyperlink 2" xfId="242" xr:uid="{00000000-0005-0000-0000-000093020000}"/>
    <cellStyle name="Hyperlink 3" xfId="243" xr:uid="{00000000-0005-0000-0000-000094020000}"/>
    <cellStyle name="Iau?iue_o10-n" xfId="244" xr:uid="{00000000-0005-0000-0000-000095020000}"/>
    <cellStyle name="Îáû÷íûé_vaqduGfTSN7qyUJNWHRlcWo3H" xfId="245" xr:uid="{00000000-0005-0000-0000-000096020000}"/>
    <cellStyle name="Inapplivable" xfId="637" xr:uid="{00000000-0005-0000-0000-000097020000}"/>
    <cellStyle name="Input [yellow]" xfId="246" xr:uid="{00000000-0005-0000-0000-000098020000}"/>
    <cellStyle name="Input [yellow] 2" xfId="247" xr:uid="{00000000-0005-0000-0000-000099020000}"/>
    <cellStyle name="Input [yellow] 3" xfId="248" xr:uid="{00000000-0005-0000-0000-00009A020000}"/>
    <cellStyle name="Input 10" xfId="249" xr:uid="{00000000-0005-0000-0000-00009B020000}"/>
    <cellStyle name="Input 11" xfId="250" xr:uid="{00000000-0005-0000-0000-00009C020000}"/>
    <cellStyle name="Input 12" xfId="251" xr:uid="{00000000-0005-0000-0000-00009D020000}"/>
    <cellStyle name="Input 13" xfId="252" xr:uid="{00000000-0005-0000-0000-00009E020000}"/>
    <cellStyle name="Input 14" xfId="253" xr:uid="{00000000-0005-0000-0000-00009F020000}"/>
    <cellStyle name="Input 15" xfId="254" xr:uid="{00000000-0005-0000-0000-0000A0020000}"/>
    <cellStyle name="Input 16" xfId="255" xr:uid="{00000000-0005-0000-0000-0000A1020000}"/>
    <cellStyle name="Input 2" xfId="256" xr:uid="{00000000-0005-0000-0000-0000A2020000}"/>
    <cellStyle name="Input 3" xfId="257" xr:uid="{00000000-0005-0000-0000-0000A3020000}"/>
    <cellStyle name="Input 4" xfId="258" xr:uid="{00000000-0005-0000-0000-0000A4020000}"/>
    <cellStyle name="Input 5" xfId="259" xr:uid="{00000000-0005-0000-0000-0000A5020000}"/>
    <cellStyle name="Input 6" xfId="260" xr:uid="{00000000-0005-0000-0000-0000A6020000}"/>
    <cellStyle name="Input 7" xfId="261" xr:uid="{00000000-0005-0000-0000-0000A7020000}"/>
    <cellStyle name="Input 8" xfId="262" xr:uid="{00000000-0005-0000-0000-0000A8020000}"/>
    <cellStyle name="Input 9" xfId="263" xr:uid="{00000000-0005-0000-0000-0000A9020000}"/>
    <cellStyle name="Input Cells" xfId="1242" xr:uid="{00000000-0005-0000-0000-0000AA020000}"/>
    <cellStyle name="Input Currency" xfId="638" xr:uid="{00000000-0005-0000-0000-0000AB020000}"/>
    <cellStyle name="Input Date" xfId="639" xr:uid="{00000000-0005-0000-0000-0000AC020000}"/>
    <cellStyle name="Input Fixed [0]" xfId="640" xr:uid="{00000000-0005-0000-0000-0000AD020000}"/>
    <cellStyle name="Input Normal" xfId="641" xr:uid="{00000000-0005-0000-0000-0000AE020000}"/>
    <cellStyle name="Input Percent" xfId="642" xr:uid="{00000000-0005-0000-0000-0000AF020000}"/>
    <cellStyle name="Input Percent [2]" xfId="643" xr:uid="{00000000-0005-0000-0000-0000B0020000}"/>
    <cellStyle name="Input Titles" xfId="644" xr:uid="{00000000-0005-0000-0000-0000B1020000}"/>
    <cellStyle name="Input1" xfId="645" xr:uid="{00000000-0005-0000-0000-0000B2020000}"/>
    <cellStyle name="Input2" xfId="646" xr:uid="{00000000-0005-0000-0000-0000B3020000}"/>
    <cellStyle name="InputBlueFont" xfId="1243" xr:uid="{00000000-0005-0000-0000-0000B4020000}"/>
    <cellStyle name="Inputs" xfId="1244" xr:uid="{00000000-0005-0000-0000-0000B5020000}"/>
    <cellStyle name="Integer" xfId="647" xr:uid="{00000000-0005-0000-0000-0000B6020000}"/>
    <cellStyle name="Invisible" xfId="507" xr:uid="{00000000-0005-0000-0000-0000B7020000}"/>
    <cellStyle name="Ioe?uaaaoayny aeia?nnueea" xfId="264" xr:uid="{00000000-0005-0000-0000-0000B8020000}"/>
    <cellStyle name="ISO" xfId="265" xr:uid="{00000000-0005-0000-0000-0000B9020000}"/>
    <cellStyle name="ITAL1" xfId="648" xr:uid="{00000000-0005-0000-0000-0000BA020000}"/>
    <cellStyle name="italics" xfId="1245" xr:uid="{00000000-0005-0000-0000-0000BB020000}"/>
    <cellStyle name="Item Descriptions" xfId="1246" xr:uid="{00000000-0005-0000-0000-0000BC020000}"/>
    <cellStyle name="Komma [0]_Arcen" xfId="266" xr:uid="{00000000-0005-0000-0000-0000BD020000}"/>
    <cellStyle name="Komma_Arcen" xfId="267" xr:uid="{00000000-0005-0000-0000-0000BE020000}"/>
    <cellStyle name="kopregel" xfId="649" xr:uid="{00000000-0005-0000-0000-0000BF020000}"/>
    <cellStyle name="KP_Normal" xfId="1247" xr:uid="{00000000-0005-0000-0000-0000C0020000}"/>
    <cellStyle name="Label" xfId="650" xr:uid="{00000000-0005-0000-0000-0000C1020000}"/>
    <cellStyle name="Lable8Left" xfId="651" xr:uid="{00000000-0005-0000-0000-0000C2020000}"/>
    <cellStyle name="Line" xfId="1248" xr:uid="{00000000-0005-0000-0000-0000C3020000}"/>
    <cellStyle name="Link Currency (0)" xfId="652" xr:uid="{00000000-0005-0000-0000-0000C4020000}"/>
    <cellStyle name="Link Currency (2)" xfId="653" xr:uid="{00000000-0005-0000-0000-0000C5020000}"/>
    <cellStyle name="Link Units (0)" xfId="654" xr:uid="{00000000-0005-0000-0000-0000C6020000}"/>
    <cellStyle name="Link Units (1)" xfId="655" xr:uid="{00000000-0005-0000-0000-0000C7020000}"/>
    <cellStyle name="Link Units (2)" xfId="656" xr:uid="{00000000-0005-0000-0000-0000C8020000}"/>
    <cellStyle name="Linked" xfId="657" xr:uid="{00000000-0005-0000-0000-0000C9020000}"/>
    <cellStyle name="Loan Amount" xfId="1249" xr:uid="{00000000-0005-0000-0000-0000CA020000}"/>
    <cellStyle name="M" xfId="658" xr:uid="{00000000-0005-0000-0000-0000CB020000}"/>
    <cellStyle name="M CURRENCY" xfId="659" xr:uid="{00000000-0005-0000-0000-0000CC020000}"/>
    <cellStyle name="Mainhead" xfId="1250" xr:uid="{00000000-0005-0000-0000-0000CD020000}"/>
    <cellStyle name="meny_SPT_Telecom" xfId="268" xr:uid="{00000000-0005-0000-0000-0000CE020000}"/>
    <cellStyle name="Merrill" xfId="1251" xr:uid="{00000000-0005-0000-0000-0000CF020000}"/>
    <cellStyle name="Migliaia (0)_Cartel2" xfId="1252" xr:uid="{00000000-0005-0000-0000-0000D0020000}"/>
    <cellStyle name="Millares [0]_Crecimiento de líneas" xfId="660" xr:uid="{00000000-0005-0000-0000-0000D1020000}"/>
    <cellStyle name="Millares_Crecimiento de líneas" xfId="661" xr:uid="{00000000-0005-0000-0000-0000D2020000}"/>
    <cellStyle name="Milliers [0]_!!!GO" xfId="662" xr:uid="{00000000-0005-0000-0000-0000D3020000}"/>
    <cellStyle name="Milliers_!!!GO" xfId="663" xr:uid="{00000000-0005-0000-0000-0000D4020000}"/>
    <cellStyle name="miny_1.LIST" xfId="269" xr:uid="{00000000-0005-0000-0000-0000D5020000}"/>
    <cellStyle name="Mix" xfId="1253" xr:uid="{00000000-0005-0000-0000-0000D6020000}"/>
    <cellStyle name="Moeda [0]_Proyección de ingresos" xfId="664" xr:uid="{00000000-0005-0000-0000-0000D7020000}"/>
    <cellStyle name="Moeda_Proyección de ingresos" xfId="665" xr:uid="{00000000-0005-0000-0000-0000D8020000}"/>
    <cellStyle name="Moneda [0]_Crecimiento de líneas" xfId="666" xr:uid="{00000000-0005-0000-0000-0000D9020000}"/>
    <cellStyle name="Moneda_Crecimiento de líneas" xfId="667" xr:uid="{00000000-0005-0000-0000-0000DA020000}"/>
    <cellStyle name="Monétaire [0]_!!!GO" xfId="668" xr:uid="{00000000-0005-0000-0000-0000DB020000}"/>
    <cellStyle name="Monétaire_!!!GO" xfId="669" xr:uid="{00000000-0005-0000-0000-0000DC020000}"/>
    <cellStyle name="Monitor" xfId="1254" xr:uid="{00000000-0005-0000-0000-0000DD020000}"/>
    <cellStyle name="MonthYears" xfId="1255" xr:uid="{00000000-0005-0000-0000-0000DE020000}"/>
    <cellStyle name="MS_English" xfId="670" xr:uid="{00000000-0005-0000-0000-0000DF020000}"/>
    <cellStyle name="Multiple" xfId="270" xr:uid="{00000000-0005-0000-0000-0000E0020000}"/>
    <cellStyle name="Multiple [0]" xfId="271" xr:uid="{00000000-0005-0000-0000-0000E1020000}"/>
    <cellStyle name="Multiple [1]" xfId="272" xr:uid="{00000000-0005-0000-0000-0000E2020000}"/>
    <cellStyle name="Multiple_1 Dec" xfId="273" xr:uid="{00000000-0005-0000-0000-0000E3020000}"/>
    <cellStyle name="NA is zero" xfId="671" xr:uid="{00000000-0005-0000-0000-0000E4020000}"/>
    <cellStyle name="Name" xfId="1256" xr:uid="{00000000-0005-0000-0000-0000E5020000}"/>
    <cellStyle name="Neutrale" xfId="274" xr:uid="{00000000-0005-0000-0000-0000E6020000}"/>
    <cellStyle name="NewAcct" xfId="1257" xr:uid="{00000000-0005-0000-0000-0000E7020000}"/>
    <cellStyle name="NewColumnHeaderNormal" xfId="508" xr:uid="{00000000-0005-0000-0000-0000E8020000}"/>
    <cellStyle name="NewSectionHeaderNormal" xfId="509" xr:uid="{00000000-0005-0000-0000-0000E9020000}"/>
    <cellStyle name="NewTitleNormal" xfId="510" xr:uid="{00000000-0005-0000-0000-0000EA020000}"/>
    <cellStyle name="no dec" xfId="275" xr:uid="{00000000-0005-0000-0000-0000EB020000}"/>
    <cellStyle name="No.s to 1dp" xfId="1258" xr:uid="{00000000-0005-0000-0000-0000EC020000}"/>
    <cellStyle name="NONE" xfId="672" xr:uid="{00000000-0005-0000-0000-0000ED020000}"/>
    <cellStyle name="Norm" xfId="1259" xr:uid="{00000000-0005-0000-0000-0000EE020000}"/>
    <cellStyle name="Normal" xfId="0" builtinId="0"/>
    <cellStyle name="Normal - Style1" xfId="276" xr:uid="{00000000-0005-0000-0000-0000F0020000}"/>
    <cellStyle name="Normal - Style1 2" xfId="1260" xr:uid="{00000000-0005-0000-0000-0000F1020000}"/>
    <cellStyle name="Normal [0]" xfId="673" xr:uid="{00000000-0005-0000-0000-0000F2020000}"/>
    <cellStyle name="Normal [1]" xfId="674" xr:uid="{00000000-0005-0000-0000-0000F3020000}"/>
    <cellStyle name="Normal [2]" xfId="675" xr:uid="{00000000-0005-0000-0000-0000F4020000}"/>
    <cellStyle name="Normal [3]" xfId="676" xr:uid="{00000000-0005-0000-0000-0000F5020000}"/>
    <cellStyle name="Normal 0.0" xfId="1261" xr:uid="{00000000-0005-0000-0000-0000F6020000}"/>
    <cellStyle name="Normal 10" xfId="277" xr:uid="{00000000-0005-0000-0000-0000F7020000}"/>
    <cellStyle name="Normal 10 2" xfId="9" xr:uid="{00000000-0005-0000-0000-0000F8020000}"/>
    <cellStyle name="Normal 11" xfId="278" xr:uid="{00000000-0005-0000-0000-0000F9020000}"/>
    <cellStyle name="Normal 12" xfId="33" xr:uid="{00000000-0005-0000-0000-0000FA020000}"/>
    <cellStyle name="Normal 13" xfId="279" xr:uid="{00000000-0005-0000-0000-0000FB020000}"/>
    <cellStyle name="Normal 14" xfId="280" xr:uid="{00000000-0005-0000-0000-0000FC020000}"/>
    <cellStyle name="Normal 15" xfId="495" xr:uid="{00000000-0005-0000-0000-0000FD020000}"/>
    <cellStyle name="Normal 16" xfId="936" xr:uid="{00000000-0005-0000-0000-0000FE020000}"/>
    <cellStyle name="Normal 17" xfId="1187" xr:uid="{00000000-0005-0000-0000-0000FF020000}"/>
    <cellStyle name="Normal 18" xfId="1262" xr:uid="{00000000-0005-0000-0000-000000030000}"/>
    <cellStyle name="Normal 19" xfId="1263" xr:uid="{00000000-0005-0000-0000-000001030000}"/>
    <cellStyle name="Normal 2" xfId="6" xr:uid="{00000000-0005-0000-0000-000002030000}"/>
    <cellStyle name="Normal 2 10" xfId="1357" xr:uid="{00000000-0005-0000-0000-000003030000}"/>
    <cellStyle name="Normal 2 2" xfId="281" xr:uid="{00000000-0005-0000-0000-000004030000}"/>
    <cellStyle name="Normal 2 3" xfId="935" xr:uid="{00000000-0005-0000-0000-000005030000}"/>
    <cellStyle name="Normal 20" xfId="1264" xr:uid="{00000000-0005-0000-0000-000006030000}"/>
    <cellStyle name="Normal 21" xfId="1265" xr:uid="{00000000-0005-0000-0000-000007030000}"/>
    <cellStyle name="Normal 22" xfId="1266" xr:uid="{00000000-0005-0000-0000-000008030000}"/>
    <cellStyle name="Normal 23" xfId="1267" xr:uid="{00000000-0005-0000-0000-000009030000}"/>
    <cellStyle name="Normal 24" xfId="1268" xr:uid="{00000000-0005-0000-0000-00000A030000}"/>
    <cellStyle name="Normal 25" xfId="1269" xr:uid="{00000000-0005-0000-0000-00000B030000}"/>
    <cellStyle name="Normal 26" xfId="1270" xr:uid="{00000000-0005-0000-0000-00000C030000}"/>
    <cellStyle name="Normal 27" xfId="1271" xr:uid="{00000000-0005-0000-0000-00000D030000}"/>
    <cellStyle name="Normal 28" xfId="1272" xr:uid="{00000000-0005-0000-0000-00000E030000}"/>
    <cellStyle name="Normal 29" xfId="1273" xr:uid="{00000000-0005-0000-0000-00000F030000}"/>
    <cellStyle name="Normal 3" xfId="282" xr:uid="{00000000-0005-0000-0000-000010030000}"/>
    <cellStyle name="Normal 3 2" xfId="283" xr:uid="{00000000-0005-0000-0000-000011030000}"/>
    <cellStyle name="Normal 3 3" xfId="284" xr:uid="{00000000-0005-0000-0000-000012030000}"/>
    <cellStyle name="Normal 3 4" xfId="285" xr:uid="{00000000-0005-0000-0000-000013030000}"/>
    <cellStyle name="Normal 30" xfId="1274" xr:uid="{00000000-0005-0000-0000-000014030000}"/>
    <cellStyle name="Normal 31" xfId="1275" xr:uid="{00000000-0005-0000-0000-000015030000}"/>
    <cellStyle name="Normal 32" xfId="1276" xr:uid="{00000000-0005-0000-0000-000016030000}"/>
    <cellStyle name="Normal 33" xfId="1277" xr:uid="{00000000-0005-0000-0000-000017030000}"/>
    <cellStyle name="Normal 34" xfId="1278" xr:uid="{00000000-0005-0000-0000-000018030000}"/>
    <cellStyle name="Normal 35" xfId="1279" xr:uid="{00000000-0005-0000-0000-000019030000}"/>
    <cellStyle name="Normal 36" xfId="1280" xr:uid="{00000000-0005-0000-0000-00001A030000}"/>
    <cellStyle name="Normal 37" xfId="1281" xr:uid="{00000000-0005-0000-0000-00001B030000}"/>
    <cellStyle name="Normal 38" xfId="1282" xr:uid="{00000000-0005-0000-0000-00001C030000}"/>
    <cellStyle name="Normal 39" xfId="1283" xr:uid="{00000000-0005-0000-0000-00001D030000}"/>
    <cellStyle name="Normal 4" xfId="286" xr:uid="{00000000-0005-0000-0000-00001E030000}"/>
    <cellStyle name="Normal 4 2" xfId="287" xr:uid="{00000000-0005-0000-0000-00001F030000}"/>
    <cellStyle name="Normal 4 3" xfId="288" xr:uid="{00000000-0005-0000-0000-000020030000}"/>
    <cellStyle name="Normal 4 4" xfId="289" xr:uid="{00000000-0005-0000-0000-000021030000}"/>
    <cellStyle name="Normal 45" xfId="26" xr:uid="{00000000-0005-0000-0000-000022030000}"/>
    <cellStyle name="Normal 5" xfId="290" xr:uid="{00000000-0005-0000-0000-000023030000}"/>
    <cellStyle name="Normal 51 2" xfId="27" xr:uid="{00000000-0005-0000-0000-000024030000}"/>
    <cellStyle name="Normal 56" xfId="291" xr:uid="{00000000-0005-0000-0000-000025030000}"/>
    <cellStyle name="Normal 59" xfId="10" xr:uid="{00000000-0005-0000-0000-000026030000}"/>
    <cellStyle name="Normal 6" xfId="292" xr:uid="{00000000-0005-0000-0000-000027030000}"/>
    <cellStyle name="Normal 7" xfId="293" xr:uid="{00000000-0005-0000-0000-000028030000}"/>
    <cellStyle name="Normal 7 2" xfId="1284" xr:uid="{00000000-0005-0000-0000-000029030000}"/>
    <cellStyle name="Normal 8" xfId="294" xr:uid="{00000000-0005-0000-0000-00002A030000}"/>
    <cellStyle name="Normal 9" xfId="295" xr:uid="{00000000-0005-0000-0000-00002B030000}"/>
    <cellStyle name="Normal Bold" xfId="677" xr:uid="{00000000-0005-0000-0000-00002C030000}"/>
    <cellStyle name="Normal Cells" xfId="1285" xr:uid="{00000000-0005-0000-0000-00002D030000}"/>
    <cellStyle name="Normal Pct" xfId="678" xr:uid="{00000000-0005-0000-0000-00002E030000}"/>
    <cellStyle name="Normál_1." xfId="296" xr:uid="{00000000-0005-0000-0000-00002F030000}"/>
    <cellStyle name="NormalBlue" xfId="679" xr:uid="{00000000-0005-0000-0000-000030030000}"/>
    <cellStyle name="NormalBold" xfId="680" xr:uid="{00000000-0005-0000-0000-000031030000}"/>
    <cellStyle name="Normale_giocate incassi 2000(valentina)" xfId="1286" xr:uid="{00000000-0005-0000-0000-000032030000}"/>
    <cellStyle name="NormalGB" xfId="297" xr:uid="{00000000-0005-0000-0000-000033030000}"/>
    <cellStyle name="NormalHelv" xfId="681" xr:uid="{00000000-0005-0000-0000-000034030000}"/>
    <cellStyle name="normálne_SPT_Telecom" xfId="298" xr:uid="{00000000-0005-0000-0000-000035030000}"/>
    <cellStyle name="normální_200.51-EVRAZ-Tabulky pro 200.51" xfId="299" xr:uid="{00000000-0005-0000-0000-000036030000}"/>
    <cellStyle name="Normalny_0" xfId="300" xr:uid="{00000000-0005-0000-0000-000037030000}"/>
    <cellStyle name="NOT" xfId="682" xr:uid="{00000000-0005-0000-0000-000038030000}"/>
    <cellStyle name="Nota" xfId="301" xr:uid="{00000000-0005-0000-0000-000039030000}"/>
    <cellStyle name="NPPESalesPct" xfId="683" xr:uid="{00000000-0005-0000-0000-00003A030000}"/>
    <cellStyle name="Num0Un" xfId="684" xr:uid="{00000000-0005-0000-0000-00003B030000}"/>
    <cellStyle name="Num1" xfId="685" xr:uid="{00000000-0005-0000-0000-00003C030000}"/>
    <cellStyle name="Num1Blue" xfId="686" xr:uid="{00000000-0005-0000-0000-00003D030000}"/>
    <cellStyle name="Num2" xfId="687" xr:uid="{00000000-0005-0000-0000-00003E030000}"/>
    <cellStyle name="Num2Un" xfId="688" xr:uid="{00000000-0005-0000-0000-00003F030000}"/>
    <cellStyle name="Number" xfId="689" xr:uid="{00000000-0005-0000-0000-000040030000}"/>
    <cellStyle name="number 2" xfId="1287" xr:uid="{00000000-0005-0000-0000-000041030000}"/>
    <cellStyle name="Numbers" xfId="1288" xr:uid="{00000000-0005-0000-0000-000042030000}"/>
    <cellStyle name="Numbers - Bold" xfId="1289" xr:uid="{00000000-0005-0000-0000-000043030000}"/>
    <cellStyle name="Numbers - Bold - Italic" xfId="1290" xr:uid="{00000000-0005-0000-0000-000044030000}"/>
    <cellStyle name="Numbers - Bold_Blend" xfId="1291" xr:uid="{00000000-0005-0000-0000-000045030000}"/>
    <cellStyle name="Numbers - Large" xfId="1292" xr:uid="{00000000-0005-0000-0000-000046030000}"/>
    <cellStyle name="Numbers_Accretion " xfId="3" xr:uid="{00000000-0005-0000-0000-000047030000}"/>
    <cellStyle name="NWI%S" xfId="690" xr:uid="{00000000-0005-0000-0000-000048030000}"/>
    <cellStyle name="Œ…‹æØ‚è [0.00]_GE 3 MINIMUM" xfId="691" xr:uid="{00000000-0005-0000-0000-000049030000}"/>
    <cellStyle name="Œ…‹æØ‚è_GE 3 MINIMUM" xfId="692" xr:uid="{00000000-0005-0000-0000-00004A030000}"/>
    <cellStyle name="OSW_ColumnLabels" xfId="1293" xr:uid="{00000000-0005-0000-0000-00004B030000}"/>
    <cellStyle name="outh America" xfId="1294" xr:uid="{00000000-0005-0000-0000-00004C030000}"/>
    <cellStyle name="Output Amounts" xfId="302" xr:uid="{00000000-0005-0000-0000-00004D030000}"/>
    <cellStyle name="Output Column Headings" xfId="303" xr:uid="{00000000-0005-0000-0000-00004E030000}"/>
    <cellStyle name="Output Line Items" xfId="304" xr:uid="{00000000-0005-0000-0000-00004F030000}"/>
    <cellStyle name="Output Report Heading" xfId="305" xr:uid="{00000000-0005-0000-0000-000050030000}"/>
    <cellStyle name="Output Report Title" xfId="306" xr:uid="{00000000-0005-0000-0000-000051030000}"/>
    <cellStyle name="Outputtitle" xfId="307" xr:uid="{00000000-0005-0000-0000-000052030000}"/>
    <cellStyle name="Outputtitle 2" xfId="308" xr:uid="{00000000-0005-0000-0000-000053030000}"/>
    <cellStyle name="Outputtitle 3" xfId="309" xr:uid="{00000000-0005-0000-0000-000054030000}"/>
    <cellStyle name="p " xfId="1295" xr:uid="{00000000-0005-0000-0000-000055030000}"/>
    <cellStyle name="Paaotsikko" xfId="310" xr:uid="{00000000-0005-0000-0000-000056030000}"/>
    <cellStyle name="Page" xfId="1296" xr:uid="{00000000-0005-0000-0000-000057030000}"/>
    <cellStyle name="Page header" xfId="1297" xr:uid="{00000000-0005-0000-0000-000058030000}"/>
    <cellStyle name="Page Heading" xfId="693" xr:uid="{00000000-0005-0000-0000-000059030000}"/>
    <cellStyle name="Page Heading Large" xfId="694" xr:uid="{00000000-0005-0000-0000-00005A030000}"/>
    <cellStyle name="Page Heading Small" xfId="695" xr:uid="{00000000-0005-0000-0000-00005B030000}"/>
    <cellStyle name="Page Number" xfId="311" xr:uid="{00000000-0005-0000-0000-00005C030000}"/>
    <cellStyle name="pc1" xfId="696" xr:uid="{00000000-0005-0000-0000-00005D030000}"/>
    <cellStyle name="Pénznem [0]_Document" xfId="312" xr:uid="{00000000-0005-0000-0000-00005E030000}"/>
    <cellStyle name="Pénznem_Document" xfId="313" xr:uid="{00000000-0005-0000-0000-00005F030000}"/>
    <cellStyle name="per.style" xfId="697" xr:uid="{00000000-0005-0000-0000-000060030000}"/>
    <cellStyle name="Perc1" xfId="698" xr:uid="{00000000-0005-0000-0000-000061030000}"/>
    <cellStyle name="Percent" xfId="494" builtinId="5"/>
    <cellStyle name="Percent %" xfId="699" xr:uid="{00000000-0005-0000-0000-000063030000}"/>
    <cellStyle name="Percent % Long Underline" xfId="700" xr:uid="{00000000-0005-0000-0000-000064030000}"/>
    <cellStyle name="Percent %_Mini-LBO" xfId="701" xr:uid="{00000000-0005-0000-0000-000065030000}"/>
    <cellStyle name="Percent (0)" xfId="702" xr:uid="{00000000-0005-0000-0000-000066030000}"/>
    <cellStyle name="Percent (LTV, DSC)" xfId="1298" xr:uid="{00000000-0005-0000-0000-000067030000}"/>
    <cellStyle name="Percent [0]" xfId="314" xr:uid="{00000000-0005-0000-0000-000068030000}"/>
    <cellStyle name="Percent [00]" xfId="703" xr:uid="{00000000-0005-0000-0000-000069030000}"/>
    <cellStyle name="Percent [1]" xfId="315" xr:uid="{00000000-0005-0000-0000-00006A030000}"/>
    <cellStyle name="Percent [2]" xfId="316" xr:uid="{00000000-0005-0000-0000-00006B030000}"/>
    <cellStyle name="Percent [3]" xfId="704" xr:uid="{00000000-0005-0000-0000-00006C030000}"/>
    <cellStyle name="Percent 0.0" xfId="705" xr:uid="{00000000-0005-0000-0000-00006D030000}"/>
    <cellStyle name="Percent 0.0%" xfId="706" xr:uid="{00000000-0005-0000-0000-00006E030000}"/>
    <cellStyle name="Percent 0.0% Long Underline" xfId="707" xr:uid="{00000000-0005-0000-0000-00006F030000}"/>
    <cellStyle name="Percent 0.0%_Mini-LBO" xfId="708" xr:uid="{00000000-0005-0000-0000-000070030000}"/>
    <cellStyle name="Percent 0.0_Spreads" xfId="709" xr:uid="{00000000-0005-0000-0000-000071030000}"/>
    <cellStyle name="Percent 0.00%" xfId="710" xr:uid="{00000000-0005-0000-0000-000072030000}"/>
    <cellStyle name="Percent 0.00% Long Underline" xfId="711" xr:uid="{00000000-0005-0000-0000-000073030000}"/>
    <cellStyle name="Percent 0.00%_Mini-LBO" xfId="712" xr:uid="{00000000-0005-0000-0000-000074030000}"/>
    <cellStyle name="Percent 0.000%" xfId="713" xr:uid="{00000000-0005-0000-0000-000075030000}"/>
    <cellStyle name="Percent 0.000% Long Underline" xfId="714" xr:uid="{00000000-0005-0000-0000-000076030000}"/>
    <cellStyle name="Percent 0.000%_Mini-LBO" xfId="715" xr:uid="{00000000-0005-0000-0000-000077030000}"/>
    <cellStyle name="Percent 0.0000%" xfId="716" xr:uid="{00000000-0005-0000-0000-000078030000}"/>
    <cellStyle name="Percent 0.0000% Long Underline" xfId="717" xr:uid="{00000000-0005-0000-0000-000079030000}"/>
    <cellStyle name="Percent 0.0000%_Mini-LBO" xfId="718" xr:uid="{00000000-0005-0000-0000-00007A030000}"/>
    <cellStyle name="Percent 0.00000%" xfId="719" xr:uid="{00000000-0005-0000-0000-00007B030000}"/>
    <cellStyle name="Percent 1" xfId="720" xr:uid="{00000000-0005-0000-0000-00007C030000}"/>
    <cellStyle name="Percent 10 4" xfId="29" xr:uid="{00000000-0005-0000-0000-00007D030000}"/>
    <cellStyle name="Percent 2" xfId="31" xr:uid="{00000000-0005-0000-0000-00007E030000}"/>
    <cellStyle name="Percent 2 2" xfId="28" xr:uid="{00000000-0005-0000-0000-00007F030000}"/>
    <cellStyle name="Percent 3" xfId="317" xr:uid="{00000000-0005-0000-0000-000080030000}"/>
    <cellStyle name="Percent 3 2" xfId="318" xr:uid="{00000000-0005-0000-0000-000081030000}"/>
    <cellStyle name="Percent 3 3" xfId="319" xr:uid="{00000000-0005-0000-0000-000082030000}"/>
    <cellStyle name="Percent 4" xfId="30" xr:uid="{00000000-0005-0000-0000-000083030000}"/>
    <cellStyle name="Percent 5" xfId="320" xr:uid="{00000000-0005-0000-0000-000084030000}"/>
    <cellStyle name="Percent 5 2" xfId="321" xr:uid="{00000000-0005-0000-0000-000085030000}"/>
    <cellStyle name="Percent 6" xfId="497" xr:uid="{00000000-0005-0000-0000-000086030000}"/>
    <cellStyle name="Percent 7" xfId="937" xr:uid="{00000000-0005-0000-0000-000087030000}"/>
    <cellStyle name="Percent 8" xfId="1188" xr:uid="{00000000-0005-0000-0000-000088030000}"/>
    <cellStyle name="Percent Hard" xfId="721" xr:uid="{00000000-0005-0000-0000-000089030000}"/>
    <cellStyle name="Percent(1)" xfId="1299" xr:uid="{00000000-0005-0000-0000-00008A030000}"/>
    <cellStyle name="Percent_LULU Model" xfId="1358" xr:uid="{00000000-0005-0000-0000-00008B030000}"/>
    <cellStyle name="Percent0" xfId="722" xr:uid="{00000000-0005-0000-0000-00008C030000}"/>
    <cellStyle name="Percent1" xfId="723" xr:uid="{00000000-0005-0000-0000-00008D030000}"/>
    <cellStyle name="Percent1Blue" xfId="724" xr:uid="{00000000-0005-0000-0000-00008E030000}"/>
    <cellStyle name="Percent2" xfId="725" xr:uid="{00000000-0005-0000-0000-00008F030000}"/>
    <cellStyle name="Percent2Blue" xfId="726" xr:uid="{00000000-0005-0000-0000-000090030000}"/>
    <cellStyle name="Percentage" xfId="1300" xr:uid="{00000000-0005-0000-0000-000091030000}"/>
    <cellStyle name="PercentSales" xfId="727" xr:uid="{00000000-0005-0000-0000-000092030000}"/>
    <cellStyle name="Perlong" xfId="728" xr:uid="{00000000-0005-0000-0000-000093030000}"/>
    <cellStyle name="PlainDollar" xfId="1301" xr:uid="{00000000-0005-0000-0000-000094030000}"/>
    <cellStyle name="Pool/Single" xfId="1302" xr:uid="{00000000-0005-0000-0000-000095030000}"/>
    <cellStyle name="Preffered" xfId="1303" xr:uid="{00000000-0005-0000-0000-000096030000}"/>
    <cellStyle name="PrePop Currency (0)" xfId="729" xr:uid="{00000000-0005-0000-0000-000097030000}"/>
    <cellStyle name="PrePop Currency (2)" xfId="730" xr:uid="{00000000-0005-0000-0000-000098030000}"/>
    <cellStyle name="PrePop Units (0)" xfId="731" xr:uid="{00000000-0005-0000-0000-000099030000}"/>
    <cellStyle name="PrePop Units (1)" xfId="732" xr:uid="{00000000-0005-0000-0000-00009A030000}"/>
    <cellStyle name="PrePop Units (2)" xfId="733" xr:uid="{00000000-0005-0000-0000-00009B030000}"/>
    <cellStyle name="Price" xfId="734" xr:uid="{00000000-0005-0000-0000-00009C030000}"/>
    <cellStyle name="PriceUn" xfId="735" xr:uid="{00000000-0005-0000-0000-00009D030000}"/>
    <cellStyle name="pricing" xfId="736" xr:uid="{00000000-0005-0000-0000-00009E030000}"/>
    <cellStyle name="prin" xfId="737" xr:uid="{00000000-0005-0000-0000-00009F030000}"/>
    <cellStyle name="Private" xfId="738" xr:uid="{00000000-0005-0000-0000-0000A0030000}"/>
    <cellStyle name="Private1" xfId="739" xr:uid="{00000000-0005-0000-0000-0000A1030000}"/>
    <cellStyle name="Procent_BINV" xfId="740" xr:uid="{00000000-0005-0000-0000-0000A2030000}"/>
    <cellStyle name="prot" xfId="1304" xr:uid="{00000000-0005-0000-0000-0000A3030000}"/>
    <cellStyle name="ProtectedDates" xfId="1305" xr:uid="{00000000-0005-0000-0000-0000A4030000}"/>
    <cellStyle name="Provisional" xfId="741" xr:uid="{00000000-0005-0000-0000-0000A5030000}"/>
    <cellStyle name="PSChar" xfId="742" xr:uid="{00000000-0005-0000-0000-0000A6030000}"/>
    <cellStyle name="PSDate" xfId="743" xr:uid="{00000000-0005-0000-0000-0000A7030000}"/>
    <cellStyle name="PSDec" xfId="744" xr:uid="{00000000-0005-0000-0000-0000A8030000}"/>
    <cellStyle name="PSHeading" xfId="745" xr:uid="{00000000-0005-0000-0000-0000A9030000}"/>
    <cellStyle name="PSInt" xfId="746" xr:uid="{00000000-0005-0000-0000-0000AA030000}"/>
    <cellStyle name="PSSpacer" xfId="747" xr:uid="{00000000-0005-0000-0000-0000AB030000}"/>
    <cellStyle name="Punto" xfId="1306" xr:uid="{00000000-0005-0000-0000-0000AC030000}"/>
    <cellStyle name="Pддotsikko" xfId="322" xr:uid="{00000000-0005-0000-0000-0000AD030000}"/>
    <cellStyle name="r" xfId="1307" xr:uid="{00000000-0005-0000-0000-0000AE030000}"/>
    <cellStyle name="r_Accretion " xfId="4" xr:uid="{00000000-0005-0000-0000-0000AF030000}"/>
    <cellStyle name="Red" xfId="323" xr:uid="{00000000-0005-0000-0000-0000B0030000}"/>
    <cellStyle name="Red (#,###0)" xfId="748" xr:uid="{00000000-0005-0000-0000-0000B1030000}"/>
    <cellStyle name="Red font" xfId="749" xr:uid="{00000000-0005-0000-0000-0000B2030000}"/>
    <cellStyle name="regstoresfromspecstores" xfId="750" xr:uid="{00000000-0005-0000-0000-0000B3030000}"/>
    <cellStyle name="Restruct" xfId="1308" xr:uid="{00000000-0005-0000-0000-0000B4030000}"/>
    <cellStyle name="Reuters Cells" xfId="1309" xr:uid="{00000000-0005-0000-0000-0000B5030000}"/>
    <cellStyle name="RevList" xfId="751" xr:uid="{00000000-0005-0000-0000-0000B6030000}"/>
    <cellStyle name="Right" xfId="1310" xr:uid="{00000000-0005-0000-0000-0000B7030000}"/>
    <cellStyle name="RRSInstruction" xfId="1311" xr:uid="{00000000-0005-0000-0000-0000B8030000}"/>
    <cellStyle name="s" xfId="752" xr:uid="{00000000-0005-0000-0000-0000B9030000}"/>
    <cellStyle name="s_HardInc " xfId="1312" xr:uid="{00000000-0005-0000-0000-0000BA030000}"/>
    <cellStyle name="s_Valuation " xfId="5" xr:uid="{00000000-0005-0000-0000-0000BB030000}"/>
    <cellStyle name="Salomon Logo" xfId="324" xr:uid="{00000000-0005-0000-0000-0000BC030000}"/>
    <cellStyle name="SAPBEXaggData" xfId="325" xr:uid="{00000000-0005-0000-0000-0000BD030000}"/>
    <cellStyle name="SAPBEXaggDataEmph" xfId="326" xr:uid="{00000000-0005-0000-0000-0000BE030000}"/>
    <cellStyle name="SAPBEXaggItem" xfId="327" xr:uid="{00000000-0005-0000-0000-0000BF030000}"/>
    <cellStyle name="SAPBEXaggItemX" xfId="328" xr:uid="{00000000-0005-0000-0000-0000C0030000}"/>
    <cellStyle name="SAPBEXchaText" xfId="329" xr:uid="{00000000-0005-0000-0000-0000C1030000}"/>
    <cellStyle name="SAPBEXexcBad7" xfId="330" xr:uid="{00000000-0005-0000-0000-0000C2030000}"/>
    <cellStyle name="SAPBEXexcBad8" xfId="331" xr:uid="{00000000-0005-0000-0000-0000C3030000}"/>
    <cellStyle name="SAPBEXexcBad9" xfId="332" xr:uid="{00000000-0005-0000-0000-0000C4030000}"/>
    <cellStyle name="SAPBEXexcCritical4" xfId="333" xr:uid="{00000000-0005-0000-0000-0000C5030000}"/>
    <cellStyle name="SAPBEXexcCritical5" xfId="334" xr:uid="{00000000-0005-0000-0000-0000C6030000}"/>
    <cellStyle name="SAPBEXexcCritical6" xfId="335" xr:uid="{00000000-0005-0000-0000-0000C7030000}"/>
    <cellStyle name="SAPBEXexcGood1" xfId="336" xr:uid="{00000000-0005-0000-0000-0000C8030000}"/>
    <cellStyle name="SAPBEXexcGood2" xfId="337" xr:uid="{00000000-0005-0000-0000-0000C9030000}"/>
    <cellStyle name="SAPBEXexcGood3" xfId="338" xr:uid="{00000000-0005-0000-0000-0000CA030000}"/>
    <cellStyle name="SAPBEXfilterDrill" xfId="339" xr:uid="{00000000-0005-0000-0000-0000CB030000}"/>
    <cellStyle name="SAPBEXfilterItem" xfId="340" xr:uid="{00000000-0005-0000-0000-0000CC030000}"/>
    <cellStyle name="SAPBEXfilterText" xfId="341" xr:uid="{00000000-0005-0000-0000-0000CD030000}"/>
    <cellStyle name="SAPBEXformats" xfId="342" xr:uid="{00000000-0005-0000-0000-0000CE030000}"/>
    <cellStyle name="SAPBEXheaderItem" xfId="343" xr:uid="{00000000-0005-0000-0000-0000CF030000}"/>
    <cellStyle name="SAPBEXheaderItem 2" xfId="344" xr:uid="{00000000-0005-0000-0000-0000D0030000}"/>
    <cellStyle name="SAPBEXheaderItem 3" xfId="345" xr:uid="{00000000-0005-0000-0000-0000D1030000}"/>
    <cellStyle name="SAPBEXheaderText" xfId="346" xr:uid="{00000000-0005-0000-0000-0000D2030000}"/>
    <cellStyle name="SAPBEXheaderText 2" xfId="347" xr:uid="{00000000-0005-0000-0000-0000D3030000}"/>
    <cellStyle name="SAPBEXheaderText 3" xfId="348" xr:uid="{00000000-0005-0000-0000-0000D4030000}"/>
    <cellStyle name="SAPBEXHLevel0" xfId="349" xr:uid="{00000000-0005-0000-0000-0000D5030000}"/>
    <cellStyle name="SAPBEXHLevel0X" xfId="350" xr:uid="{00000000-0005-0000-0000-0000D6030000}"/>
    <cellStyle name="SAPBEXHLevel1" xfId="351" xr:uid="{00000000-0005-0000-0000-0000D7030000}"/>
    <cellStyle name="SAPBEXHLevel1X" xfId="352" xr:uid="{00000000-0005-0000-0000-0000D8030000}"/>
    <cellStyle name="SAPBEXHLevel2" xfId="353" xr:uid="{00000000-0005-0000-0000-0000D9030000}"/>
    <cellStyle name="SAPBEXHLevel2X" xfId="354" xr:uid="{00000000-0005-0000-0000-0000DA030000}"/>
    <cellStyle name="SAPBEXHLevel3" xfId="355" xr:uid="{00000000-0005-0000-0000-0000DB030000}"/>
    <cellStyle name="SAPBEXHLevel3X" xfId="356" xr:uid="{00000000-0005-0000-0000-0000DC030000}"/>
    <cellStyle name="SAPBEXresData" xfId="357" xr:uid="{00000000-0005-0000-0000-0000DD030000}"/>
    <cellStyle name="SAPBEXresDataEmph" xfId="358" xr:uid="{00000000-0005-0000-0000-0000DE030000}"/>
    <cellStyle name="SAPBEXresItem" xfId="359" xr:uid="{00000000-0005-0000-0000-0000DF030000}"/>
    <cellStyle name="SAPBEXresItemX" xfId="360" xr:uid="{00000000-0005-0000-0000-0000E0030000}"/>
    <cellStyle name="SAPBEXstdData" xfId="361" xr:uid="{00000000-0005-0000-0000-0000E1030000}"/>
    <cellStyle name="SAPBEXstdDataEmph" xfId="362" xr:uid="{00000000-0005-0000-0000-0000E2030000}"/>
    <cellStyle name="SAPBEXstdItem" xfId="363" xr:uid="{00000000-0005-0000-0000-0000E3030000}"/>
    <cellStyle name="SAPBEXstdItemX" xfId="364" xr:uid="{00000000-0005-0000-0000-0000E4030000}"/>
    <cellStyle name="SAPBEXtitle" xfId="365" xr:uid="{00000000-0005-0000-0000-0000E5030000}"/>
    <cellStyle name="SAPBEXundefined" xfId="366" xr:uid="{00000000-0005-0000-0000-0000E6030000}"/>
    <cellStyle name="SAPBEXundefined 2" xfId="367" xr:uid="{00000000-0005-0000-0000-0000E7030000}"/>
    <cellStyle name="SAPBEXundefined 3" xfId="368" xr:uid="{00000000-0005-0000-0000-0000E8030000}"/>
    <cellStyle name="SAPBorder" xfId="467" xr:uid="{00000000-0005-0000-0000-0000E9030000}"/>
    <cellStyle name="SAPDataCell" xfId="468" xr:uid="{00000000-0005-0000-0000-0000EA030000}"/>
    <cellStyle name="SAPDataTotalCell" xfId="469" xr:uid="{00000000-0005-0000-0000-0000EB030000}"/>
    <cellStyle name="SAPDimensionCell" xfId="470" xr:uid="{00000000-0005-0000-0000-0000EC030000}"/>
    <cellStyle name="SAPEditableDataCell" xfId="471" xr:uid="{00000000-0005-0000-0000-0000ED030000}"/>
    <cellStyle name="SAPEditableDataTotalCell" xfId="472" xr:uid="{00000000-0005-0000-0000-0000EE030000}"/>
    <cellStyle name="SAPEmphasized" xfId="473" xr:uid="{00000000-0005-0000-0000-0000EF030000}"/>
    <cellStyle name="SAPExceptionLevel1" xfId="474" xr:uid="{00000000-0005-0000-0000-0000F0030000}"/>
    <cellStyle name="SAPExceptionLevel2" xfId="475" xr:uid="{00000000-0005-0000-0000-0000F1030000}"/>
    <cellStyle name="SAPExceptionLevel3" xfId="476" xr:uid="{00000000-0005-0000-0000-0000F2030000}"/>
    <cellStyle name="SAPExceptionLevel4" xfId="477" xr:uid="{00000000-0005-0000-0000-0000F3030000}"/>
    <cellStyle name="SAPExceptionLevel5" xfId="478" xr:uid="{00000000-0005-0000-0000-0000F4030000}"/>
    <cellStyle name="SAPExceptionLevel6" xfId="479" xr:uid="{00000000-0005-0000-0000-0000F5030000}"/>
    <cellStyle name="SAPExceptionLevel7" xfId="480" xr:uid="{00000000-0005-0000-0000-0000F6030000}"/>
    <cellStyle name="SAPExceptionLevel8" xfId="481" xr:uid="{00000000-0005-0000-0000-0000F7030000}"/>
    <cellStyle name="SAPExceptionLevel9" xfId="482" xr:uid="{00000000-0005-0000-0000-0000F8030000}"/>
    <cellStyle name="SAPHierarchyCell0" xfId="483" xr:uid="{00000000-0005-0000-0000-0000F9030000}"/>
    <cellStyle name="SAPHierarchyCell1" xfId="484" xr:uid="{00000000-0005-0000-0000-0000FA030000}"/>
    <cellStyle name="SAPHierarchyCell2" xfId="485" xr:uid="{00000000-0005-0000-0000-0000FB030000}"/>
    <cellStyle name="SAPHierarchyCell3" xfId="486" xr:uid="{00000000-0005-0000-0000-0000FC030000}"/>
    <cellStyle name="SAPHierarchyCell4" xfId="487" xr:uid="{00000000-0005-0000-0000-0000FD030000}"/>
    <cellStyle name="SAPLockedDataCell" xfId="488" xr:uid="{00000000-0005-0000-0000-0000FE030000}"/>
    <cellStyle name="SAPLockedDataTotalCell" xfId="489" xr:uid="{00000000-0005-0000-0000-0000FF030000}"/>
    <cellStyle name="SAPMemberCell" xfId="490" xr:uid="{00000000-0005-0000-0000-000000040000}"/>
    <cellStyle name="SAPMemberTotalCell" xfId="491" xr:uid="{00000000-0005-0000-0000-000001040000}"/>
    <cellStyle name="SAPReadonlyDataCell" xfId="492" xr:uid="{00000000-0005-0000-0000-000002040000}"/>
    <cellStyle name="SAPReadonlyDataTotalCell" xfId="493" xr:uid="{00000000-0005-0000-0000-000003040000}"/>
    <cellStyle name="ScotchRule" xfId="369" xr:uid="{00000000-0005-0000-0000-000004040000}"/>
    <cellStyle name="SectionHeaderNormal" xfId="511" xr:uid="{00000000-0005-0000-0000-000005040000}"/>
    <cellStyle name="Separador de milhares [0]_Proyección de ingresos" xfId="753" xr:uid="{00000000-0005-0000-0000-000006040000}"/>
    <cellStyle name="Separador de milhares_Proyección de ingresos" xfId="754" xr:uid="{00000000-0005-0000-0000-000007040000}"/>
    <cellStyle name="Shaded" xfId="755" xr:uid="{00000000-0005-0000-0000-000008040000}"/>
    <cellStyle name="ShadedCells_Database" xfId="1313" xr:uid="{00000000-0005-0000-0000-000009040000}"/>
    <cellStyle name="SHADEDSTORES" xfId="756" xr:uid="{00000000-0005-0000-0000-00000A040000}"/>
    <cellStyle name="Sheet Title" xfId="1314" xr:uid="{00000000-0005-0000-0000-00000B040000}"/>
    <cellStyle name="ShOut" xfId="1315" xr:uid="{00000000-0005-0000-0000-00000C040000}"/>
    <cellStyle name="Single Accounting" xfId="370" xr:uid="{00000000-0005-0000-0000-00000D040000}"/>
    <cellStyle name="Single Accounting 2" xfId="371" xr:uid="{00000000-0005-0000-0000-00000E040000}"/>
    <cellStyle name="Single Accounting 3" xfId="372" xr:uid="{00000000-0005-0000-0000-00000F040000}"/>
    <cellStyle name="Size" xfId="1316" xr:uid="{00000000-0005-0000-0000-000010040000}"/>
    <cellStyle name="small" xfId="373" xr:uid="{00000000-0005-0000-0000-000011040000}"/>
    <cellStyle name="Source" xfId="1317" xr:uid="{00000000-0005-0000-0000-000012040000}"/>
    <cellStyle name="specstores" xfId="757" xr:uid="{00000000-0005-0000-0000-000013040000}"/>
    <cellStyle name="SSComma0" xfId="1318" xr:uid="{00000000-0005-0000-0000-000014040000}"/>
    <cellStyle name="SSComma2" xfId="1319" xr:uid="{00000000-0005-0000-0000-000015040000}"/>
    <cellStyle name="SSDecs3" xfId="1320" xr:uid="{00000000-0005-0000-0000-000016040000}"/>
    <cellStyle name="SSDflt" xfId="1321" xr:uid="{00000000-0005-0000-0000-000017040000}"/>
    <cellStyle name="SSDfltPct" xfId="1322" xr:uid="{00000000-0005-0000-0000-000018040000}"/>
    <cellStyle name="SSDfltPct0" xfId="1323" xr:uid="{00000000-0005-0000-0000-000019040000}"/>
    <cellStyle name="SSFixed2" xfId="1324" xr:uid="{00000000-0005-0000-0000-00001A040000}"/>
    <cellStyle name="ssp " xfId="1325" xr:uid="{00000000-0005-0000-0000-00001B040000}"/>
    <cellStyle name="Standaard_BINV" xfId="758" xr:uid="{00000000-0005-0000-0000-00001C040000}"/>
    <cellStyle name="Standard_tabelle" xfId="374" xr:uid="{00000000-0005-0000-0000-00001D040000}"/>
    <cellStyle name="Status" xfId="1326" xr:uid="{00000000-0005-0000-0000-00001E040000}"/>
    <cellStyle name="STCelkem" xfId="375" xr:uid="{00000000-0005-0000-0000-00001F040000}"/>
    <cellStyle name="STHide" xfId="376" xr:uid="{00000000-0005-0000-0000-000020040000}"/>
    <cellStyle name="STNadpis1" xfId="377" xr:uid="{00000000-0005-0000-0000-000021040000}"/>
    <cellStyle name="STNazRadku1" xfId="378" xr:uid="{00000000-0005-0000-0000-000022040000}"/>
    <cellStyle name="STNazRadku2" xfId="379" xr:uid="{00000000-0005-0000-0000-000023040000}"/>
    <cellStyle name="STNazTab" xfId="380" xr:uid="{00000000-0005-0000-0000-000024040000}"/>
    <cellStyle name="STNonEdit" xfId="381" xr:uid="{00000000-0005-0000-0000-000025040000}"/>
    <cellStyle name="STPodnik" xfId="382" xr:uid="{00000000-0005-0000-0000-000026040000}"/>
    <cellStyle name="STPopis1" xfId="383" xr:uid="{00000000-0005-0000-0000-000027040000}"/>
    <cellStyle name="Strange" xfId="759" xr:uid="{00000000-0005-0000-0000-000028040000}"/>
    <cellStyle name="STRoky" xfId="384" xr:uid="{00000000-0005-0000-0000-000029040000}"/>
    <cellStyle name="STTempa" xfId="385" xr:uid="{00000000-0005-0000-0000-00002A040000}"/>
    <cellStyle name="STYL1 - Style1" xfId="760" xr:uid="{00000000-0005-0000-0000-00002B040000}"/>
    <cellStyle name="STYL2 - Style2" xfId="761" xr:uid="{00000000-0005-0000-0000-00002C040000}"/>
    <cellStyle name="Style 1" xfId="386" xr:uid="{00000000-0005-0000-0000-00002D040000}"/>
    <cellStyle name="Style 1 2" xfId="1327" xr:uid="{00000000-0005-0000-0000-00002E040000}"/>
    <cellStyle name="Style 100" xfId="762" xr:uid="{00000000-0005-0000-0000-00002F040000}"/>
    <cellStyle name="Style 101" xfId="763" xr:uid="{00000000-0005-0000-0000-000030040000}"/>
    <cellStyle name="Style 102" xfId="764" xr:uid="{00000000-0005-0000-0000-000031040000}"/>
    <cellStyle name="Style 103" xfId="765" xr:uid="{00000000-0005-0000-0000-000032040000}"/>
    <cellStyle name="Style 104" xfId="766" xr:uid="{00000000-0005-0000-0000-000033040000}"/>
    <cellStyle name="Style 2" xfId="387" xr:uid="{00000000-0005-0000-0000-000034040000}"/>
    <cellStyle name="Style 2 2" xfId="388" xr:uid="{00000000-0005-0000-0000-000035040000}"/>
    <cellStyle name="Style 2 3" xfId="389" xr:uid="{00000000-0005-0000-0000-000036040000}"/>
    <cellStyle name="Style 21" xfId="767" xr:uid="{00000000-0005-0000-0000-000037040000}"/>
    <cellStyle name="Style 22" xfId="768" xr:uid="{00000000-0005-0000-0000-000038040000}"/>
    <cellStyle name="Style 23" xfId="769" xr:uid="{00000000-0005-0000-0000-000039040000}"/>
    <cellStyle name="Style 24" xfId="770" xr:uid="{00000000-0005-0000-0000-00003A040000}"/>
    <cellStyle name="Style 25" xfId="771" xr:uid="{00000000-0005-0000-0000-00003B040000}"/>
    <cellStyle name="Style 26" xfId="772" xr:uid="{00000000-0005-0000-0000-00003C040000}"/>
    <cellStyle name="Style 27" xfId="773" xr:uid="{00000000-0005-0000-0000-00003D040000}"/>
    <cellStyle name="Style 28" xfId="774" xr:uid="{00000000-0005-0000-0000-00003E040000}"/>
    <cellStyle name="Style 29" xfId="775" xr:uid="{00000000-0005-0000-0000-00003F040000}"/>
    <cellStyle name="Style 3" xfId="390" xr:uid="{00000000-0005-0000-0000-000040040000}"/>
    <cellStyle name="Style 3 2" xfId="391" xr:uid="{00000000-0005-0000-0000-000041040000}"/>
    <cellStyle name="Style 3 3" xfId="392" xr:uid="{00000000-0005-0000-0000-000042040000}"/>
    <cellStyle name="Style 30" xfId="776" xr:uid="{00000000-0005-0000-0000-000043040000}"/>
    <cellStyle name="Style 31" xfId="777" xr:uid="{00000000-0005-0000-0000-000044040000}"/>
    <cellStyle name="Style 32" xfId="778" xr:uid="{00000000-0005-0000-0000-000045040000}"/>
    <cellStyle name="Style 33" xfId="779" xr:uid="{00000000-0005-0000-0000-000046040000}"/>
    <cellStyle name="Style 34" xfId="780" xr:uid="{00000000-0005-0000-0000-000047040000}"/>
    <cellStyle name="Style 35" xfId="781" xr:uid="{00000000-0005-0000-0000-000048040000}"/>
    <cellStyle name="Style 36" xfId="782" xr:uid="{00000000-0005-0000-0000-000049040000}"/>
    <cellStyle name="Style 37" xfId="783" xr:uid="{00000000-0005-0000-0000-00004A040000}"/>
    <cellStyle name="Style 38" xfId="784" xr:uid="{00000000-0005-0000-0000-00004B040000}"/>
    <cellStyle name="Style 39" xfId="785" xr:uid="{00000000-0005-0000-0000-00004C040000}"/>
    <cellStyle name="Style 4" xfId="393" xr:uid="{00000000-0005-0000-0000-00004D040000}"/>
    <cellStyle name="Style 4 2" xfId="394" xr:uid="{00000000-0005-0000-0000-00004E040000}"/>
    <cellStyle name="Style 4 3" xfId="395" xr:uid="{00000000-0005-0000-0000-00004F040000}"/>
    <cellStyle name="Style 40" xfId="786" xr:uid="{00000000-0005-0000-0000-000050040000}"/>
    <cellStyle name="Style 41" xfId="787" xr:uid="{00000000-0005-0000-0000-000051040000}"/>
    <cellStyle name="Style 42" xfId="788" xr:uid="{00000000-0005-0000-0000-000052040000}"/>
    <cellStyle name="Style 43" xfId="789" xr:uid="{00000000-0005-0000-0000-000053040000}"/>
    <cellStyle name="Style 44" xfId="790" xr:uid="{00000000-0005-0000-0000-000054040000}"/>
    <cellStyle name="Style 45" xfId="791" xr:uid="{00000000-0005-0000-0000-000055040000}"/>
    <cellStyle name="Style 46" xfId="792" xr:uid="{00000000-0005-0000-0000-000056040000}"/>
    <cellStyle name="Style 47" xfId="793" xr:uid="{00000000-0005-0000-0000-000057040000}"/>
    <cellStyle name="Style 48" xfId="794" xr:uid="{00000000-0005-0000-0000-000058040000}"/>
    <cellStyle name="Style 49" xfId="795" xr:uid="{00000000-0005-0000-0000-000059040000}"/>
    <cellStyle name="Style 5" xfId="396" xr:uid="{00000000-0005-0000-0000-00005A040000}"/>
    <cellStyle name="Style 50" xfId="796" xr:uid="{00000000-0005-0000-0000-00005B040000}"/>
    <cellStyle name="Style 51" xfId="797" xr:uid="{00000000-0005-0000-0000-00005C040000}"/>
    <cellStyle name="Style 52" xfId="798" xr:uid="{00000000-0005-0000-0000-00005D040000}"/>
    <cellStyle name="Style 53" xfId="799" xr:uid="{00000000-0005-0000-0000-00005E040000}"/>
    <cellStyle name="Style 54" xfId="800" xr:uid="{00000000-0005-0000-0000-00005F040000}"/>
    <cellStyle name="Style 55" xfId="801" xr:uid="{00000000-0005-0000-0000-000060040000}"/>
    <cellStyle name="Style 56" xfId="802" xr:uid="{00000000-0005-0000-0000-000061040000}"/>
    <cellStyle name="Style 57" xfId="803" xr:uid="{00000000-0005-0000-0000-000062040000}"/>
    <cellStyle name="Style 58" xfId="804" xr:uid="{00000000-0005-0000-0000-000063040000}"/>
    <cellStyle name="Style 59" xfId="805" xr:uid="{00000000-0005-0000-0000-000064040000}"/>
    <cellStyle name="Style 60" xfId="806" xr:uid="{00000000-0005-0000-0000-000065040000}"/>
    <cellStyle name="Style 61" xfId="807" xr:uid="{00000000-0005-0000-0000-000066040000}"/>
    <cellStyle name="Style 62" xfId="808" xr:uid="{00000000-0005-0000-0000-000067040000}"/>
    <cellStyle name="Style 63" xfId="809" xr:uid="{00000000-0005-0000-0000-000068040000}"/>
    <cellStyle name="Style 64" xfId="810" xr:uid="{00000000-0005-0000-0000-000069040000}"/>
    <cellStyle name="Style 65" xfId="811" xr:uid="{00000000-0005-0000-0000-00006A040000}"/>
    <cellStyle name="Style 66" xfId="812" xr:uid="{00000000-0005-0000-0000-00006B040000}"/>
    <cellStyle name="Style 67" xfId="813" xr:uid="{00000000-0005-0000-0000-00006C040000}"/>
    <cellStyle name="Style 68" xfId="814" xr:uid="{00000000-0005-0000-0000-00006D040000}"/>
    <cellStyle name="Style 69" xfId="815" xr:uid="{00000000-0005-0000-0000-00006E040000}"/>
    <cellStyle name="Style 70" xfId="816" xr:uid="{00000000-0005-0000-0000-00006F040000}"/>
    <cellStyle name="Style 71" xfId="817" xr:uid="{00000000-0005-0000-0000-000070040000}"/>
    <cellStyle name="Style 72" xfId="818" xr:uid="{00000000-0005-0000-0000-000071040000}"/>
    <cellStyle name="Style 73" xfId="819" xr:uid="{00000000-0005-0000-0000-000072040000}"/>
    <cellStyle name="Style 74" xfId="820" xr:uid="{00000000-0005-0000-0000-000073040000}"/>
    <cellStyle name="Style 75" xfId="821" xr:uid="{00000000-0005-0000-0000-000074040000}"/>
    <cellStyle name="Style 76" xfId="822" xr:uid="{00000000-0005-0000-0000-000075040000}"/>
    <cellStyle name="Style 77" xfId="823" xr:uid="{00000000-0005-0000-0000-000076040000}"/>
    <cellStyle name="Style 78" xfId="824" xr:uid="{00000000-0005-0000-0000-000077040000}"/>
    <cellStyle name="Style 79" xfId="825" xr:uid="{00000000-0005-0000-0000-000078040000}"/>
    <cellStyle name="Style 80" xfId="826" xr:uid="{00000000-0005-0000-0000-000079040000}"/>
    <cellStyle name="Style 81" xfId="827" xr:uid="{00000000-0005-0000-0000-00007A040000}"/>
    <cellStyle name="Style 82" xfId="828" xr:uid="{00000000-0005-0000-0000-00007B040000}"/>
    <cellStyle name="Style 83" xfId="829" xr:uid="{00000000-0005-0000-0000-00007C040000}"/>
    <cellStyle name="Style 84" xfId="830" xr:uid="{00000000-0005-0000-0000-00007D040000}"/>
    <cellStyle name="Style 85" xfId="831" xr:uid="{00000000-0005-0000-0000-00007E040000}"/>
    <cellStyle name="Style 86" xfId="832" xr:uid="{00000000-0005-0000-0000-00007F040000}"/>
    <cellStyle name="Style 87" xfId="833" xr:uid="{00000000-0005-0000-0000-000080040000}"/>
    <cellStyle name="Style 88" xfId="834" xr:uid="{00000000-0005-0000-0000-000081040000}"/>
    <cellStyle name="Style 89" xfId="835" xr:uid="{00000000-0005-0000-0000-000082040000}"/>
    <cellStyle name="Style 90" xfId="836" xr:uid="{00000000-0005-0000-0000-000083040000}"/>
    <cellStyle name="Style 91" xfId="837" xr:uid="{00000000-0005-0000-0000-000084040000}"/>
    <cellStyle name="Style 92" xfId="838" xr:uid="{00000000-0005-0000-0000-000085040000}"/>
    <cellStyle name="Style 93" xfId="839" xr:uid="{00000000-0005-0000-0000-000086040000}"/>
    <cellStyle name="Style 94" xfId="840" xr:uid="{00000000-0005-0000-0000-000087040000}"/>
    <cellStyle name="Style 95" xfId="841" xr:uid="{00000000-0005-0000-0000-000088040000}"/>
    <cellStyle name="Style 96" xfId="842" xr:uid="{00000000-0005-0000-0000-000089040000}"/>
    <cellStyle name="Style 97" xfId="843" xr:uid="{00000000-0005-0000-0000-00008A040000}"/>
    <cellStyle name="Style 98" xfId="844" xr:uid="{00000000-0005-0000-0000-00008B040000}"/>
    <cellStyle name="Style 99" xfId="845" xr:uid="{00000000-0005-0000-0000-00008C040000}"/>
    <cellStyle name="Style D green" xfId="1328" xr:uid="{00000000-0005-0000-0000-00008D040000}"/>
    <cellStyle name="Style E" xfId="1329" xr:uid="{00000000-0005-0000-0000-00008E040000}"/>
    <cellStyle name="Style H" xfId="1330" xr:uid="{00000000-0005-0000-0000-00008F040000}"/>
    <cellStyle name="STYLE1" xfId="846" xr:uid="{00000000-0005-0000-0000-000090040000}"/>
    <cellStyle name="STYLE1 - Style1" xfId="397" xr:uid="{00000000-0005-0000-0000-000091040000}"/>
    <cellStyle name="STYLE1 - Style1 2" xfId="398" xr:uid="{00000000-0005-0000-0000-000092040000}"/>
    <cellStyle name="STYLE1 - Style1 3" xfId="399" xr:uid="{00000000-0005-0000-0000-000093040000}"/>
    <cellStyle name="STYLE10" xfId="847" xr:uid="{00000000-0005-0000-0000-000094040000}"/>
    <cellStyle name="STYLE11" xfId="848" xr:uid="{00000000-0005-0000-0000-000095040000}"/>
    <cellStyle name="STYLE2" xfId="849" xr:uid="{00000000-0005-0000-0000-000096040000}"/>
    <cellStyle name="STYLE3" xfId="850" xr:uid="{00000000-0005-0000-0000-000097040000}"/>
    <cellStyle name="STYLE4" xfId="851" xr:uid="{00000000-0005-0000-0000-000098040000}"/>
    <cellStyle name="STYLE5" xfId="852" xr:uid="{00000000-0005-0000-0000-000099040000}"/>
    <cellStyle name="STYLE6" xfId="853" xr:uid="{00000000-0005-0000-0000-00009A040000}"/>
    <cellStyle name="STYLE7" xfId="854" xr:uid="{00000000-0005-0000-0000-00009B040000}"/>
    <cellStyle name="STYLE8" xfId="855" xr:uid="{00000000-0005-0000-0000-00009C040000}"/>
    <cellStyle name="STYLE9" xfId="856" xr:uid="{00000000-0005-0000-0000-00009D040000}"/>
    <cellStyle name="StyleName1" xfId="857" xr:uid="{00000000-0005-0000-0000-00009E040000}"/>
    <cellStyle name="StyleName2" xfId="858" xr:uid="{00000000-0005-0000-0000-00009F040000}"/>
    <cellStyle name="StyleName3" xfId="859" xr:uid="{00000000-0005-0000-0000-0000A0040000}"/>
    <cellStyle name="StyleName4" xfId="860" xr:uid="{00000000-0005-0000-0000-0000A1040000}"/>
    <cellStyle name="StyleName5" xfId="861" xr:uid="{00000000-0005-0000-0000-0000A2040000}"/>
    <cellStyle name="StyleName6" xfId="862" xr:uid="{00000000-0005-0000-0000-0000A3040000}"/>
    <cellStyle name="StyleName7" xfId="863" xr:uid="{00000000-0005-0000-0000-0000A4040000}"/>
    <cellStyle name="StyleName8" xfId="864" xr:uid="{00000000-0005-0000-0000-0000A5040000}"/>
    <cellStyle name="STZdroj" xfId="400" xr:uid="{00000000-0005-0000-0000-0000A6040000}"/>
    <cellStyle name="Sub total" xfId="1331" xr:uid="{00000000-0005-0000-0000-0000A7040000}"/>
    <cellStyle name="SubCategory" xfId="865" xr:uid="{00000000-0005-0000-0000-0000A8040000}"/>
    <cellStyle name="SubScript" xfId="512" xr:uid="{00000000-0005-0000-0000-0000A9040000}"/>
    <cellStyle name="Subtitle" xfId="401" xr:uid="{00000000-0005-0000-0000-0000AA040000}"/>
    <cellStyle name="Subtotal" xfId="866" xr:uid="{00000000-0005-0000-0000-0000AB040000}"/>
    <cellStyle name="Sum" xfId="867" xr:uid="{00000000-0005-0000-0000-0000AC040000}"/>
    <cellStyle name="Sum EPS" xfId="868" xr:uid="{00000000-0005-0000-0000-0000AD040000}"/>
    <cellStyle name="Sum IRR" xfId="869" xr:uid="{00000000-0005-0000-0000-0000AE040000}"/>
    <cellStyle name="Sum Margin" xfId="870" xr:uid="{00000000-0005-0000-0000-0000AF040000}"/>
    <cellStyle name="Sum Payback" xfId="871" xr:uid="{00000000-0005-0000-0000-0000B0040000}"/>
    <cellStyle name="Sum Title 1" xfId="872" xr:uid="{00000000-0005-0000-0000-0000B1040000}"/>
    <cellStyle name="Sum Title 2" xfId="873" xr:uid="{00000000-0005-0000-0000-0000B2040000}"/>
    <cellStyle name="Sum Title 3" xfId="874" xr:uid="{00000000-0005-0000-0000-0000B3040000}"/>
    <cellStyle name="Sum Title 4" xfId="875" xr:uid="{00000000-0005-0000-0000-0000B4040000}"/>
    <cellStyle name="Summary" xfId="876" xr:uid="{00000000-0005-0000-0000-0000B5040000}"/>
    <cellStyle name="Summary numbers" xfId="877" xr:uid="{00000000-0005-0000-0000-0000B6040000}"/>
    <cellStyle name="SuperScript" xfId="513" xr:uid="{00000000-0005-0000-0000-0000B7040000}"/>
    <cellStyle name="Swiss" xfId="1332" xr:uid="{00000000-0005-0000-0000-0000B8040000}"/>
    <cellStyle name="t" xfId="1333" xr:uid="{00000000-0005-0000-0000-0000B9040000}"/>
    <cellStyle name="Table" xfId="878" xr:uid="{00000000-0005-0000-0000-0000BA040000}"/>
    <cellStyle name="Table Col Head" xfId="879" xr:uid="{00000000-0005-0000-0000-0000BB040000}"/>
    <cellStyle name="Table end" xfId="1334" xr:uid="{00000000-0005-0000-0000-0000BC040000}"/>
    <cellStyle name="Table Head" xfId="402" xr:uid="{00000000-0005-0000-0000-0000BD040000}"/>
    <cellStyle name="Table Head Aligned" xfId="403" xr:uid="{00000000-0005-0000-0000-0000BE040000}"/>
    <cellStyle name="Table Head Blue" xfId="404" xr:uid="{00000000-0005-0000-0000-0000BF040000}"/>
    <cellStyle name="Table Head Green" xfId="405" xr:uid="{00000000-0005-0000-0000-0000C0040000}"/>
    <cellStyle name="Table Head_Val_Sum_Graph" xfId="406" xr:uid="{00000000-0005-0000-0000-0000C1040000}"/>
    <cellStyle name="Table Sub Head" xfId="880" xr:uid="{00000000-0005-0000-0000-0000C2040000}"/>
    <cellStyle name="Table Text" xfId="407" xr:uid="{00000000-0005-0000-0000-0000C3040000}"/>
    <cellStyle name="table text bold" xfId="1335" xr:uid="{00000000-0005-0000-0000-0000C4040000}"/>
    <cellStyle name="table text bold green" xfId="1336" xr:uid="{00000000-0005-0000-0000-0000C5040000}"/>
    <cellStyle name="table text light" xfId="1337" xr:uid="{00000000-0005-0000-0000-0000C6040000}"/>
    <cellStyle name="Table Title" xfId="408" xr:uid="{00000000-0005-0000-0000-0000C7040000}"/>
    <cellStyle name="Table Units" xfId="409" xr:uid="{00000000-0005-0000-0000-0000C8040000}"/>
    <cellStyle name="Table_Header" xfId="410" xr:uid="{00000000-0005-0000-0000-0000C9040000}"/>
    <cellStyle name="TableBase" xfId="881" xr:uid="{00000000-0005-0000-0000-0000CA040000}"/>
    <cellStyle name="TableBody" xfId="882" xr:uid="{00000000-0005-0000-0000-0000CB040000}"/>
    <cellStyle name="TableBodyR" xfId="883" xr:uid="{00000000-0005-0000-0000-0000CC040000}"/>
    <cellStyle name="TableColHeads" xfId="884" xr:uid="{00000000-0005-0000-0000-0000CD040000}"/>
    <cellStyle name="TableHead" xfId="885" xr:uid="{00000000-0005-0000-0000-0000CE040000}"/>
    <cellStyle name="Term" xfId="1338" xr:uid="{00000000-0005-0000-0000-0000CF040000}"/>
    <cellStyle name="Test [green]" xfId="886" xr:uid="{00000000-0005-0000-0000-0000D0040000}"/>
    <cellStyle name="Testo avviso" xfId="411" xr:uid="{00000000-0005-0000-0000-0000D1040000}"/>
    <cellStyle name="Testo descrittivo" xfId="412" xr:uid="{00000000-0005-0000-0000-0000D2040000}"/>
    <cellStyle name="Text" xfId="887" xr:uid="{00000000-0005-0000-0000-0000D3040000}"/>
    <cellStyle name="Text 1" xfId="413" xr:uid="{00000000-0005-0000-0000-0000D4040000}"/>
    <cellStyle name="Text 8" xfId="888" xr:uid="{00000000-0005-0000-0000-0000D5040000}"/>
    <cellStyle name="Text Head 1" xfId="414" xr:uid="{00000000-0005-0000-0000-0000D6040000}"/>
    <cellStyle name="Text Indent A" xfId="889" xr:uid="{00000000-0005-0000-0000-0000D7040000}"/>
    <cellStyle name="Text Indent B" xfId="890" xr:uid="{00000000-0005-0000-0000-0000D8040000}"/>
    <cellStyle name="Text Indent C" xfId="891" xr:uid="{00000000-0005-0000-0000-0000D9040000}"/>
    <cellStyle name="Text_ATNI Access Minimerger 4.30.08" xfId="892" xr:uid="{00000000-0005-0000-0000-0000DA040000}"/>
    <cellStyle name="TextBold" xfId="514" xr:uid="{00000000-0005-0000-0000-0000DB040000}"/>
    <cellStyle name="textbold 2" xfId="1339" xr:uid="{00000000-0005-0000-0000-0000DC040000}"/>
    <cellStyle name="TextItalic" xfId="515" xr:uid="{00000000-0005-0000-0000-0000DD040000}"/>
    <cellStyle name="TextNormal" xfId="516" xr:uid="{00000000-0005-0000-0000-0000DE040000}"/>
    <cellStyle name="TFCF" xfId="893" xr:uid="{00000000-0005-0000-0000-0000DF040000}"/>
    <cellStyle name="þ_x001d_ð·!–ý·&amp;FýU_x0001_Â_x0005_[_x0007__x0007__x0001__x0001_" xfId="894" xr:uid="{00000000-0005-0000-0000-0000E0040000}"/>
    <cellStyle name="threedecplace" xfId="895" xr:uid="{00000000-0005-0000-0000-0000E1040000}"/>
    <cellStyle name="Tickmark" xfId="896" xr:uid="{00000000-0005-0000-0000-0000E2040000}"/>
    <cellStyle name="Time" xfId="897" xr:uid="{00000000-0005-0000-0000-0000E3040000}"/>
    <cellStyle name="Times 10" xfId="415" xr:uid="{00000000-0005-0000-0000-0000E4040000}"/>
    <cellStyle name="Times 12" xfId="416" xr:uid="{00000000-0005-0000-0000-0000E5040000}"/>
    <cellStyle name="Times 12 2" xfId="417" xr:uid="{00000000-0005-0000-0000-0000E6040000}"/>
    <cellStyle name="Times 12 3" xfId="418" xr:uid="{00000000-0005-0000-0000-0000E7040000}"/>
    <cellStyle name="Times New Roman" xfId="898" xr:uid="{00000000-0005-0000-0000-0000E8040000}"/>
    <cellStyle name="Title - PROJECT" xfId="1340" xr:uid="{00000000-0005-0000-0000-0000E9040000}"/>
    <cellStyle name="Title - Underline" xfId="1341" xr:uid="{00000000-0005-0000-0000-0000EA040000}"/>
    <cellStyle name="Title 2" xfId="419" xr:uid="{00000000-0005-0000-0000-0000EB040000}"/>
    <cellStyle name="Title 3" xfId="420" xr:uid="{00000000-0005-0000-0000-0000EC040000}"/>
    <cellStyle name="Title1" xfId="1342" xr:uid="{00000000-0005-0000-0000-0000ED040000}"/>
    <cellStyle name="title1 2" xfId="1343" xr:uid="{00000000-0005-0000-0000-0000EE040000}"/>
    <cellStyle name="Title10" xfId="899" xr:uid="{00000000-0005-0000-0000-0000EF040000}"/>
    <cellStyle name="Title2" xfId="900" xr:uid="{00000000-0005-0000-0000-0000F0040000}"/>
    <cellStyle name="title2 2" xfId="1344" xr:uid="{00000000-0005-0000-0000-0000F1040000}"/>
    <cellStyle name="Title8" xfId="901" xr:uid="{00000000-0005-0000-0000-0000F2040000}"/>
    <cellStyle name="Title8Left" xfId="902" xr:uid="{00000000-0005-0000-0000-0000F3040000}"/>
    <cellStyle name="TitleCenter" xfId="903" xr:uid="{00000000-0005-0000-0000-0000F4040000}"/>
    <cellStyle name="TitleLeft" xfId="904" xr:uid="{00000000-0005-0000-0000-0000F5040000}"/>
    <cellStyle name="TitleNormal" xfId="517" xr:uid="{00000000-0005-0000-0000-0000F6040000}"/>
    <cellStyle name="Titles" xfId="1345" xr:uid="{00000000-0005-0000-0000-0000F7040000}"/>
    <cellStyle name="Titles - Col. Headings" xfId="1346" xr:uid="{00000000-0005-0000-0000-0000F8040000}"/>
    <cellStyle name="Titles - Other" xfId="1347" xr:uid="{00000000-0005-0000-0000-0000F9040000}"/>
    <cellStyle name="Titolo" xfId="421" xr:uid="{00000000-0005-0000-0000-0000FA040000}"/>
    <cellStyle name="Titolo 1" xfId="422" xr:uid="{00000000-0005-0000-0000-0000FB040000}"/>
    <cellStyle name="Titolo 2" xfId="423" xr:uid="{00000000-0005-0000-0000-0000FC040000}"/>
    <cellStyle name="Titolo 3" xfId="424" xr:uid="{00000000-0005-0000-0000-0000FD040000}"/>
    <cellStyle name="Titolo 4" xfId="425" xr:uid="{00000000-0005-0000-0000-0000FE040000}"/>
    <cellStyle name="tmsrmn8" xfId="1348" xr:uid="{00000000-0005-0000-0000-0000FF040000}"/>
    <cellStyle name="To" xfId="426" xr:uid="{00000000-0005-0000-0000-000000050000}"/>
    <cellStyle name="To 2" xfId="427" xr:uid="{00000000-0005-0000-0000-000001050000}"/>
    <cellStyle name="To 3" xfId="428" xr:uid="{00000000-0005-0000-0000-000002050000}"/>
    <cellStyle name="Top Line" xfId="1349" xr:uid="{00000000-0005-0000-0000-000003050000}"/>
    <cellStyle name="topline" xfId="905" xr:uid="{00000000-0005-0000-0000-000004050000}"/>
    <cellStyle name="Totale" xfId="429" xr:uid="{00000000-0005-0000-0000-000005050000}"/>
    <cellStyle name="Totals" xfId="1350" xr:uid="{00000000-0005-0000-0000-000006050000}"/>
    <cellStyle name="TransVal" xfId="906" xr:uid="{00000000-0005-0000-0000-000007050000}"/>
    <cellStyle name="twodecplace" xfId="907" xr:uid="{00000000-0005-0000-0000-000008050000}"/>
    <cellStyle name="Underline" xfId="908" xr:uid="{00000000-0005-0000-0000-000009050000}"/>
    <cellStyle name="underline 1 decimal" xfId="1351" xr:uid="{00000000-0005-0000-0000-00000A050000}"/>
    <cellStyle name="UnderLine_Simple lease example_guidance for % asset over liability" xfId="1352" xr:uid="{00000000-0005-0000-0000-00000B050000}"/>
    <cellStyle name="unm" xfId="1353" xr:uid="{00000000-0005-0000-0000-00000C050000}"/>
    <cellStyle name="Unprotect" xfId="909" xr:uid="{00000000-0005-0000-0000-00000D050000}"/>
    <cellStyle name="UnProtectedCalc" xfId="1354" xr:uid="{00000000-0005-0000-0000-00000E050000}"/>
    <cellStyle name="Upload Only" xfId="1355" xr:uid="{00000000-0005-0000-0000-00000F050000}"/>
    <cellStyle name="User input" xfId="910" xr:uid="{00000000-0005-0000-0000-000010050000}"/>
    <cellStyle name="Valiotsikko" xfId="430" xr:uid="{00000000-0005-0000-0000-000011050000}"/>
    <cellStyle name="Valore non valido" xfId="431" xr:uid="{00000000-0005-0000-0000-000012050000}"/>
    <cellStyle name="Valore valido" xfId="432" xr:uid="{00000000-0005-0000-0000-000013050000}"/>
    <cellStyle name="Valuta [0]_Arcen" xfId="433" xr:uid="{00000000-0005-0000-0000-000014050000}"/>
    <cellStyle name="Valuta_Arcen" xfId="434" xr:uid="{00000000-0005-0000-0000-000015050000}"/>
    <cellStyle name="Vдliotsikko" xfId="435" xr:uid="{00000000-0005-0000-0000-000016050000}"/>
    <cellStyle name="Währung [0]_laroux" xfId="436" xr:uid="{00000000-0005-0000-0000-000017050000}"/>
    <cellStyle name="Währung_laroux" xfId="437" xr:uid="{00000000-0005-0000-0000-000018050000}"/>
    <cellStyle name="Walutowy [0]_1" xfId="438" xr:uid="{00000000-0005-0000-0000-000019050000}"/>
    <cellStyle name="Walutowy_1" xfId="439" xr:uid="{00000000-0005-0000-0000-00001A050000}"/>
    <cellStyle name="White" xfId="911" xr:uid="{00000000-0005-0000-0000-00001B050000}"/>
    <cellStyle name="WhitePattern" xfId="912" xr:uid="{00000000-0005-0000-0000-00001C050000}"/>
    <cellStyle name="WhitePattern1" xfId="913" xr:uid="{00000000-0005-0000-0000-00001D050000}"/>
    <cellStyle name="WhiteText" xfId="914" xr:uid="{00000000-0005-0000-0000-00001E050000}"/>
    <cellStyle name="WIP" xfId="440" xr:uid="{00000000-0005-0000-0000-00001F050000}"/>
    <cellStyle name="WIP 2" xfId="441" xr:uid="{00000000-0005-0000-0000-000020050000}"/>
    <cellStyle name="WIP 3" xfId="442" xr:uid="{00000000-0005-0000-0000-000021050000}"/>
    <cellStyle name="XComma" xfId="915" xr:uid="{00000000-0005-0000-0000-000022050000}"/>
    <cellStyle name="XComma 0.0" xfId="916" xr:uid="{00000000-0005-0000-0000-000023050000}"/>
    <cellStyle name="XComma 0.00" xfId="917" xr:uid="{00000000-0005-0000-0000-000024050000}"/>
    <cellStyle name="XComma 0.000" xfId="918" xr:uid="{00000000-0005-0000-0000-000025050000}"/>
    <cellStyle name="XCurrency" xfId="919" xr:uid="{00000000-0005-0000-0000-000026050000}"/>
    <cellStyle name="XCurrency 0.0" xfId="920" xr:uid="{00000000-0005-0000-0000-000027050000}"/>
    <cellStyle name="XCurrency 0.00" xfId="921" xr:uid="{00000000-0005-0000-0000-000028050000}"/>
    <cellStyle name="XCurrency 0.000" xfId="922" xr:uid="{00000000-0005-0000-0000-000029050000}"/>
    <cellStyle name="year" xfId="443" xr:uid="{00000000-0005-0000-0000-00002A050000}"/>
    <cellStyle name="year [1]" xfId="923" xr:uid="{00000000-0005-0000-0000-00002B050000}"/>
    <cellStyle name="Year 2" xfId="1356" xr:uid="{00000000-0005-0000-0000-00002C050000}"/>
    <cellStyle name="Year_5 Year Model 05-16-03 TA Q2" xfId="924" xr:uid="{00000000-0005-0000-0000-00002D050000}"/>
    <cellStyle name="Year1" xfId="925" xr:uid="{00000000-0005-0000-0000-00002E050000}"/>
    <cellStyle name="Year2" xfId="926" xr:uid="{00000000-0005-0000-0000-00002F050000}"/>
    <cellStyle name="Yen" xfId="444" xr:uid="{00000000-0005-0000-0000-000030050000}"/>
    <cellStyle name="Yen 2" xfId="445" xr:uid="{00000000-0005-0000-0000-000031050000}"/>
    <cellStyle name="Yen 3" xfId="446" xr:uid="{00000000-0005-0000-0000-000032050000}"/>
    <cellStyle name="Zero" xfId="447" xr:uid="{00000000-0005-0000-0000-000033050000}"/>
    <cellStyle name="Zero 2" xfId="448" xr:uid="{00000000-0005-0000-0000-000034050000}"/>
    <cellStyle name="Zero 3" xfId="449" xr:uid="{00000000-0005-0000-0000-000035050000}"/>
    <cellStyle name="Ввод " xfId="450" xr:uid="{00000000-0005-0000-0000-000036050000}"/>
    <cellStyle name="Верт. заголовок" xfId="451" xr:uid="{00000000-0005-0000-0000-000037050000}"/>
    <cellStyle name="Дата" xfId="452" xr:uid="{00000000-0005-0000-0000-000038050000}"/>
    <cellStyle name="Невидимый" xfId="453" xr:uid="{00000000-0005-0000-0000-000039050000}"/>
    <cellStyle name="недельный" xfId="454" xr:uid="{00000000-0005-0000-0000-00003A050000}"/>
    <cellStyle name="Обычный 2" xfId="455" xr:uid="{00000000-0005-0000-0000-00003B050000}"/>
    <cellStyle name="Обычный_3.2.3. GA_exp" xfId="456" xr:uid="{00000000-0005-0000-0000-00003C050000}"/>
    <cellStyle name="Процентный 2" xfId="457" xr:uid="{00000000-0005-0000-0000-00003D050000}"/>
    <cellStyle name="Субсчет" xfId="458" xr:uid="{00000000-0005-0000-0000-00003E050000}"/>
    <cellStyle name="Счет" xfId="459" xr:uid="{00000000-0005-0000-0000-00003F050000}"/>
    <cellStyle name="тонны" xfId="460" xr:uid="{00000000-0005-0000-0000-000040050000}"/>
    <cellStyle name="Тысячи [0]_DVIZ_BL" xfId="461" xr:uid="{00000000-0005-0000-0000-000041050000}"/>
    <cellStyle name="Тысячи_DVIZ_BL" xfId="462" xr:uid="{00000000-0005-0000-0000-000042050000}"/>
    <cellStyle name="Финансовый 2" xfId="463" xr:uid="{00000000-0005-0000-0000-000043050000}"/>
    <cellStyle name="Финансовый_Consol PL 05-2006 plan" xfId="464" xr:uid="{00000000-0005-0000-0000-000044050000}"/>
    <cellStyle name="Џђћ–…ќ’ќ›‰" xfId="465" xr:uid="{00000000-0005-0000-0000-000045050000}"/>
    <cellStyle name="ШАУ" xfId="466" xr:uid="{00000000-0005-0000-0000-000046050000}"/>
    <cellStyle name="콤마 [0]_PLDT" xfId="927" xr:uid="{00000000-0005-0000-0000-000047050000}"/>
    <cellStyle name="콤마_PLDT" xfId="928" xr:uid="{00000000-0005-0000-0000-000048050000}"/>
    <cellStyle name="통화 [0]_PLDT" xfId="929" xr:uid="{00000000-0005-0000-0000-000049050000}"/>
    <cellStyle name="통화_PLDT" xfId="930" xr:uid="{00000000-0005-0000-0000-00004A050000}"/>
    <cellStyle name="표준_PLDT" xfId="931" xr:uid="{00000000-0005-0000-0000-00004B050000}"/>
    <cellStyle name="桁区切り [0.00]_Bookings Forecast 2000-1 Template" xfId="932" xr:uid="{00000000-0005-0000-0000-00004C050000}"/>
    <cellStyle name="標準_Bookings Forecast 2000-1 Template" xfId="933" xr:uid="{00000000-0005-0000-0000-00004D050000}"/>
    <cellStyle name="通貨 [0.00]_Bookings Forecast 2000-1 Template" xfId="934" xr:uid="{00000000-0005-0000-0000-00004E050000}"/>
  </cellStyles>
  <dxfs count="1">
    <dxf>
      <font>
        <color auto="1"/>
      </font>
    </dxf>
  </dxfs>
  <tableStyles count="0" defaultTableStyle="TableStyleMedium2" defaultPivotStyle="PivotStyleLight16"/>
  <colors>
    <mruColors>
      <color rgb="FF99CCFF"/>
      <color rgb="FF0000FF"/>
      <color rgb="FF008000"/>
      <color rgb="FFFF9933"/>
      <color rgb="FFD9D9D9"/>
      <color rgb="FFFFFFCC"/>
      <color rgb="FFCCECFF"/>
      <color rgb="FFFFCCCC"/>
      <color rgb="FFCCFFCC"/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14</xdr:row>
      <xdr:rowOff>0</xdr:rowOff>
    </xdr:from>
    <xdr:ext cx="304800" cy="309843"/>
    <xdr:sp macro="" textlink="">
      <xdr:nvSpPr>
        <xdr:cNvPr id="2" name="AutoShape 6" descr="https://www.capitaliq.com/ciqdotnet/Service/Documents/Render.axd?DocumentId=94769300&amp;DocumentVersion=1&amp;FormatTypeId=PNG&amp;Disposition=inlin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0972800" y="7048500"/>
          <a:ext cx="304800" cy="3098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14</xdr:col>
      <xdr:colOff>0</xdr:colOff>
      <xdr:row>14</xdr:row>
      <xdr:rowOff>0</xdr:rowOff>
    </xdr:from>
    <xdr:ext cx="304800" cy="309843"/>
    <xdr:sp macro="" textlink="">
      <xdr:nvSpPr>
        <xdr:cNvPr id="3" name="AutoShape 7" descr="https://www.capitaliq.com/ciqdotnet/Service/Documents/Render.axd?DocumentId=94769300&amp;DocumentVersion=1&amp;FormatTypeId=PNG&amp;Disposition=inlin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0972800" y="7620000"/>
          <a:ext cx="304800" cy="3098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14</xdr:col>
      <xdr:colOff>0</xdr:colOff>
      <xdr:row>14</xdr:row>
      <xdr:rowOff>0</xdr:rowOff>
    </xdr:from>
    <xdr:ext cx="304800" cy="309842"/>
    <xdr:sp macro="" textlink="">
      <xdr:nvSpPr>
        <xdr:cNvPr id="4" name="AutoShape 8" descr="https://www.capitaliq.com/ciqdotnet/Service/Documents/Render.axd?DocumentId=94769300&amp;DocumentVersion=1&amp;FormatTypeId=PNG&amp;Disposition=inline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0972800" y="6286500"/>
          <a:ext cx="304800" cy="3098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117475</xdr:colOff>
      <xdr:row>0</xdr:row>
      <xdr:rowOff>155575</xdr:rowOff>
    </xdr:from>
    <xdr:to>
      <xdr:col>25</xdr:col>
      <xdr:colOff>409575</xdr:colOff>
      <xdr:row>15</xdr:row>
      <xdr:rowOff>72529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9125" y="155575"/>
          <a:ext cx="7226300" cy="24887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98425</xdr:colOff>
      <xdr:row>16</xdr:row>
      <xdr:rowOff>57149</xdr:rowOff>
    </xdr:from>
    <xdr:to>
      <xdr:col>25</xdr:col>
      <xdr:colOff>493664</xdr:colOff>
      <xdr:row>31</xdr:row>
      <xdr:rowOff>71952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0075" y="2705099"/>
          <a:ext cx="7329439" cy="25865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IAS%20&amp;%20GAAP%20%20Reports\IAS%20&amp;%20GAAP%20YEAR%202002\2002%20Q3%20Consolidation%20Model\A%20Consolidation%20&amp;%20Reporting\GAAP%20&amp;%20IAS%20Group%20TB%20&amp;%20Reports%20Q3%2020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swfile04\Departments\Documents%20(Sotnikov)\Evraz%20files\KMK\Inproper%20model\Final%20model%20(KMK)%20-%20ver.19%20(AP%20corrections%20-%20variant%20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oup Comparative GAAP"/>
      <sheetName val="Group Comparative IAS"/>
      <sheetName val="R-U IAS History"/>
      <sheetName val="Cash Flow Working"/>
      <sheetName val="REPO"/>
      <sheetName val="TB GAAP"/>
      <sheetName val="TB IAS"/>
      <sheetName val="Income Statement"/>
      <sheetName val="Balance Sheet"/>
      <sheetName val="Cash Flow"/>
      <sheetName val="G-I-F Total"/>
      <sheetName val="G-I-F (RU)"/>
      <sheetName val="G-I-F (UA)"/>
      <sheetName val="FLash IAS"/>
      <sheetName val="Loans"/>
      <sheetName val="Cash Flow support"/>
      <sheetName val="Income Statement Russia and Ukr"/>
      <sheetName val="Class A Shares Outstanding"/>
      <sheetName val="Class B Shares Outstanding"/>
      <sheetName val="Dilutive Shares Outstanding"/>
      <sheetName val="EPS Working"/>
      <sheetName val="Share Price 2002"/>
      <sheetName val="RE Working"/>
      <sheetName val="Change of Equity"/>
      <sheetName val="Sheet1"/>
      <sheetName val="Sheet2"/>
      <sheetName val="Sheet3"/>
      <sheetName val="1-ЭСПЦ"/>
      <sheetName val="COMPS"/>
      <sheetName val="0_33"/>
      <sheetName val="BEX_Expenses_CY"/>
      <sheetName val="BEX_Expenses_PY"/>
      <sheetName val="BEX_MAIN_PL"/>
      <sheetName val="БДДС month (ф)"/>
      <sheetName val="БДДС month (п)"/>
      <sheetName val="Параметры"/>
      <sheetName val="КВ 2008"/>
      <sheetName val="XLR_NoRangeSheet"/>
      <sheetName val="июль"/>
      <sheetName val="база"/>
      <sheetName val="июнь"/>
      <sheetName val="январь"/>
      <sheetName val="февраль"/>
      <sheetName val="март"/>
      <sheetName val="апрель"/>
      <sheetName val="май"/>
      <sheetName val="август"/>
      <sheetName val="сентябрь"/>
      <sheetName val="октябрь"/>
      <sheetName val="ноябрь"/>
      <sheetName val="декабрь"/>
      <sheetName val="infl_rates"/>
      <sheetName val="PL"/>
      <sheetName val="ф 12"/>
      <sheetName val="Data"/>
      <sheetName val="Лист1"/>
      <sheetName val="коэф."/>
      <sheetName val="GAAP &amp; IAS Group TB &amp; Reports Q"/>
      <sheetName val="Info"/>
      <sheetName val="ИТР_РАБ_2010"/>
      <sheetName val="assumptions"/>
      <sheetName val="RUS"/>
      <sheetName val="2 Параметр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Contents"/>
      <sheetName val="Assumptions"/>
      <sheetName val="Sensitivity"/>
      <sheetName val="P&amp;L(KMK-Rails)"/>
      <sheetName val="P&amp;L(KMK-Steel)"/>
      <sheetName val="P&amp;L(Energo)"/>
      <sheetName val="P&amp;L(GOK)"/>
      <sheetName val="Cash-flow (Rails)"/>
      <sheetName val="Cash-flow (Energo)"/>
      <sheetName val="Cash-flow (SUM)"/>
      <sheetName val="Sales(Rails)"/>
      <sheetName val="Payroll (Rails)"/>
      <sheetName val="Taxes (Rails)"/>
      <sheetName val="CAPEX (Rails)"/>
      <sheetName val="Repairs (Rails)"/>
      <sheetName val="Rails_price"/>
      <sheetName val="Energy_balance"/>
      <sheetName val="Presentation (energo)"/>
      <sheetName val="CAPEX(Energo)"/>
      <sheetName val="Production(GOK)"/>
      <sheetName val="Sales(GOK)"/>
      <sheetName val="кварталы"/>
      <sheetName val="полугодие"/>
      <sheetName val="Вып.П.П."/>
      <sheetName val="База"/>
      <sheetName val="rozvah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javascript:void(0);" TargetMode="External"/><Relationship Id="rId13" Type="http://schemas.openxmlformats.org/officeDocument/2006/relationships/hyperlink" Target="javascript:void(0);" TargetMode="External"/><Relationship Id="rId3" Type="http://schemas.openxmlformats.org/officeDocument/2006/relationships/hyperlink" Target="javascript:void(0);" TargetMode="External"/><Relationship Id="rId7" Type="http://schemas.openxmlformats.org/officeDocument/2006/relationships/hyperlink" Target="javascript:void(0);" TargetMode="External"/><Relationship Id="rId12" Type="http://schemas.openxmlformats.org/officeDocument/2006/relationships/hyperlink" Target="javascript:void(0);" TargetMode="External"/><Relationship Id="rId17" Type="http://schemas.openxmlformats.org/officeDocument/2006/relationships/printerSettings" Target="../printerSettings/printerSettings12.bin"/><Relationship Id="rId2" Type="http://schemas.openxmlformats.org/officeDocument/2006/relationships/hyperlink" Target="javascript:void(0);" TargetMode="External"/><Relationship Id="rId16" Type="http://schemas.openxmlformats.org/officeDocument/2006/relationships/hyperlink" Target="javascript:void(0);" TargetMode="External"/><Relationship Id="rId1" Type="http://schemas.openxmlformats.org/officeDocument/2006/relationships/hyperlink" Target="javascript:void(0);" TargetMode="External"/><Relationship Id="rId6" Type="http://schemas.openxmlformats.org/officeDocument/2006/relationships/hyperlink" Target="javascript:void(0);" TargetMode="External"/><Relationship Id="rId11" Type="http://schemas.openxmlformats.org/officeDocument/2006/relationships/hyperlink" Target="javascript:void(0);" TargetMode="External"/><Relationship Id="rId5" Type="http://schemas.openxmlformats.org/officeDocument/2006/relationships/hyperlink" Target="javascript:void(0);" TargetMode="External"/><Relationship Id="rId15" Type="http://schemas.openxmlformats.org/officeDocument/2006/relationships/hyperlink" Target="javascript:void(0);" TargetMode="External"/><Relationship Id="rId10" Type="http://schemas.openxmlformats.org/officeDocument/2006/relationships/hyperlink" Target="javascript:void(0);" TargetMode="External"/><Relationship Id="rId4" Type="http://schemas.openxmlformats.org/officeDocument/2006/relationships/hyperlink" Target="javascript:void(0);" TargetMode="External"/><Relationship Id="rId9" Type="http://schemas.openxmlformats.org/officeDocument/2006/relationships/hyperlink" Target="javascript:void(0);" TargetMode="External"/><Relationship Id="rId14" Type="http://schemas.openxmlformats.org/officeDocument/2006/relationships/hyperlink" Target="javascript:void(0);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/>
  </sheetPr>
  <dimension ref="B1:P4"/>
  <sheetViews>
    <sheetView showGridLines="0" tabSelected="1" view="pageBreakPreview" zoomScaleNormal="100" zoomScaleSheetLayoutView="100" workbookViewId="0"/>
  </sheetViews>
  <sheetFormatPr defaultRowHeight="11.25"/>
  <cols>
    <col min="1" max="1" width="5.83203125" customWidth="1"/>
    <col min="5" max="5" width="5.5" customWidth="1"/>
    <col min="6" max="6" width="11.83203125" bestFit="1" customWidth="1"/>
    <col min="12" max="12" width="12.6640625" customWidth="1"/>
  </cols>
  <sheetData>
    <row r="1" spans="2:16" ht="13.5" customHeight="1"/>
    <row r="2" spans="2:16" ht="63">
      <c r="B2" s="1076" t="s">
        <v>351</v>
      </c>
      <c r="C2" s="1"/>
      <c r="D2" s="1"/>
      <c r="E2" s="1"/>
      <c r="F2" s="1"/>
      <c r="G2" s="1"/>
      <c r="H2" s="1"/>
      <c r="I2" s="1"/>
      <c r="J2" s="1"/>
      <c r="K2" s="1"/>
      <c r="L2" s="1"/>
      <c r="M2" s="1072"/>
      <c r="N2" s="1072"/>
      <c r="O2" s="1072"/>
      <c r="P2" s="1072"/>
    </row>
    <row r="3" spans="2:16" ht="15" thickBot="1">
      <c r="B3" s="1074" t="s">
        <v>362</v>
      </c>
      <c r="C3" s="1075"/>
      <c r="D3" s="1075"/>
      <c r="E3" s="1075"/>
      <c r="F3" s="1119"/>
      <c r="G3" s="1074"/>
      <c r="H3" s="1075"/>
      <c r="I3" s="1075"/>
      <c r="J3" s="1075"/>
      <c r="K3" s="1075"/>
      <c r="L3" s="1075"/>
      <c r="M3" s="1073"/>
      <c r="N3" s="1073"/>
      <c r="O3" s="1073"/>
      <c r="P3" s="1073"/>
    </row>
    <row r="4" spans="2:16">
      <c r="M4" s="11"/>
      <c r="N4" s="11"/>
      <c r="O4" s="11"/>
      <c r="P4" s="1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O20"/>
  <sheetViews>
    <sheetView showGridLines="0" view="pageBreakPreview" zoomScaleNormal="85" zoomScaleSheetLayoutView="100" workbookViewId="0"/>
  </sheetViews>
  <sheetFormatPr defaultRowHeight="13.5" customHeight="1"/>
  <cols>
    <col min="1" max="1" width="5.83203125" style="23" customWidth="1"/>
    <col min="2" max="2" width="35.1640625" style="23" customWidth="1"/>
    <col min="3" max="3" width="10.5" style="23" bestFit="1" customWidth="1"/>
    <col min="4" max="4" width="9.83203125" style="23" bestFit="1" customWidth="1"/>
    <col min="5" max="5" width="12.6640625" style="23" bestFit="1" customWidth="1"/>
    <col min="6" max="6" width="3.1640625" style="23" customWidth="1"/>
    <col min="7" max="7" width="23.5" style="23" bestFit="1" customWidth="1"/>
    <col min="8" max="8" width="9.83203125" style="23" bestFit="1" customWidth="1"/>
    <col min="9" max="12" width="11.1640625" style="23" bestFit="1" customWidth="1"/>
    <col min="13" max="15" width="11.33203125" style="23" bestFit="1" customWidth="1"/>
    <col min="16" max="16384" width="9.33203125" style="23"/>
  </cols>
  <sheetData>
    <row r="1" spans="2:15" ht="13.5" customHeight="1">
      <c r="E1" s="24"/>
    </row>
    <row r="2" spans="2:15" ht="13.5" customHeight="1">
      <c r="B2" s="437" t="s">
        <v>45</v>
      </c>
      <c r="C2" s="27"/>
      <c r="D2" s="27"/>
      <c r="F2" s="25"/>
      <c r="G2" s="25"/>
      <c r="H2" s="25"/>
      <c r="I2" s="25"/>
      <c r="J2" s="26"/>
      <c r="K2" s="25"/>
      <c r="L2" s="25"/>
      <c r="M2" s="25"/>
    </row>
    <row r="3" spans="2:15" ht="13.5" customHeight="1">
      <c r="B3" s="10" t="s">
        <v>361</v>
      </c>
      <c r="C3" s="28"/>
      <c r="D3" s="28"/>
      <c r="F3" s="25"/>
      <c r="G3" s="25"/>
      <c r="H3" s="25"/>
      <c r="I3" s="25"/>
      <c r="J3" s="26"/>
      <c r="K3" s="25"/>
      <c r="L3" s="25"/>
      <c r="M3" s="25"/>
    </row>
    <row r="4" spans="2:15" ht="13.5" customHeight="1">
      <c r="B4" s="1077">
        <v>41760</v>
      </c>
      <c r="C4" s="28"/>
      <c r="D4" s="761"/>
      <c r="F4" s="29"/>
      <c r="G4" s="29"/>
    </row>
    <row r="5" spans="2:15" ht="13.5" customHeight="1">
      <c r="B5" s="1070"/>
      <c r="C5" s="28"/>
      <c r="D5" s="761"/>
      <c r="F5" s="29"/>
      <c r="G5" s="29"/>
    </row>
    <row r="6" spans="2:15" ht="13.5" customHeight="1">
      <c r="B6" s="1115" t="s">
        <v>44</v>
      </c>
      <c r="C6" s="1116"/>
      <c r="D6" s="1117"/>
      <c r="E6" s="1118"/>
      <c r="F6" s="29"/>
      <c r="G6" s="1116" t="s">
        <v>343</v>
      </c>
      <c r="H6" s="1116"/>
      <c r="I6" s="1116"/>
      <c r="J6" s="1116"/>
      <c r="K6" s="1116"/>
      <c r="L6" s="1116"/>
      <c r="M6" s="1116"/>
      <c r="N6" s="1116"/>
      <c r="O6" s="1116"/>
    </row>
    <row r="7" spans="2:15" ht="13.5" customHeight="1">
      <c r="B7" s="1081" t="s">
        <v>344</v>
      </c>
      <c r="C7" s="1082">
        <f>B4</f>
        <v>41760</v>
      </c>
      <c r="D7" s="1083"/>
      <c r="E7" s="1084">
        <v>50.35</v>
      </c>
      <c r="F7" s="1080"/>
      <c r="G7" s="1110" t="s">
        <v>350</v>
      </c>
      <c r="H7" s="1078">
        <v>2010</v>
      </c>
      <c r="I7" s="1078">
        <f t="shared" ref="I7:O7" si="0">H7+1</f>
        <v>2011</v>
      </c>
      <c r="J7" s="1078">
        <f t="shared" si="0"/>
        <v>2012</v>
      </c>
      <c r="K7" s="1078">
        <f t="shared" si="0"/>
        <v>2013</v>
      </c>
      <c r="L7" s="1078">
        <f t="shared" si="0"/>
        <v>2014</v>
      </c>
      <c r="M7" s="1079">
        <f t="shared" si="0"/>
        <v>2015</v>
      </c>
      <c r="N7" s="1079">
        <f t="shared" si="0"/>
        <v>2016</v>
      </c>
      <c r="O7" s="1079">
        <f t="shared" si="0"/>
        <v>2017</v>
      </c>
    </row>
    <row r="8" spans="2:15" ht="13.5" customHeight="1">
      <c r="B8" s="1106" t="s">
        <v>352</v>
      </c>
      <c r="C8" s="1089"/>
      <c r="D8" s="1090"/>
      <c r="E8" s="1091">
        <v>23.6</v>
      </c>
      <c r="F8" s="1085"/>
      <c r="G8" s="1086" t="s">
        <v>236</v>
      </c>
      <c r="H8" s="1087">
        <f>IS!C7</f>
        <v>1726.8040000000001</v>
      </c>
      <c r="I8" s="1087">
        <f>IS!D7</f>
        <v>1676.9060000000002</v>
      </c>
      <c r="J8" s="1087">
        <f>IS!E7</f>
        <v>1654.413</v>
      </c>
      <c r="K8" s="1087">
        <f>IS!F7</f>
        <v>1350.194</v>
      </c>
      <c r="L8" s="1087">
        <f>IS!G7</f>
        <v>1328.5520000000001</v>
      </c>
      <c r="M8" s="1087">
        <f>IS!H7</f>
        <v>1339.3940600000001</v>
      </c>
      <c r="N8" s="1087">
        <f>IS!I7</f>
        <v>1361.3810933999998</v>
      </c>
      <c r="O8" s="1087">
        <f>IS!J7</f>
        <v>1366.7956683749999</v>
      </c>
    </row>
    <row r="9" spans="2:15" ht="13.5" customHeight="1">
      <c r="B9" s="1094" t="s">
        <v>358</v>
      </c>
      <c r="C9" s="1089"/>
      <c r="D9" s="1090"/>
      <c r="E9" s="1095">
        <f>E7*E8</f>
        <v>1188.2600000000002</v>
      </c>
      <c r="F9" s="1092"/>
      <c r="G9" s="1109" t="s">
        <v>359</v>
      </c>
      <c r="H9" s="1093">
        <v>0.11899999999999999</v>
      </c>
      <c r="I9" s="1093">
        <f>I8/H8-1</f>
        <v>-2.8896157294053038E-2</v>
      </c>
      <c r="J9" s="1093">
        <f t="shared" ref="J9:O9" si="1">J8/I8-1</f>
        <v>-1.3413393475841917E-2</v>
      </c>
      <c r="K9" s="1093">
        <f t="shared" si="1"/>
        <v>-0.18388334714487864</v>
      </c>
      <c r="L9" s="1093">
        <f t="shared" si="1"/>
        <v>-1.602880771207682E-2</v>
      </c>
      <c r="M9" s="1093">
        <f t="shared" si="1"/>
        <v>8.1608096634531169E-3</v>
      </c>
      <c r="N9" s="1093">
        <f t="shared" si="1"/>
        <v>1.6415656942662338E-2</v>
      </c>
      <c r="O9" s="1093">
        <f t="shared" si="1"/>
        <v>3.9772661756873884E-3</v>
      </c>
    </row>
    <row r="10" spans="2:15" ht="13.5" customHeight="1">
      <c r="B10" s="1106" t="s">
        <v>357</v>
      </c>
      <c r="C10" s="1089"/>
      <c r="D10" s="1090"/>
      <c r="E10" s="1096">
        <f>BS!AG8</f>
        <v>3.7370000000000001</v>
      </c>
      <c r="F10" s="1092"/>
      <c r="G10" s="1086" t="s">
        <v>33</v>
      </c>
      <c r="H10" s="1087">
        <f>IS!C25</f>
        <v>190.22</v>
      </c>
      <c r="I10" s="1087">
        <f>IS!D25</f>
        <v>181.62800000000007</v>
      </c>
      <c r="J10" s="1087">
        <f>IS!E25</f>
        <v>197.387</v>
      </c>
      <c r="K10" s="1087">
        <f>IS!F25</f>
        <v>210.71713819999997</v>
      </c>
      <c r="L10" s="1087">
        <f>IS!G25</f>
        <v>128.1311725000001</v>
      </c>
      <c r="M10" s="1087">
        <f>IS!H25</f>
        <v>141.16118430000012</v>
      </c>
      <c r="N10" s="1087">
        <f>IS!I25</f>
        <v>171.64071011899969</v>
      </c>
      <c r="O10" s="1087">
        <f>IS!J25</f>
        <v>180.95470241357486</v>
      </c>
    </row>
    <row r="11" spans="2:15" ht="13.5" customHeight="1">
      <c r="B11" s="1106" t="s">
        <v>15</v>
      </c>
      <c r="C11" s="1089"/>
      <c r="D11" s="1090"/>
      <c r="E11" s="1096">
        <f ca="1">BS!AH40</f>
        <v>472.19647525775702</v>
      </c>
      <c r="F11" s="1092"/>
      <c r="G11" s="1109" t="s">
        <v>359</v>
      </c>
      <c r="H11" s="1093">
        <v>-3.0000000000000001E-3</v>
      </c>
      <c r="I11" s="1093">
        <f>I10/H10-1</f>
        <v>-4.5168751971401133E-2</v>
      </c>
      <c r="J11" s="1093">
        <f t="shared" ref="J11:O11" si="2">J10/I10-1</f>
        <v>8.6765256458254836E-2</v>
      </c>
      <c r="K11" s="1093">
        <f t="shared" si="2"/>
        <v>6.7533009772679842E-2</v>
      </c>
      <c r="L11" s="1093">
        <f t="shared" si="2"/>
        <v>-0.39192809092544834</v>
      </c>
      <c r="M11" s="1093">
        <f t="shared" si="2"/>
        <v>0.1016927539627408</v>
      </c>
      <c r="N11" s="1093">
        <f t="shared" si="2"/>
        <v>0.2159200205789118</v>
      </c>
      <c r="O11" s="1093">
        <f t="shared" si="2"/>
        <v>5.4264470754739502E-2</v>
      </c>
    </row>
    <row r="12" spans="2:15" ht="13.5" customHeight="1">
      <c r="B12" s="1094" t="s">
        <v>356</v>
      </c>
      <c r="C12" s="1098"/>
      <c r="D12" s="1099"/>
      <c r="E12" s="1095">
        <f ca="1">E9-E10+E11</f>
        <v>1656.719475257757</v>
      </c>
      <c r="F12" s="1092"/>
      <c r="G12" s="1109" t="s">
        <v>237</v>
      </c>
      <c r="H12" s="1097">
        <f>H10/H8</f>
        <v>0.1101572616232068</v>
      </c>
      <c r="I12" s="1097">
        <f t="shared" ref="I12:O12" si="3">I10/I8</f>
        <v>0.10831137821678738</v>
      </c>
      <c r="J12" s="1097">
        <f t="shared" si="3"/>
        <v>0.11930938647121365</v>
      </c>
      <c r="K12" s="1097">
        <f t="shared" si="3"/>
        <v>0.15606434201307365</v>
      </c>
      <c r="L12" s="1097">
        <f t="shared" si="3"/>
        <v>9.6444228377963445E-2</v>
      </c>
      <c r="M12" s="1097">
        <f t="shared" si="3"/>
        <v>0.10539182494209368</v>
      </c>
      <c r="N12" s="1097">
        <f t="shared" si="3"/>
        <v>0.12607837067160471</v>
      </c>
      <c r="O12" s="1097">
        <f t="shared" si="3"/>
        <v>0.13239338300560619</v>
      </c>
    </row>
    <row r="13" spans="2:15" ht="13.5" customHeight="1">
      <c r="B13" s="1106" t="s">
        <v>345</v>
      </c>
      <c r="C13" s="1089"/>
      <c r="D13" s="1090"/>
      <c r="E13" s="1096">
        <v>374</v>
      </c>
      <c r="F13" s="1092"/>
      <c r="G13" s="1100" t="s">
        <v>83</v>
      </c>
      <c r="H13" s="1101">
        <f>IS!C34</f>
        <v>2.2897460170598576</v>
      </c>
      <c r="I13" s="1101">
        <f>IS!D34</f>
        <v>2.1496466434614439</v>
      </c>
      <c r="J13" s="1101">
        <f>IS!E34</f>
        <v>2.419801962029196</v>
      </c>
      <c r="K13" s="1101">
        <f>IS!F34</f>
        <v>2.3910702842192038</v>
      </c>
      <c r="L13" s="1101">
        <f>IS!G34</f>
        <v>1.4104580152671755</v>
      </c>
      <c r="M13" s="1101">
        <f ca="1">IS!H34</f>
        <v>1.6504539008004231</v>
      </c>
      <c r="N13" s="1101">
        <f ca="1">IS!I34</f>
        <v>1.8697190423155934</v>
      </c>
      <c r="O13" s="1101">
        <f ca="1">IS!J34</f>
        <v>2.0423254294527688</v>
      </c>
    </row>
    <row r="14" spans="2:15" ht="13.5" customHeight="1">
      <c r="B14" s="1106" t="s">
        <v>15</v>
      </c>
      <c r="C14" s="1089"/>
      <c r="D14" s="1090"/>
      <c r="E14" s="1096">
        <f ca="1">E11</f>
        <v>472.19647525775702</v>
      </c>
      <c r="F14" s="1092"/>
      <c r="G14" s="1109" t="s">
        <v>359</v>
      </c>
      <c r="H14" s="1108">
        <v>0.30099999999999999</v>
      </c>
      <c r="I14" s="1108">
        <f t="shared" ref="I14:O14" si="4">I13/H13-1</f>
        <v>-6.1185551827406592E-2</v>
      </c>
      <c r="J14" s="1108">
        <f t="shared" si="4"/>
        <v>0.12567429134899011</v>
      </c>
      <c r="K14" s="1108">
        <f t="shared" si="4"/>
        <v>-1.1873565796226782E-2</v>
      </c>
      <c r="L14" s="1108">
        <f t="shared" si="4"/>
        <v>-0.41011436402516455</v>
      </c>
      <c r="M14" s="1108">
        <f t="shared" ca="1" si="4"/>
        <v>0.17015457598557893</v>
      </c>
      <c r="N14" s="1108">
        <f t="shared" ca="1" si="4"/>
        <v>0.13285141827277513</v>
      </c>
      <c r="O14" s="1108">
        <f t="shared" ca="1" si="4"/>
        <v>9.2316750929277269E-2</v>
      </c>
    </row>
    <row r="15" spans="2:15" ht="13.5" customHeight="1">
      <c r="B15" s="1094" t="s">
        <v>355</v>
      </c>
      <c r="C15" s="1098"/>
      <c r="D15" s="1099"/>
      <c r="E15" s="1095">
        <f ca="1">SUM(E13:E14)</f>
        <v>846.19647525775702</v>
      </c>
      <c r="F15" s="1092"/>
      <c r="G15" s="1086" t="s">
        <v>79</v>
      </c>
      <c r="H15" s="1111">
        <f>CF!C31</f>
        <v>105.38300000000004</v>
      </c>
      <c r="I15" s="1111">
        <f>CF!D31</f>
        <v>76.978000000000037</v>
      </c>
      <c r="J15" s="1111">
        <f>CF!E31</f>
        <v>55.675999999999988</v>
      </c>
      <c r="K15" s="1111">
        <f>CF!F31</f>
        <v>-199.21199999999999</v>
      </c>
      <c r="L15" s="1111">
        <f>CF!G31</f>
        <v>-55.94</v>
      </c>
      <c r="M15" s="1111">
        <f ca="1">CF!H31</f>
        <v>5.2786554371513859</v>
      </c>
      <c r="N15" s="1111">
        <f ca="1">CF!I31</f>
        <v>32.635813369416041</v>
      </c>
      <c r="O15" s="1111">
        <f ca="1">CF!J31</f>
        <v>36.680659292648613</v>
      </c>
    </row>
    <row r="16" spans="2:15" ht="13.5" customHeight="1">
      <c r="B16" s="1102"/>
      <c r="C16" s="1102"/>
      <c r="D16" s="1102"/>
      <c r="E16" s="1102"/>
      <c r="F16" s="1092"/>
      <c r="G16" s="1109" t="s">
        <v>360</v>
      </c>
      <c r="H16" s="1112"/>
      <c r="I16" s="1112"/>
      <c r="J16" s="1112"/>
      <c r="K16" s="1112"/>
      <c r="L16" s="1097">
        <v>0</v>
      </c>
      <c r="M16" s="1097">
        <f t="shared" ref="M16:O16" ca="1" si="5">M15/$E$8/$E$7</f>
        <v>4.4423404281482047E-3</v>
      </c>
      <c r="N16" s="1097">
        <f t="shared" ca="1" si="5"/>
        <v>2.7465212469843334E-2</v>
      </c>
      <c r="O16" s="1097">
        <f t="shared" ca="1" si="5"/>
        <v>3.0869219945675701E-2</v>
      </c>
    </row>
    <row r="17" spans="2:15" ht="13.5" customHeight="1">
      <c r="B17" s="1115" t="s">
        <v>354</v>
      </c>
      <c r="C17" s="1116"/>
      <c r="D17" s="1117"/>
      <c r="E17" s="1118"/>
      <c r="F17" s="1092"/>
      <c r="G17" s="1103" t="s">
        <v>346</v>
      </c>
      <c r="H17" s="1112"/>
      <c r="I17" s="1112"/>
      <c r="J17" s="1112"/>
      <c r="K17" s="1112"/>
      <c r="L17" s="1104">
        <f ca="1">$E$12/L10</f>
        <v>12.929870561028041</v>
      </c>
      <c r="M17" s="1104">
        <f ca="1">$E$12/M10</f>
        <v>11.736367071962542</v>
      </c>
      <c r="N17" s="1104">
        <f ca="1">$E$12/N10</f>
        <v>9.6522525111271218</v>
      </c>
      <c r="O17" s="1104">
        <f ca="1">$E$12/O10</f>
        <v>9.15543753856862</v>
      </c>
    </row>
    <row r="18" spans="2:15" ht="13.5" customHeight="1">
      <c r="B18" s="1088" t="s">
        <v>353</v>
      </c>
      <c r="C18" s="1089"/>
      <c r="D18" s="1090"/>
      <c r="E18" s="1105">
        <f>BS!AG44</f>
        <v>4.1107420920290423</v>
      </c>
      <c r="F18" s="1092"/>
      <c r="G18" s="1103" t="s">
        <v>348</v>
      </c>
      <c r="H18" s="1112"/>
      <c r="I18" s="1112"/>
      <c r="J18" s="1112"/>
      <c r="K18" s="1112"/>
      <c r="L18" s="1107">
        <f ca="1">$E$12/L8</f>
        <v>1.2470113892852948</v>
      </c>
      <c r="M18" s="1107">
        <f ca="1">$E$12/M8</f>
        <v>1.2369171439044286</v>
      </c>
      <c r="N18" s="1107">
        <f ca="1">$E$12/N8</f>
        <v>1.2169402699138125</v>
      </c>
      <c r="O18" s="1107">
        <f ca="1">$E$12/O8</f>
        <v>1.2121193486276198</v>
      </c>
    </row>
    <row r="19" spans="2:15" ht="13.5" customHeight="1">
      <c r="B19" s="1088" t="s">
        <v>347</v>
      </c>
      <c r="C19" s="1089"/>
      <c r="D19" s="1090"/>
      <c r="E19" s="1105">
        <f>BS!AG47</f>
        <v>13.944620971402644</v>
      </c>
      <c r="F19" s="1092"/>
      <c r="G19" s="1103" t="s">
        <v>349</v>
      </c>
      <c r="H19" s="1112"/>
      <c r="I19" s="1112"/>
      <c r="J19" s="1112"/>
      <c r="K19" s="1112"/>
      <c r="L19" s="1104">
        <f>$E$7/L13</f>
        <v>35.697624073172051</v>
      </c>
      <c r="M19" s="1104">
        <f ca="1">$E$7/M13</f>
        <v>30.506759368184525</v>
      </c>
      <c r="N19" s="1104">
        <f ca="1">$E$7/N13</f>
        <v>26.929179657732412</v>
      </c>
      <c r="O19" s="1104">
        <f ca="1">$E$7/O13</f>
        <v>24.653269882406075</v>
      </c>
    </row>
    <row r="20" spans="2:15" ht="13.5" customHeight="1">
      <c r="B20" s="1102"/>
      <c r="C20" s="1102"/>
      <c r="D20" s="1102"/>
      <c r="E20" s="1102"/>
      <c r="F20" s="1102"/>
    </row>
  </sheetData>
  <pageMargins left="0.7" right="0.7" top="0.75" bottom="0.75" header="0.3" footer="0.3"/>
  <pageSetup scale="8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B1:CX63"/>
  <sheetViews>
    <sheetView showGridLines="0" view="pageBreakPreview" zoomScaleNormal="100" zoomScaleSheetLayoutView="100" workbookViewId="0">
      <pane xSplit="2" ySplit="6" topLeftCell="C7" activePane="bottomRight" state="frozen"/>
      <selection pane="topRight" activeCell="D1" sqref="D1"/>
      <selection pane="bottomLeft" activeCell="A7" sqref="A7"/>
      <selection pane="bottomRight"/>
    </sheetView>
  </sheetViews>
  <sheetFormatPr defaultColWidth="10.83203125" defaultRowHeight="13.5" customHeight="1"/>
  <cols>
    <col min="1" max="1" width="5.83203125" style="3" customWidth="1"/>
    <col min="2" max="2" width="41.5" style="3" customWidth="1"/>
    <col min="3" max="10" width="11.83203125" style="3" customWidth="1"/>
    <col min="11" max="11" width="9.83203125" style="2" customWidth="1"/>
    <col min="12" max="39" width="9.83203125" style="10" customWidth="1"/>
    <col min="40" max="40" width="9" style="10" bestFit="1" customWidth="1"/>
    <col min="41" max="43" width="9.83203125" style="10" customWidth="1"/>
    <col min="44" max="45" width="10.83203125" style="10"/>
    <col min="46" max="59" width="10.83203125" style="78"/>
    <col min="60" max="97" width="10.83203125" style="4"/>
    <col min="98" max="16384" width="10.83203125" style="3"/>
  </cols>
  <sheetData>
    <row r="1" spans="2:102" s="21" customFormat="1" ht="13.5" customHeight="1">
      <c r="K1" s="22"/>
      <c r="L1" s="33">
        <v>40025</v>
      </c>
      <c r="M1" s="33">
        <f>EOMONTH(L1,3)</f>
        <v>40117</v>
      </c>
      <c r="N1" s="33">
        <f t="shared" ref="N1:AQ1" si="0">EOMONTH(M1,3)</f>
        <v>40209</v>
      </c>
      <c r="O1" s="33">
        <f t="shared" si="0"/>
        <v>40298</v>
      </c>
      <c r="P1" s="33">
        <f t="shared" si="0"/>
        <v>40390</v>
      </c>
      <c r="Q1" s="33">
        <f t="shared" si="0"/>
        <v>40482</v>
      </c>
      <c r="R1" s="33">
        <f t="shared" si="0"/>
        <v>40574</v>
      </c>
      <c r="S1" s="33">
        <f t="shared" si="0"/>
        <v>40663</v>
      </c>
      <c r="T1" s="33">
        <f t="shared" si="0"/>
        <v>40755</v>
      </c>
      <c r="U1" s="33">
        <f t="shared" si="0"/>
        <v>40847</v>
      </c>
      <c r="V1" s="33">
        <f t="shared" si="0"/>
        <v>40939</v>
      </c>
      <c r="W1" s="33">
        <f t="shared" si="0"/>
        <v>41029</v>
      </c>
      <c r="X1" s="33">
        <f t="shared" si="0"/>
        <v>41121</v>
      </c>
      <c r="Y1" s="33">
        <f t="shared" si="0"/>
        <v>41213</v>
      </c>
      <c r="Z1" s="33">
        <f t="shared" si="0"/>
        <v>41305</v>
      </c>
      <c r="AA1" s="33">
        <f t="shared" si="0"/>
        <v>41394</v>
      </c>
      <c r="AB1" s="33">
        <f t="shared" si="0"/>
        <v>41486</v>
      </c>
      <c r="AC1" s="33">
        <f t="shared" si="0"/>
        <v>41578</v>
      </c>
      <c r="AD1" s="33">
        <f t="shared" si="0"/>
        <v>41670</v>
      </c>
      <c r="AE1" s="33">
        <f t="shared" si="0"/>
        <v>41759</v>
      </c>
      <c r="AF1" s="33">
        <f t="shared" si="0"/>
        <v>41851</v>
      </c>
      <c r="AG1" s="33">
        <f t="shared" si="0"/>
        <v>41943</v>
      </c>
      <c r="AH1" s="33">
        <f t="shared" si="0"/>
        <v>42035</v>
      </c>
      <c r="AI1" s="33">
        <f t="shared" si="0"/>
        <v>42124</v>
      </c>
      <c r="AJ1" s="33">
        <f t="shared" si="0"/>
        <v>42216</v>
      </c>
      <c r="AK1" s="33">
        <f t="shared" si="0"/>
        <v>42308</v>
      </c>
      <c r="AL1" s="33">
        <f t="shared" si="0"/>
        <v>42400</v>
      </c>
      <c r="AM1" s="33">
        <f t="shared" si="0"/>
        <v>42490</v>
      </c>
      <c r="AN1" s="33">
        <f t="shared" si="0"/>
        <v>42582</v>
      </c>
      <c r="AO1" s="33">
        <f t="shared" si="0"/>
        <v>42674</v>
      </c>
      <c r="AP1" s="33">
        <f t="shared" si="0"/>
        <v>42766</v>
      </c>
      <c r="AQ1" s="33">
        <f t="shared" si="0"/>
        <v>42855</v>
      </c>
      <c r="AR1" s="43"/>
      <c r="AS1" s="43"/>
      <c r="AT1" s="854"/>
      <c r="AU1" s="854"/>
      <c r="AV1" s="854"/>
      <c r="AW1" s="854"/>
      <c r="AX1" s="854"/>
      <c r="AY1" s="854"/>
      <c r="AZ1" s="854"/>
      <c r="BA1" s="854"/>
      <c r="BB1" s="854"/>
      <c r="BC1" s="854"/>
      <c r="BD1" s="854"/>
      <c r="BE1" s="854"/>
      <c r="BF1" s="854"/>
      <c r="BG1" s="854"/>
      <c r="BH1" s="855"/>
      <c r="BI1" s="855"/>
      <c r="BJ1" s="855"/>
      <c r="BK1" s="855"/>
      <c r="BL1" s="855"/>
      <c r="BM1" s="855"/>
      <c r="BN1" s="855"/>
      <c r="BO1" s="855"/>
      <c r="BP1" s="855"/>
      <c r="BQ1" s="855"/>
      <c r="BR1" s="855"/>
      <c r="BS1" s="855"/>
      <c r="BT1" s="855"/>
      <c r="BU1" s="855"/>
      <c r="BV1" s="855"/>
      <c r="BW1" s="855"/>
      <c r="BX1" s="855"/>
      <c r="BY1" s="855"/>
      <c r="BZ1" s="855"/>
      <c r="CA1" s="855"/>
      <c r="CB1" s="855"/>
      <c r="CC1" s="855"/>
      <c r="CD1" s="855"/>
      <c r="CE1" s="855"/>
      <c r="CF1" s="855"/>
      <c r="CG1" s="855"/>
      <c r="CH1" s="855"/>
      <c r="CI1" s="855"/>
      <c r="CJ1" s="855"/>
      <c r="CK1" s="855"/>
      <c r="CL1" s="855"/>
      <c r="CM1" s="855"/>
      <c r="CN1" s="855"/>
      <c r="CO1" s="855"/>
      <c r="CP1" s="855"/>
      <c r="CQ1" s="855"/>
      <c r="CR1" s="855"/>
      <c r="CS1" s="855"/>
    </row>
    <row r="2" spans="2:102" ht="13.5" customHeight="1">
      <c r="B2" s="437" t="s">
        <v>45</v>
      </c>
    </row>
    <row r="3" spans="2:102" ht="13.5" customHeight="1">
      <c r="B3" s="10" t="s">
        <v>34</v>
      </c>
      <c r="C3" s="10"/>
      <c r="D3" s="10"/>
      <c r="E3" s="10"/>
      <c r="F3" s="10"/>
      <c r="G3" s="10"/>
      <c r="H3" s="10"/>
      <c r="I3" s="10"/>
      <c r="J3" s="10"/>
    </row>
    <row r="4" spans="2:102" ht="13.5" customHeight="1">
      <c r="B4" s="10" t="s">
        <v>35</v>
      </c>
      <c r="C4" s="10"/>
      <c r="D4" s="10"/>
      <c r="E4" s="10"/>
      <c r="F4" s="10"/>
      <c r="G4" s="10"/>
      <c r="H4" s="10"/>
      <c r="I4" s="10"/>
      <c r="J4" s="10"/>
    </row>
    <row r="5" spans="2:102" ht="13.5" customHeight="1">
      <c r="B5" s="10"/>
      <c r="C5" s="6" t="s">
        <v>12</v>
      </c>
      <c r="D5" s="5"/>
      <c r="E5" s="764"/>
      <c r="F5" s="5"/>
      <c r="G5" s="5"/>
      <c r="H5" s="5"/>
      <c r="I5" s="5"/>
      <c r="J5" s="5"/>
      <c r="L5" s="32">
        <v>2010</v>
      </c>
      <c r="M5" s="30"/>
      <c r="N5" s="30"/>
      <c r="O5" s="31"/>
      <c r="P5" s="32">
        <f>L5+1</f>
        <v>2011</v>
      </c>
      <c r="Q5" s="30"/>
      <c r="R5" s="30"/>
      <c r="S5" s="31"/>
      <c r="T5" s="32">
        <f>P5+1</f>
        <v>2012</v>
      </c>
      <c r="U5" s="30"/>
      <c r="V5" s="30"/>
      <c r="W5" s="31"/>
      <c r="X5" s="32">
        <f>T5+1</f>
        <v>2013</v>
      </c>
      <c r="Y5" s="30"/>
      <c r="Z5" s="30"/>
      <c r="AA5" s="31"/>
      <c r="AB5" s="32">
        <f>X5+1</f>
        <v>2014</v>
      </c>
      <c r="AC5" s="30"/>
      <c r="AD5" s="30"/>
      <c r="AE5" s="31"/>
      <c r="AF5" s="32">
        <f>AB5+1</f>
        <v>2015</v>
      </c>
      <c r="AG5" s="30"/>
      <c r="AH5" s="30"/>
      <c r="AI5" s="31"/>
      <c r="AJ5" s="32">
        <f>AF5+1</f>
        <v>2016</v>
      </c>
      <c r="AK5" s="30"/>
      <c r="AL5" s="30"/>
      <c r="AM5" s="31"/>
      <c r="AN5" s="32">
        <f>AJ5+1</f>
        <v>2017</v>
      </c>
      <c r="AO5" s="30"/>
      <c r="AP5" s="30"/>
      <c r="AQ5" s="31"/>
    </row>
    <row r="6" spans="2:102" ht="13.5" customHeight="1">
      <c r="B6" s="78"/>
      <c r="C6" s="35">
        <v>2010</v>
      </c>
      <c r="D6" s="35">
        <f t="shared" ref="D6:J6" si="1">C6+1</f>
        <v>2011</v>
      </c>
      <c r="E6" s="35">
        <f t="shared" si="1"/>
        <v>2012</v>
      </c>
      <c r="F6" s="35">
        <f t="shared" si="1"/>
        <v>2013</v>
      </c>
      <c r="G6" s="116">
        <f t="shared" si="1"/>
        <v>2014</v>
      </c>
      <c r="H6" s="18">
        <f t="shared" si="1"/>
        <v>2015</v>
      </c>
      <c r="I6" s="18">
        <f t="shared" si="1"/>
        <v>2016</v>
      </c>
      <c r="J6" s="18">
        <f t="shared" si="1"/>
        <v>2017</v>
      </c>
      <c r="L6" s="44">
        <v>1</v>
      </c>
      <c r="M6" s="44">
        <f>L6+1</f>
        <v>2</v>
      </c>
      <c r="N6" s="44">
        <f>M6+1</f>
        <v>3</v>
      </c>
      <c r="O6" s="44">
        <f>N6+1</f>
        <v>4</v>
      </c>
      <c r="P6" s="44">
        <v>1</v>
      </c>
      <c r="Q6" s="44">
        <f>P6+1</f>
        <v>2</v>
      </c>
      <c r="R6" s="44">
        <f>Q6+1</f>
        <v>3</v>
      </c>
      <c r="S6" s="44">
        <f>R6+1</f>
        <v>4</v>
      </c>
      <c r="T6" s="44">
        <v>1</v>
      </c>
      <c r="U6" s="44">
        <f>T6+1</f>
        <v>2</v>
      </c>
      <c r="V6" s="44">
        <f>U6+1</f>
        <v>3</v>
      </c>
      <c r="W6" s="44">
        <f>V6+1</f>
        <v>4</v>
      </c>
      <c r="X6" s="44">
        <v>1</v>
      </c>
      <c r="Y6" s="44">
        <f>X6+1</f>
        <v>2</v>
      </c>
      <c r="Z6" s="44">
        <f>Y6+1</f>
        <v>3</v>
      </c>
      <c r="AA6" s="44">
        <f>Z6+1</f>
        <v>4</v>
      </c>
      <c r="AB6" s="44">
        <v>1</v>
      </c>
      <c r="AC6" s="44">
        <f>AB6+1</f>
        <v>2</v>
      </c>
      <c r="AD6" s="44">
        <f>AC6+1</f>
        <v>3</v>
      </c>
      <c r="AE6" s="44">
        <f>AD6+1</f>
        <v>4</v>
      </c>
      <c r="AF6" s="44">
        <v>1</v>
      </c>
      <c r="AG6" s="44">
        <f>AF6+1</f>
        <v>2</v>
      </c>
      <c r="AH6" s="44">
        <f>AG6+1</f>
        <v>3</v>
      </c>
      <c r="AI6" s="44">
        <f>AH6+1</f>
        <v>4</v>
      </c>
      <c r="AJ6" s="44">
        <v>1</v>
      </c>
      <c r="AK6" s="44">
        <f>AJ6+1</f>
        <v>2</v>
      </c>
      <c r="AL6" s="44">
        <f>AK6+1</f>
        <v>3</v>
      </c>
      <c r="AM6" s="44">
        <f>AL6+1</f>
        <v>4</v>
      </c>
      <c r="AN6" s="44">
        <v>1</v>
      </c>
      <c r="AO6" s="44">
        <f>AN6+1</f>
        <v>2</v>
      </c>
      <c r="AP6" s="44">
        <f>AO6+1</f>
        <v>3</v>
      </c>
      <c r="AQ6" s="44">
        <f>AP6+1</f>
        <v>4</v>
      </c>
    </row>
    <row r="7" spans="2:102" s="163" customFormat="1" ht="13.5" customHeight="1">
      <c r="B7" s="713" t="s">
        <v>30</v>
      </c>
      <c r="C7" s="130">
        <f>SUM(L7:O7)</f>
        <v>1726.8040000000001</v>
      </c>
      <c r="D7" s="130">
        <f>SUM(P7:S7)</f>
        <v>1676.9060000000002</v>
      </c>
      <c r="E7" s="130">
        <f>SUM(T7:W7)</f>
        <v>1654.413</v>
      </c>
      <c r="F7" s="130">
        <f>SUM(X7:AA7)</f>
        <v>1350.194</v>
      </c>
      <c r="G7" s="159">
        <f>SUM(AB7:AE7)</f>
        <v>1328.5520000000001</v>
      </c>
      <c r="H7" s="160">
        <f>SUM(AF7:AI7)</f>
        <v>1339.3940600000001</v>
      </c>
      <c r="I7" s="160">
        <f>SUM(AJ7:AM7)</f>
        <v>1361.3810933999998</v>
      </c>
      <c r="J7" s="160">
        <f>SUM(AK7:AN7)</f>
        <v>1366.7956683749999</v>
      </c>
      <c r="L7" s="303">
        <f>L9+L11+L13</f>
        <v>429.48000000000008</v>
      </c>
      <c r="M7" s="304">
        <f t="shared" ref="M7:AQ7" si="2">M9+M11+M13</f>
        <v>424.84699999999998</v>
      </c>
      <c r="N7" s="304">
        <f t="shared" si="2"/>
        <v>429.82299999999998</v>
      </c>
      <c r="O7" s="305">
        <f t="shared" si="2"/>
        <v>442.654</v>
      </c>
      <c r="P7" s="304">
        <f t="shared" si="2"/>
        <v>412.56599999999997</v>
      </c>
      <c r="Q7" s="304">
        <f t="shared" si="2"/>
        <v>417.04600000000005</v>
      </c>
      <c r="R7" s="304">
        <f t="shared" si="2"/>
        <v>428.59399999999994</v>
      </c>
      <c r="S7" s="305">
        <f t="shared" si="2"/>
        <v>418.7</v>
      </c>
      <c r="T7" s="304">
        <f t="shared" si="2"/>
        <v>405.36099999999999</v>
      </c>
      <c r="U7" s="304">
        <f t="shared" si="2"/>
        <v>407.185</v>
      </c>
      <c r="V7" s="304">
        <f t="shared" si="2"/>
        <v>428.33899999999994</v>
      </c>
      <c r="W7" s="305">
        <f t="shared" si="2"/>
        <v>413.52800000000002</v>
      </c>
      <c r="X7" s="304">
        <f t="shared" si="2"/>
        <v>323.44100000000003</v>
      </c>
      <c r="Y7" s="304">
        <f t="shared" si="2"/>
        <v>329.55499999999995</v>
      </c>
      <c r="Z7" s="304">
        <f t="shared" si="2"/>
        <v>343.32099999999997</v>
      </c>
      <c r="AA7" s="305">
        <f t="shared" si="2"/>
        <v>353.87700000000001</v>
      </c>
      <c r="AB7" s="304">
        <f t="shared" si="2"/>
        <v>329.44900000000001</v>
      </c>
      <c r="AC7" s="304">
        <f t="shared" si="2"/>
        <v>332.59999999999997</v>
      </c>
      <c r="AD7" s="304">
        <f t="shared" si="2"/>
        <v>340.13200000000001</v>
      </c>
      <c r="AE7" s="305">
        <f t="shared" si="2"/>
        <v>326.37099999999998</v>
      </c>
      <c r="AF7" s="304">
        <f t="shared" si="2"/>
        <v>326.34100000000001</v>
      </c>
      <c r="AG7" s="304">
        <f t="shared" si="2"/>
        <v>333.22</v>
      </c>
      <c r="AH7" s="304">
        <f t="shared" si="2"/>
        <v>346.93464</v>
      </c>
      <c r="AI7" s="305">
        <f t="shared" si="2"/>
        <v>332.89841999999999</v>
      </c>
      <c r="AJ7" s="304">
        <f t="shared" si="2"/>
        <v>331.66706499999998</v>
      </c>
      <c r="AK7" s="304">
        <f t="shared" si="2"/>
        <v>338.68909999999994</v>
      </c>
      <c r="AL7" s="304">
        <f t="shared" si="2"/>
        <v>352.64675220000004</v>
      </c>
      <c r="AM7" s="305">
        <f t="shared" si="2"/>
        <v>338.37817619999998</v>
      </c>
      <c r="AN7" s="304">
        <f t="shared" si="2"/>
        <v>337.08163997499997</v>
      </c>
      <c r="AO7" s="304">
        <f t="shared" si="2"/>
        <v>344.23929949999996</v>
      </c>
      <c r="AP7" s="304">
        <f t="shared" si="2"/>
        <v>358.45470793499999</v>
      </c>
      <c r="AQ7" s="305">
        <f t="shared" si="2"/>
        <v>343.94985434099993</v>
      </c>
      <c r="AR7" s="170"/>
      <c r="AS7" s="170"/>
      <c r="AT7" s="162"/>
      <c r="AU7" s="162"/>
      <c r="AV7" s="162"/>
      <c r="AW7" s="162"/>
      <c r="AX7" s="162"/>
      <c r="AY7" s="162"/>
      <c r="AZ7" s="162"/>
      <c r="BA7" s="162"/>
      <c r="BB7" s="162"/>
      <c r="BC7" s="162"/>
      <c r="BD7" s="162"/>
      <c r="BE7" s="162"/>
      <c r="BF7" s="162"/>
      <c r="BG7" s="162"/>
      <c r="BH7" s="162"/>
      <c r="BI7" s="162"/>
      <c r="BJ7" s="162"/>
      <c r="BK7" s="162"/>
      <c r="BL7" s="162"/>
      <c r="BM7" s="162"/>
      <c r="BN7" s="162"/>
      <c r="BO7" s="162"/>
      <c r="BP7" s="162"/>
      <c r="BQ7" s="162"/>
      <c r="BR7" s="162"/>
      <c r="BS7" s="162"/>
      <c r="BT7" s="162"/>
      <c r="BU7" s="162"/>
      <c r="BV7" s="162"/>
      <c r="BW7" s="162"/>
      <c r="BX7" s="162"/>
      <c r="BY7" s="162"/>
      <c r="BZ7" s="162"/>
      <c r="CA7" s="162"/>
      <c r="CB7" s="162"/>
      <c r="CC7" s="162"/>
      <c r="CD7" s="162"/>
      <c r="CE7" s="162"/>
      <c r="CF7" s="162"/>
      <c r="CG7" s="162"/>
      <c r="CH7" s="162"/>
      <c r="CI7" s="162"/>
      <c r="CJ7" s="162"/>
      <c r="CK7" s="162"/>
      <c r="CL7" s="162"/>
      <c r="CM7" s="162"/>
      <c r="CN7" s="162"/>
      <c r="CO7" s="162"/>
      <c r="CP7" s="162"/>
      <c r="CQ7" s="162"/>
      <c r="CR7" s="162"/>
      <c r="CS7" s="162"/>
    </row>
    <row r="8" spans="2:102" s="38" customFormat="1" ht="13.5" customHeight="1">
      <c r="B8" s="1030" t="s">
        <v>27</v>
      </c>
      <c r="C8" s="103">
        <v>-1.4E-2</v>
      </c>
      <c r="D8" s="49">
        <f t="shared" ref="D8:J8" si="3">D7/C7-1</f>
        <v>-2.8896157294053038E-2</v>
      </c>
      <c r="E8" s="49">
        <f t="shared" si="3"/>
        <v>-1.3413393475841917E-2</v>
      </c>
      <c r="F8" s="49">
        <f t="shared" si="3"/>
        <v>-0.18388334714487864</v>
      </c>
      <c r="G8" s="118">
        <f t="shared" si="3"/>
        <v>-1.602880771207682E-2</v>
      </c>
      <c r="H8" s="49">
        <f t="shared" si="3"/>
        <v>8.1608096634531169E-3</v>
      </c>
      <c r="I8" s="49">
        <f t="shared" si="3"/>
        <v>1.6415656942662338E-2</v>
      </c>
      <c r="J8" s="49">
        <f t="shared" si="3"/>
        <v>3.9772661756873884E-3</v>
      </c>
      <c r="L8" s="692">
        <v>-3.9E-2</v>
      </c>
      <c r="M8" s="649">
        <v>-1.7999999999999999E-2</v>
      </c>
      <c r="N8" s="649">
        <v>-3.0000000000000001E-3</v>
      </c>
      <c r="O8" s="693">
        <v>-5.3999999999999999E-2</v>
      </c>
      <c r="P8" s="153">
        <f t="shared" ref="P8:AH8" si="4">P7/L7-1</f>
        <v>-3.9382509080749029E-2</v>
      </c>
      <c r="Q8" s="153">
        <f t="shared" si="4"/>
        <v>-1.8361904403232043E-2</v>
      </c>
      <c r="R8" s="153">
        <f t="shared" si="4"/>
        <v>-2.859316509353893E-3</v>
      </c>
      <c r="S8" s="298">
        <f t="shared" si="4"/>
        <v>-5.4114500264314858E-2</v>
      </c>
      <c r="T8" s="153">
        <f t="shared" si="4"/>
        <v>-1.7463872447075146E-2</v>
      </c>
      <c r="U8" s="153">
        <f t="shared" si="4"/>
        <v>-2.3644873706977321E-2</v>
      </c>
      <c r="V8" s="153">
        <f t="shared" si="4"/>
        <v>-5.9496866498365275E-4</v>
      </c>
      <c r="W8" s="298">
        <f t="shared" si="4"/>
        <v>-1.2352519703845211E-2</v>
      </c>
      <c r="X8" s="153">
        <f t="shared" si="4"/>
        <v>-0.2020914690855804</v>
      </c>
      <c r="Y8" s="153">
        <f t="shared" si="4"/>
        <v>-0.19065044144553467</v>
      </c>
      <c r="Z8" s="153">
        <f t="shared" si="4"/>
        <v>-0.19848297726800501</v>
      </c>
      <c r="AA8" s="298">
        <f t="shared" si="4"/>
        <v>-0.1442489988586021</v>
      </c>
      <c r="AB8" s="153">
        <f t="shared" si="4"/>
        <v>1.8575257929575928E-2</v>
      </c>
      <c r="AC8" s="153">
        <f t="shared" si="4"/>
        <v>9.239732366372877E-3</v>
      </c>
      <c r="AD8" s="153">
        <f t="shared" si="4"/>
        <v>-9.2886831857065255E-3</v>
      </c>
      <c r="AE8" s="298">
        <f t="shared" si="4"/>
        <v>-7.7727572009483548E-2</v>
      </c>
      <c r="AF8" s="671">
        <f t="shared" si="4"/>
        <v>-9.4339336285738096E-3</v>
      </c>
      <c r="AG8" s="672">
        <f t="shared" si="4"/>
        <v>1.8641010222490983E-3</v>
      </c>
      <c r="AH8" s="672">
        <f t="shared" si="4"/>
        <v>2.0000000000000018E-2</v>
      </c>
      <c r="AI8" s="652">
        <f t="shared" ref="AI8" si="5">AI7/AE7-1</f>
        <v>2.0000000000000018E-2</v>
      </c>
      <c r="AJ8" s="679">
        <f t="shared" ref="AJ8" si="6">AJ7/AF7-1</f>
        <v>1.6320551202576361E-2</v>
      </c>
      <c r="AK8" s="651">
        <f t="shared" ref="AK8" si="7">AK7/AG7-1</f>
        <v>1.6412880379328643E-2</v>
      </c>
      <c r="AL8" s="651">
        <f t="shared" ref="AL8" si="8">AL7/AH7-1</f>
        <v>1.6464519657074517E-2</v>
      </c>
      <c r="AM8" s="652">
        <f t="shared" ref="AM8" si="9">AM7/AI7-1</f>
        <v>1.6460745593205317E-2</v>
      </c>
      <c r="AN8" s="679">
        <f t="shared" ref="AN8" si="10">AN7/AJ7-1</f>
        <v>1.6325332076611243E-2</v>
      </c>
      <c r="AO8" s="651">
        <f t="shared" ref="AO8" si="11">AO7/AK7-1</f>
        <v>1.6387298853137056E-2</v>
      </c>
      <c r="AP8" s="651">
        <f t="shared" ref="AP8" si="12">AP7/AL7-1</f>
        <v>1.6469613568725006E-2</v>
      </c>
      <c r="AQ8" s="652">
        <f t="shared" ref="AQ8" si="13">AQ7/AM7-1</f>
        <v>1.6465831820391408E-2</v>
      </c>
      <c r="AR8" s="173"/>
      <c r="AS8" s="173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1"/>
    </row>
    <row r="9" spans="2:102" s="143" customFormat="1" ht="13.5" customHeight="1">
      <c r="B9" s="1113" t="s">
        <v>46</v>
      </c>
      <c r="C9" s="141">
        <f>SUM(L9:O9)</f>
        <v>1411.0920000000001</v>
      </c>
      <c r="D9" s="141">
        <f>SUM(P9:S9)</f>
        <v>1356.933</v>
      </c>
      <c r="E9" s="141">
        <f>SUM(T9:W9)</f>
        <v>1339.6930000000002</v>
      </c>
      <c r="F9" s="141">
        <f>SUM(X9:AA9)</f>
        <v>1001.3860000000001</v>
      </c>
      <c r="G9" s="144">
        <f>SUM(AB9:AE9)</f>
        <v>956.57899999999995</v>
      </c>
      <c r="H9" s="145">
        <f>SUM(AF9:AI9)</f>
        <v>962.2095599999999</v>
      </c>
      <c r="I9" s="145">
        <f>SUM(AJ9:AM9)</f>
        <v>976.64270339999985</v>
      </c>
      <c r="J9" s="145">
        <f>SUM(AK9:AN9)</f>
        <v>980.29900237499987</v>
      </c>
      <c r="L9" s="280">
        <v>359.81500000000005</v>
      </c>
      <c r="M9" s="145">
        <v>345.38499999999999</v>
      </c>
      <c r="N9" s="145">
        <v>343.03700000000003</v>
      </c>
      <c r="O9" s="292">
        <v>362.85500000000002</v>
      </c>
      <c r="P9" s="145">
        <v>343.08499999999998</v>
      </c>
      <c r="Q9" s="145">
        <v>338.07900000000001</v>
      </c>
      <c r="R9" s="145">
        <v>337.69399999999996</v>
      </c>
      <c r="S9" s="292">
        <v>338.07499999999999</v>
      </c>
      <c r="T9" s="145">
        <v>333.15300000000002</v>
      </c>
      <c r="U9" s="145">
        <v>328.87299999999999</v>
      </c>
      <c r="V9" s="145">
        <v>337.30799999999999</v>
      </c>
      <c r="W9" s="292">
        <v>340.35900000000004</v>
      </c>
      <c r="X9" s="145">
        <v>247.96600000000001</v>
      </c>
      <c r="Y9" s="145">
        <v>246.30199999999999</v>
      </c>
      <c r="Z9" s="145">
        <v>245.494</v>
      </c>
      <c r="AA9" s="292">
        <v>261.62400000000002</v>
      </c>
      <c r="AB9" s="145">
        <v>244.55099999999999</v>
      </c>
      <c r="AC9" s="145">
        <v>240.5</v>
      </c>
      <c r="AD9" s="145">
        <v>240.506</v>
      </c>
      <c r="AE9" s="292">
        <v>231.02199999999999</v>
      </c>
      <c r="AF9" s="280">
        <v>240.15100000000001</v>
      </c>
      <c r="AG9" s="174">
        <v>241.1</v>
      </c>
      <c r="AH9" s="659">
        <f>'Segments+SG&amp;A'!V9</f>
        <v>245.31612000000001</v>
      </c>
      <c r="AI9" s="673">
        <f>'Segments+SG&amp;A'!W9</f>
        <v>235.64243999999999</v>
      </c>
      <c r="AJ9" s="680">
        <f>'Segments+SG&amp;A'!X9</f>
        <v>243.753265</v>
      </c>
      <c r="AK9" s="659">
        <f>'Segments+SG&amp;A'!Y9</f>
        <v>244.71649999999997</v>
      </c>
      <c r="AL9" s="659">
        <f>'Segments+SG&amp;A'!Z9</f>
        <v>248.9958618</v>
      </c>
      <c r="AM9" s="673">
        <f>'Segments+SG&amp;A'!AA9</f>
        <v>239.17707659999996</v>
      </c>
      <c r="AN9" s="680">
        <f>'Segments+SG&amp;A'!AB9</f>
        <v>247.40956397499997</v>
      </c>
      <c r="AO9" s="659">
        <f>'Segments+SG&amp;A'!AC9</f>
        <v>248.38724749999994</v>
      </c>
      <c r="AP9" s="659">
        <f>'Segments+SG&amp;A'!AD9</f>
        <v>252.73079972699998</v>
      </c>
      <c r="AQ9" s="673">
        <f>'Segments+SG&amp;A'!AE9</f>
        <v>242.76473274899993</v>
      </c>
      <c r="AR9" s="145"/>
      <c r="AS9" s="175"/>
      <c r="AT9" s="141"/>
      <c r="AU9" s="141"/>
      <c r="AV9" s="141"/>
      <c r="AW9" s="141"/>
      <c r="AX9" s="141"/>
      <c r="AY9" s="141"/>
      <c r="AZ9" s="141"/>
      <c r="BA9" s="141"/>
      <c r="BB9" s="141"/>
      <c r="BC9" s="141"/>
      <c r="BD9" s="141"/>
      <c r="BE9" s="141"/>
      <c r="BF9" s="141"/>
      <c r="BG9" s="141"/>
      <c r="BH9" s="856"/>
      <c r="BI9" s="856"/>
      <c r="BJ9" s="856"/>
      <c r="BK9" s="856"/>
      <c r="BL9" s="856"/>
      <c r="BM9" s="856"/>
      <c r="BN9" s="856"/>
      <c r="BO9" s="856"/>
      <c r="BP9" s="856"/>
      <c r="BQ9" s="856"/>
      <c r="BR9" s="856"/>
      <c r="BS9" s="856"/>
      <c r="BT9" s="856"/>
      <c r="BU9" s="856"/>
      <c r="BV9" s="856"/>
      <c r="BW9" s="856"/>
      <c r="BX9" s="856"/>
      <c r="BY9" s="856"/>
      <c r="BZ9" s="856"/>
      <c r="CA9" s="856"/>
      <c r="CB9" s="856"/>
      <c r="CC9" s="856"/>
      <c r="CD9" s="856"/>
      <c r="CE9" s="856"/>
      <c r="CF9" s="856"/>
      <c r="CG9" s="856"/>
      <c r="CH9" s="856"/>
      <c r="CI9" s="856"/>
      <c r="CJ9" s="856"/>
      <c r="CK9" s="856"/>
      <c r="CL9" s="856"/>
      <c r="CM9" s="856"/>
      <c r="CN9" s="856"/>
      <c r="CO9" s="856"/>
      <c r="CP9" s="856"/>
      <c r="CQ9" s="856"/>
      <c r="CR9" s="856"/>
      <c r="CS9" s="856"/>
    </row>
    <row r="10" spans="2:102" s="38" customFormat="1" ht="13.5" customHeight="1">
      <c r="B10" s="1030" t="s">
        <v>27</v>
      </c>
      <c r="C10" s="103">
        <v>-1.9E-2</v>
      </c>
      <c r="D10" s="49">
        <f t="shared" ref="D10:J10" si="14">D9/C9-1</f>
        <v>-3.8380913505285386E-2</v>
      </c>
      <c r="E10" s="49">
        <f t="shared" si="14"/>
        <v>-1.2705122507890798E-2</v>
      </c>
      <c r="F10" s="49">
        <f t="shared" si="14"/>
        <v>-0.25252576523128811</v>
      </c>
      <c r="G10" s="118">
        <f t="shared" si="14"/>
        <v>-4.4744983452934317E-2</v>
      </c>
      <c r="H10" s="49">
        <f t="shared" si="14"/>
        <v>5.886142179579501E-3</v>
      </c>
      <c r="I10" s="49">
        <f t="shared" si="14"/>
        <v>1.4999999999999902E-2</v>
      </c>
      <c r="J10" s="49">
        <f t="shared" si="14"/>
        <v>3.7437426832467313E-3</v>
      </c>
      <c r="L10" s="688">
        <v>-4.5999999999999999E-2</v>
      </c>
      <c r="M10" s="49">
        <v>-2.1000000000000001E-2</v>
      </c>
      <c r="N10" s="49">
        <v>-1.6E-2</v>
      </c>
      <c r="O10" s="689">
        <v>-6.8000000000000005E-2</v>
      </c>
      <c r="P10" s="153">
        <f>P9/L9-1</f>
        <v>-4.649611605964199E-2</v>
      </c>
      <c r="Q10" s="153">
        <f t="shared" ref="Q10" si="15">Q9/M9-1</f>
        <v>-2.1153205842755152E-2</v>
      </c>
      <c r="R10" s="153">
        <f t="shared" ref="R10" si="16">R9/N9-1</f>
        <v>-1.5575579310686871E-2</v>
      </c>
      <c r="S10" s="298">
        <f t="shared" ref="S10" si="17">S9/O9-1</f>
        <v>-6.8291741880365464E-2</v>
      </c>
      <c r="T10" s="153">
        <f t="shared" ref="T10" si="18">T9/P9-1</f>
        <v>-2.8949094247781026E-2</v>
      </c>
      <c r="U10" s="153">
        <f t="shared" ref="U10" si="19">U9/Q9-1</f>
        <v>-2.7230321907009913E-2</v>
      </c>
      <c r="V10" s="153">
        <f t="shared" ref="V10" si="20">V9/R9-1</f>
        <v>-1.1430466635473646E-3</v>
      </c>
      <c r="W10" s="298">
        <f t="shared" ref="W10" si="21">W9/S9-1</f>
        <v>6.7558973600534422E-3</v>
      </c>
      <c r="X10" s="153">
        <f t="shared" ref="X10" si="22">X9/T9-1</f>
        <v>-0.25569933333933659</v>
      </c>
      <c r="Y10" s="153">
        <f t="shared" ref="Y10" si="23">Y9/U9-1</f>
        <v>-0.25107260249397179</v>
      </c>
      <c r="Z10" s="153">
        <f t="shared" ref="Z10" si="24">Z9/V9-1</f>
        <v>-0.27219633094975515</v>
      </c>
      <c r="AA10" s="298">
        <f t="shared" ref="AA10" si="25">AA9/W9-1</f>
        <v>-0.23132927291477534</v>
      </c>
      <c r="AB10" s="153">
        <f t="shared" ref="AB10" si="26">AB9/X9-1</f>
        <v>-1.3772049393868557E-2</v>
      </c>
      <c r="AC10" s="153">
        <f t="shared" ref="AC10" si="27">AC9/Y9-1</f>
        <v>-2.3556446963483801E-2</v>
      </c>
      <c r="AD10" s="153">
        <f t="shared" ref="AD10" si="28">AD9/Z9-1</f>
        <v>-2.031821551646884E-2</v>
      </c>
      <c r="AE10" s="298">
        <f t="shared" ref="AE10" si="29">AE9/AA9-1</f>
        <v>-0.11696939118735294</v>
      </c>
      <c r="AF10" s="286">
        <f t="shared" ref="AF10:AG10" si="30">AF9/AB9-1</f>
        <v>-1.799215705517454E-2</v>
      </c>
      <c r="AG10" s="153">
        <f t="shared" si="30"/>
        <v>2.4948024948023839E-3</v>
      </c>
      <c r="AH10" s="153">
        <f t="shared" ref="AH10" si="31">AH9/AD9-1</f>
        <v>2.0000000000000018E-2</v>
      </c>
      <c r="AI10" s="298">
        <f t="shared" ref="AI10" si="32">AI9/AE9-1</f>
        <v>2.0000000000000018E-2</v>
      </c>
      <c r="AJ10" s="286">
        <f t="shared" ref="AJ10" si="33">AJ9/AF9-1</f>
        <v>1.4999999999999902E-2</v>
      </c>
      <c r="AK10" s="153">
        <f t="shared" ref="AK10" si="34">AK9/AG9-1</f>
        <v>1.4999999999999902E-2</v>
      </c>
      <c r="AL10" s="153">
        <f t="shared" ref="AL10" si="35">AL9/AH9-1</f>
        <v>1.4999999999999902E-2</v>
      </c>
      <c r="AM10" s="298">
        <f t="shared" ref="AM10" si="36">AM9/AI9-1</f>
        <v>1.4999999999999902E-2</v>
      </c>
      <c r="AN10" s="286">
        <f t="shared" ref="AN10" si="37">AN9/AJ9-1</f>
        <v>1.4999999999999902E-2</v>
      </c>
      <c r="AO10" s="153">
        <f t="shared" ref="AO10" si="38">AO9/AK9-1</f>
        <v>1.4999999999999902E-2</v>
      </c>
      <c r="AP10" s="153">
        <f t="shared" ref="AP10" si="39">AP9/AL9-1</f>
        <v>1.4999999999999902E-2</v>
      </c>
      <c r="AQ10" s="298">
        <f t="shared" ref="AQ10" si="40">AQ9/AM9-1</f>
        <v>1.4999999999999902E-2</v>
      </c>
      <c r="AR10" s="171"/>
      <c r="AS10" s="176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16"/>
      <c r="BI10" s="716"/>
      <c r="BJ10" s="716"/>
      <c r="BK10" s="716"/>
      <c r="BL10" s="716"/>
      <c r="BM10" s="716"/>
      <c r="BN10" s="716"/>
      <c r="BO10" s="716"/>
      <c r="BP10" s="716"/>
      <c r="BQ10" s="716"/>
      <c r="BR10" s="716"/>
      <c r="BS10" s="716"/>
      <c r="BT10" s="716"/>
      <c r="BU10" s="716"/>
      <c r="BV10" s="716"/>
      <c r="BW10" s="716"/>
      <c r="BX10" s="716"/>
      <c r="BY10" s="716"/>
      <c r="BZ10" s="716"/>
      <c r="CA10" s="716"/>
      <c r="CB10" s="716"/>
      <c r="CC10" s="716"/>
      <c r="CD10" s="716"/>
      <c r="CE10" s="716"/>
      <c r="CF10" s="716"/>
      <c r="CG10" s="716"/>
      <c r="CH10" s="716"/>
      <c r="CI10" s="716"/>
      <c r="CJ10" s="716"/>
      <c r="CK10" s="716"/>
      <c r="CL10" s="716"/>
      <c r="CM10" s="716"/>
      <c r="CN10" s="716"/>
      <c r="CO10" s="716"/>
      <c r="CP10" s="716"/>
      <c r="CQ10" s="716"/>
      <c r="CR10" s="716"/>
      <c r="CS10" s="716"/>
    </row>
    <row r="11" spans="2:102" s="143" customFormat="1" ht="13.5" customHeight="1">
      <c r="B11" s="1114" t="s">
        <v>47</v>
      </c>
      <c r="C11" s="141">
        <f>SUM(L11:O11)</f>
        <v>327.67399999999998</v>
      </c>
      <c r="D11" s="141">
        <f>SUM(P11:S11)</f>
        <v>333.60599999999999</v>
      </c>
      <c r="E11" s="141">
        <f>SUM(T11:W11)</f>
        <v>329.16499999999996</v>
      </c>
      <c r="F11" s="141">
        <f>SUM(X11:AA11)</f>
        <v>371.584</v>
      </c>
      <c r="G11" s="144">
        <f>SUM(AB11:AE11)</f>
        <v>382.87099999999998</v>
      </c>
      <c r="H11" s="145">
        <f>SUM(AF11:AI11)</f>
        <v>377.18450000000001</v>
      </c>
      <c r="I11" s="145">
        <f>SUM(AJ11:AM11)</f>
        <v>384.73838999999998</v>
      </c>
      <c r="J11" s="145">
        <f>SUM(AK11:AN11)</f>
        <v>386.496666</v>
      </c>
      <c r="L11" s="280">
        <v>72.825999999999993</v>
      </c>
      <c r="M11" s="145">
        <v>82.63</v>
      </c>
      <c r="N11" s="145">
        <v>89.631</v>
      </c>
      <c r="O11" s="292">
        <v>82.587000000000003</v>
      </c>
      <c r="P11" s="145">
        <v>72.611000000000004</v>
      </c>
      <c r="Q11" s="145">
        <v>82.53</v>
      </c>
      <c r="R11" s="145">
        <v>94.572000000000003</v>
      </c>
      <c r="S11" s="292">
        <v>83.893000000000001</v>
      </c>
      <c r="T11" s="145">
        <v>75.426000000000002</v>
      </c>
      <c r="U11" s="145">
        <v>81.995000000000005</v>
      </c>
      <c r="V11" s="145">
        <v>95.16</v>
      </c>
      <c r="W11" s="292">
        <v>76.584000000000003</v>
      </c>
      <c r="X11" s="145">
        <v>82.671999999999997</v>
      </c>
      <c r="Y11" s="145">
        <v>91.141999999999996</v>
      </c>
      <c r="Z11" s="145">
        <v>105.517</v>
      </c>
      <c r="AA11" s="292">
        <v>92.253</v>
      </c>
      <c r="AB11" s="145">
        <v>88.18</v>
      </c>
      <c r="AC11" s="145">
        <v>95.856999999999999</v>
      </c>
      <c r="AD11" s="145">
        <v>103.485</v>
      </c>
      <c r="AE11" s="292">
        <v>95.349000000000004</v>
      </c>
      <c r="AF11" s="280">
        <v>86.19</v>
      </c>
      <c r="AG11" s="174">
        <v>92.12</v>
      </c>
      <c r="AH11" s="659">
        <f>'Segments+SG&amp;A'!V29</f>
        <v>101.61852</v>
      </c>
      <c r="AI11" s="673">
        <f>'Segments+SG&amp;A'!W29</f>
        <v>97.255980000000008</v>
      </c>
      <c r="AJ11" s="680">
        <f>'Segments+SG&amp;A'!X29</f>
        <v>87.913799999999995</v>
      </c>
      <c r="AK11" s="659">
        <f>'Segments+SG&amp;A'!Y29</f>
        <v>93.9726</v>
      </c>
      <c r="AL11" s="659">
        <f>'Segments+SG&amp;A'!Z29</f>
        <v>103.65089040000001</v>
      </c>
      <c r="AM11" s="673">
        <f>'Segments+SG&amp;A'!AA29</f>
        <v>99.201099600000006</v>
      </c>
      <c r="AN11" s="680">
        <f>'Segments+SG&amp;A'!AB29</f>
        <v>89.67207599999999</v>
      </c>
      <c r="AO11" s="659">
        <f>'Segments+SG&amp;A'!AC29</f>
        <v>95.852052</v>
      </c>
      <c r="AP11" s="659">
        <f>'Segments+SG&amp;A'!AD29</f>
        <v>105.72390820800001</v>
      </c>
      <c r="AQ11" s="673">
        <f>'Segments+SG&amp;A'!AE29</f>
        <v>101.185121592</v>
      </c>
      <c r="AR11" s="145"/>
      <c r="AS11" s="175"/>
      <c r="AT11" s="141"/>
      <c r="AU11" s="141"/>
      <c r="AV11" s="141"/>
      <c r="AW11" s="141"/>
      <c r="AX11" s="141"/>
      <c r="AY11" s="141"/>
      <c r="AZ11" s="141"/>
      <c r="BA11" s="141"/>
      <c r="BB11" s="141"/>
      <c r="BC11" s="141"/>
      <c r="BD11" s="141"/>
      <c r="BE11" s="141"/>
      <c r="BF11" s="141"/>
      <c r="BG11" s="141"/>
      <c r="BH11" s="856"/>
      <c r="BI11" s="856"/>
      <c r="BJ11" s="856"/>
      <c r="BK11" s="856"/>
      <c r="BL11" s="856"/>
      <c r="BM11" s="856"/>
      <c r="BN11" s="856"/>
      <c r="BO11" s="856"/>
      <c r="BP11" s="856"/>
      <c r="BQ11" s="856"/>
      <c r="BR11" s="856"/>
      <c r="BS11" s="856"/>
      <c r="BT11" s="856"/>
      <c r="BU11" s="856"/>
      <c r="BV11" s="856"/>
      <c r="BW11" s="856"/>
      <c r="BX11" s="856"/>
      <c r="BY11" s="856"/>
      <c r="BZ11" s="856"/>
      <c r="CA11" s="856"/>
      <c r="CB11" s="856"/>
      <c r="CC11" s="856"/>
      <c r="CD11" s="856"/>
      <c r="CE11" s="856"/>
      <c r="CF11" s="856"/>
      <c r="CG11" s="856"/>
      <c r="CH11" s="856"/>
      <c r="CI11" s="856"/>
      <c r="CJ11" s="856"/>
      <c r="CK11" s="856"/>
      <c r="CL11" s="856"/>
      <c r="CM11" s="856"/>
      <c r="CN11" s="856"/>
      <c r="CO11" s="856"/>
      <c r="CP11" s="856"/>
      <c r="CQ11" s="856"/>
      <c r="CR11" s="856"/>
      <c r="CS11" s="856"/>
    </row>
    <row r="12" spans="2:102" s="38" customFormat="1" ht="13.5" customHeight="1">
      <c r="B12" s="1030" t="s">
        <v>27</v>
      </c>
      <c r="C12" s="103">
        <v>-7.2999999999999995E-2</v>
      </c>
      <c r="D12" s="49">
        <f t="shared" ref="D12:J12" si="41">D11/C11-1</f>
        <v>1.8103358826150329E-2</v>
      </c>
      <c r="E12" s="49">
        <f t="shared" si="41"/>
        <v>-1.3312110693452839E-2</v>
      </c>
      <c r="F12" s="49">
        <f t="shared" si="41"/>
        <v>0.12886850060000321</v>
      </c>
      <c r="G12" s="118">
        <f t="shared" si="41"/>
        <v>3.0375366000688908E-2</v>
      </c>
      <c r="H12" s="49">
        <f t="shared" si="41"/>
        <v>-1.4852260944286599E-2</v>
      </c>
      <c r="I12" s="49">
        <f t="shared" si="41"/>
        <v>2.0027042468606204E-2</v>
      </c>
      <c r="J12" s="49">
        <f t="shared" si="41"/>
        <v>4.5700560321002559E-3</v>
      </c>
      <c r="L12" s="688">
        <v>-3.0000000000000001E-3</v>
      </c>
      <c r="M12" s="49">
        <v>-1E-3</v>
      </c>
      <c r="N12" s="49">
        <v>5.5E-2</v>
      </c>
      <c r="O12" s="689">
        <v>1.6E-2</v>
      </c>
      <c r="P12" s="153">
        <f>P11/L11-1</f>
        <v>-2.9522423310355261E-3</v>
      </c>
      <c r="Q12" s="153">
        <f t="shared" ref="Q12" si="42">Q11/M11-1</f>
        <v>-1.2102142079147837E-3</v>
      </c>
      <c r="R12" s="153">
        <f t="shared" ref="R12" si="43">R11/N11-1</f>
        <v>5.5126016668340272E-2</v>
      </c>
      <c r="S12" s="298">
        <f t="shared" ref="S12" si="44">S11/O11-1</f>
        <v>1.5813626841996831E-2</v>
      </c>
      <c r="T12" s="153">
        <f t="shared" ref="T12" si="45">T11/P11-1</f>
        <v>3.8768230708845719E-2</v>
      </c>
      <c r="U12" s="153">
        <f t="shared" ref="U12" si="46">U11/Q11-1</f>
        <v>-6.4824912153156333E-3</v>
      </c>
      <c r="V12" s="153">
        <f t="shared" ref="V12" si="47">V11/R11-1</f>
        <v>6.217485090724395E-3</v>
      </c>
      <c r="W12" s="298">
        <f t="shared" ref="W12" si="48">W11/S11-1</f>
        <v>-8.7122882719654737E-2</v>
      </c>
      <c r="X12" s="153">
        <f t="shared" ref="X12" si="49">X11/T11-1</f>
        <v>9.6067668973563336E-2</v>
      </c>
      <c r="Y12" s="153">
        <f t="shared" ref="Y12" si="50">Y11/U11-1</f>
        <v>0.111555582657479</v>
      </c>
      <c r="Z12" s="153">
        <f t="shared" ref="Z12" si="51">Z11/V11-1</f>
        <v>0.10883774695250104</v>
      </c>
      <c r="AA12" s="298">
        <f t="shared" ref="AA12" si="52">AA11/W11-1</f>
        <v>0.20459887182701353</v>
      </c>
      <c r="AB12" s="153">
        <f t="shared" ref="AB12" si="53">AB11/X11-1</f>
        <v>6.6624733888136278E-2</v>
      </c>
      <c r="AC12" s="153">
        <f t="shared" ref="AC12" si="54">AC11/Y11-1</f>
        <v>5.1732461433806609E-2</v>
      </c>
      <c r="AD12" s="153">
        <f t="shared" ref="AD12" si="55">AD11/Z11-1</f>
        <v>-1.9257560393111994E-2</v>
      </c>
      <c r="AE12" s="298">
        <f t="shared" ref="AE12" si="56">AE11/AA11-1</f>
        <v>3.35598842314071E-2</v>
      </c>
      <c r="AF12" s="286">
        <f t="shared" ref="AF12:AG12" si="57">AF11/AB11-1</f>
        <v>-2.2567475618054056E-2</v>
      </c>
      <c r="AG12" s="153">
        <f t="shared" si="57"/>
        <v>-3.8985154970424651E-2</v>
      </c>
      <c r="AH12" s="153">
        <f t="shared" ref="AH12" si="58">AH11/AD11-1</f>
        <v>-1.8036237135816702E-2</v>
      </c>
      <c r="AI12" s="298">
        <f t="shared" ref="AI12" si="59">AI11/AE11-1</f>
        <v>2.0000000000000018E-2</v>
      </c>
      <c r="AJ12" s="286">
        <f t="shared" ref="AJ12" si="60">AJ11/AF11-1</f>
        <v>2.0000000000000018E-2</v>
      </c>
      <c r="AK12" s="153">
        <f t="shared" ref="AK12" si="61">AK11/AG11-1</f>
        <v>2.0110725141120334E-2</v>
      </c>
      <c r="AL12" s="153">
        <f t="shared" ref="AL12" si="62">AL11/AH11-1</f>
        <v>2.0000000000000018E-2</v>
      </c>
      <c r="AM12" s="298">
        <f t="shared" ref="AM12" si="63">AM11/AI11-1</f>
        <v>2.0000000000000018E-2</v>
      </c>
      <c r="AN12" s="286">
        <f t="shared" ref="AN12" si="64">AN11/AJ11-1</f>
        <v>2.0000000000000018E-2</v>
      </c>
      <c r="AO12" s="153">
        <f t="shared" ref="AO12" si="65">AO11/AK11-1</f>
        <v>2.0000000000000018E-2</v>
      </c>
      <c r="AP12" s="153">
        <f t="shared" ref="AP12" si="66">AP11/AL11-1</f>
        <v>2.0000000000000018E-2</v>
      </c>
      <c r="AQ12" s="298">
        <f t="shared" ref="AQ12" si="67">AQ11/AM11-1</f>
        <v>2.0000000000000018E-2</v>
      </c>
      <c r="AR12" s="171"/>
      <c r="AS12" s="176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16"/>
      <c r="BI12" s="716"/>
      <c r="BJ12" s="716"/>
      <c r="BK12" s="716"/>
      <c r="BL12" s="716"/>
      <c r="BM12" s="716"/>
      <c r="BN12" s="716"/>
      <c r="BO12" s="716"/>
      <c r="BP12" s="716"/>
      <c r="BQ12" s="716"/>
      <c r="BR12" s="716"/>
      <c r="BS12" s="716"/>
      <c r="BT12" s="716"/>
      <c r="BU12" s="716"/>
      <c r="BV12" s="716"/>
      <c r="BW12" s="716"/>
      <c r="BX12" s="716"/>
      <c r="BY12" s="716"/>
      <c r="BZ12" s="716"/>
      <c r="CA12" s="716"/>
      <c r="CB12" s="716"/>
      <c r="CC12" s="716"/>
      <c r="CD12" s="716"/>
      <c r="CE12" s="716"/>
      <c r="CF12" s="716"/>
      <c r="CG12" s="716"/>
      <c r="CH12" s="716"/>
      <c r="CI12" s="716"/>
      <c r="CJ12" s="716"/>
      <c r="CK12" s="716"/>
      <c r="CL12" s="716"/>
      <c r="CM12" s="716"/>
      <c r="CN12" s="716"/>
      <c r="CO12" s="716"/>
      <c r="CP12" s="716"/>
      <c r="CQ12" s="716"/>
      <c r="CR12" s="716"/>
      <c r="CS12" s="716"/>
    </row>
    <row r="13" spans="2:102" s="139" customFormat="1" ht="13.5" customHeight="1">
      <c r="B13" s="1114" t="s">
        <v>142</v>
      </c>
      <c r="C13" s="104">
        <f>SUM(L13:O13)</f>
        <v>-11.962000000000002</v>
      </c>
      <c r="D13" s="104">
        <f>SUM(P13:S13)</f>
        <v>-13.632999999999999</v>
      </c>
      <c r="E13" s="104">
        <f>SUM(T13:W13)</f>
        <v>-14.445</v>
      </c>
      <c r="F13" s="104">
        <f>SUM(X13:AA13)</f>
        <v>-22.776</v>
      </c>
      <c r="G13" s="119">
        <f>SUM(AB13:AE13)</f>
        <v>-10.898</v>
      </c>
      <c r="H13" s="105">
        <f>SUM(AF13:AI13)</f>
        <v>0</v>
      </c>
      <c r="I13" s="105">
        <f>SUM(AJ13:AM13)</f>
        <v>0</v>
      </c>
      <c r="J13" s="105">
        <f>SUM(AK13:AN13)</f>
        <v>0</v>
      </c>
      <c r="L13" s="281">
        <v>-3.161</v>
      </c>
      <c r="M13" s="105">
        <v>-3.1680000000000001</v>
      </c>
      <c r="N13" s="105">
        <v>-2.8450000000000002</v>
      </c>
      <c r="O13" s="293">
        <v>-2.7879999999999998</v>
      </c>
      <c r="P13" s="105">
        <v>-3.13</v>
      </c>
      <c r="Q13" s="105">
        <v>-3.5630000000000002</v>
      </c>
      <c r="R13" s="105">
        <v>-3.6720000000000002</v>
      </c>
      <c r="S13" s="293">
        <v>-3.2679999999999998</v>
      </c>
      <c r="T13" s="105">
        <v>-3.218</v>
      </c>
      <c r="U13" s="105">
        <v>-3.6829999999999998</v>
      </c>
      <c r="V13" s="105">
        <v>-4.1289999999999996</v>
      </c>
      <c r="W13" s="293">
        <v>-3.415</v>
      </c>
      <c r="X13" s="105">
        <v>-7.1970000000000001</v>
      </c>
      <c r="Y13" s="105">
        <v>-7.8890000000000002</v>
      </c>
      <c r="Z13" s="105">
        <v>-7.69</v>
      </c>
      <c r="AA13" s="293">
        <v>0</v>
      </c>
      <c r="AB13" s="105">
        <v>-3.282</v>
      </c>
      <c r="AC13" s="105">
        <v>-3.7570000000000001</v>
      </c>
      <c r="AD13" s="105">
        <v>-3.859</v>
      </c>
      <c r="AE13" s="293">
        <v>0</v>
      </c>
      <c r="AF13" s="281">
        <v>0</v>
      </c>
      <c r="AG13" s="177">
        <v>0</v>
      </c>
      <c r="AH13" s="177">
        <v>0</v>
      </c>
      <c r="AI13" s="310">
        <v>0</v>
      </c>
      <c r="AJ13" s="681">
        <v>0</v>
      </c>
      <c r="AK13" s="177">
        <v>0</v>
      </c>
      <c r="AL13" s="177">
        <v>0</v>
      </c>
      <c r="AM13" s="310">
        <v>0</v>
      </c>
      <c r="AN13" s="681">
        <v>0</v>
      </c>
      <c r="AO13" s="177">
        <v>0</v>
      </c>
      <c r="AP13" s="177">
        <v>0</v>
      </c>
      <c r="AQ13" s="310">
        <v>0</v>
      </c>
      <c r="AR13" s="105"/>
      <c r="AS13" s="178"/>
      <c r="AT13" s="104"/>
      <c r="AU13" s="104"/>
      <c r="AV13" s="104"/>
      <c r="AW13" s="104"/>
      <c r="AX13" s="104"/>
      <c r="AY13" s="104"/>
      <c r="AZ13" s="104"/>
      <c r="BA13" s="104"/>
      <c r="BB13" s="104"/>
      <c r="BC13" s="104"/>
      <c r="BD13" s="104"/>
      <c r="BE13" s="104"/>
      <c r="BF13" s="104"/>
      <c r="BG13" s="104"/>
      <c r="BH13" s="857"/>
      <c r="BI13" s="857"/>
      <c r="BJ13" s="857"/>
      <c r="BK13" s="857"/>
      <c r="BL13" s="857"/>
      <c r="BM13" s="857"/>
      <c r="BN13" s="857"/>
      <c r="BO13" s="857"/>
      <c r="BP13" s="857"/>
      <c r="BQ13" s="857"/>
      <c r="BR13" s="857"/>
      <c r="BS13" s="857"/>
      <c r="BT13" s="857"/>
      <c r="BU13" s="857"/>
      <c r="BV13" s="857"/>
      <c r="BW13" s="857"/>
      <c r="BX13" s="857"/>
      <c r="BY13" s="857"/>
      <c r="BZ13" s="857"/>
      <c r="CA13" s="857"/>
      <c r="CB13" s="857"/>
      <c r="CC13" s="857"/>
      <c r="CD13" s="857"/>
      <c r="CE13" s="857"/>
      <c r="CF13" s="857"/>
      <c r="CG13" s="857"/>
      <c r="CH13" s="857"/>
      <c r="CI13" s="857"/>
      <c r="CJ13" s="857"/>
      <c r="CK13" s="857"/>
      <c r="CL13" s="857"/>
      <c r="CM13" s="857"/>
      <c r="CN13" s="857"/>
      <c r="CO13" s="857"/>
      <c r="CP13" s="857"/>
      <c r="CQ13" s="857"/>
      <c r="CR13" s="857"/>
      <c r="CS13" s="857"/>
    </row>
    <row r="14" spans="2:102" s="139" customFormat="1" ht="13.5" customHeight="1">
      <c r="B14" s="1114" t="s">
        <v>80</v>
      </c>
      <c r="C14" s="104">
        <f>SUM(L14:O14)</f>
        <v>516.66600000000005</v>
      </c>
      <c r="D14" s="104">
        <f>SUM(P14:S14)</f>
        <v>509.84900000000005</v>
      </c>
      <c r="E14" s="104">
        <f>SUM(T14:W14)</f>
        <v>509.81600000000003</v>
      </c>
      <c r="F14" s="104">
        <f>SUM(X14:AA14)</f>
        <v>421.78099999999995</v>
      </c>
      <c r="G14" s="119">
        <f>SUM(AB14:AE14)</f>
        <v>445.05200000000002</v>
      </c>
      <c r="H14" s="105">
        <f>SUM(AF14:AI14)</f>
        <v>457.10487000000001</v>
      </c>
      <c r="I14" s="105">
        <f>SUM(AJ14:AM14)</f>
        <v>457.83844958400005</v>
      </c>
      <c r="J14" s="105">
        <f>SUM(AK14:AN14)</f>
        <v>455.90179681775004</v>
      </c>
      <c r="L14" s="282">
        <v>125.494</v>
      </c>
      <c r="M14" s="179">
        <v>123.31</v>
      </c>
      <c r="N14" s="179">
        <v>134.24100000000001</v>
      </c>
      <c r="O14" s="294">
        <v>133.62100000000001</v>
      </c>
      <c r="P14" s="179">
        <v>122.169</v>
      </c>
      <c r="Q14" s="179">
        <v>124.131</v>
      </c>
      <c r="R14" s="179">
        <v>135.001</v>
      </c>
      <c r="S14" s="294">
        <v>128.548</v>
      </c>
      <c r="T14" s="179">
        <v>121.087</v>
      </c>
      <c r="U14" s="179">
        <v>125.842</v>
      </c>
      <c r="V14" s="179">
        <v>137.65700000000001</v>
      </c>
      <c r="W14" s="294">
        <v>125.23</v>
      </c>
      <c r="X14" s="179">
        <v>97.754000000000005</v>
      </c>
      <c r="Y14" s="179">
        <v>98.063999999999993</v>
      </c>
      <c r="Z14" s="179">
        <v>113.955</v>
      </c>
      <c r="AA14" s="294">
        <v>112.008</v>
      </c>
      <c r="AB14" s="179">
        <v>104.505</v>
      </c>
      <c r="AC14" s="179">
        <v>111.071</v>
      </c>
      <c r="AD14" s="179">
        <v>117.751</v>
      </c>
      <c r="AE14" s="294">
        <v>111.72499999999999</v>
      </c>
      <c r="AF14" s="282">
        <v>113.46299999999999</v>
      </c>
      <c r="AG14" s="179">
        <v>116.01</v>
      </c>
      <c r="AH14" s="660">
        <f>'Segments+SG&amp;A'!V10+'Segments+SG&amp;A'!V30</f>
        <v>116.20303080000001</v>
      </c>
      <c r="AI14" s="674">
        <f>'Segments+SG&amp;A'!W10+'Segments+SG&amp;A'!W30</f>
        <v>111.4288392</v>
      </c>
      <c r="AJ14" s="682">
        <f>'Segments+SG&amp;A'!X10+'Segments+SG&amp;A'!X30</f>
        <v>109.97016289999999</v>
      </c>
      <c r="AK14" s="660">
        <f>'Segments+SG&amp;A'!Y10+'Segments+SG&amp;A'!Y30</f>
        <v>113.43176800000001</v>
      </c>
      <c r="AL14" s="660">
        <f>'Segments+SG&amp;A'!Z10+'Segments+SG&amp;A'!Z30</f>
        <v>119.67389598000001</v>
      </c>
      <c r="AM14" s="674">
        <f>'Segments+SG&amp;A'!AA10+'Segments+SG&amp;A'!AA30</f>
        <v>114.76262270399999</v>
      </c>
      <c r="AN14" s="682">
        <f>'Segments+SG&amp;A'!AB10+'Segments+SG&amp;A'!AB30</f>
        <v>108.03351013374999</v>
      </c>
      <c r="AO14" s="660">
        <f>'Segments+SG&amp;A'!AC10+'Segments+SG&amp;A'!AC30</f>
        <v>111.46061865499999</v>
      </c>
      <c r="AP14" s="660">
        <f>'Segments+SG&amp;A'!AD10+'Segments+SG&amp;A'!AD30</f>
        <v>117.63051265887</v>
      </c>
      <c r="AQ14" s="674">
        <f>'Segments+SG&amp;A'!AE10+'Segments+SG&amp;A'!AE30</f>
        <v>112.80152080712998</v>
      </c>
      <c r="AR14" s="105"/>
      <c r="AS14" s="178"/>
      <c r="AT14" s="104"/>
      <c r="AU14" s="104"/>
      <c r="AV14" s="104"/>
      <c r="AW14" s="104"/>
      <c r="AX14" s="104"/>
      <c r="AY14" s="104"/>
      <c r="AZ14" s="104"/>
      <c r="BA14" s="104"/>
      <c r="BB14" s="104"/>
      <c r="BC14" s="104"/>
      <c r="BD14" s="104"/>
      <c r="BE14" s="104"/>
      <c r="BF14" s="104"/>
      <c r="BG14" s="104"/>
      <c r="BH14" s="857"/>
      <c r="BI14" s="857"/>
      <c r="BJ14" s="857"/>
      <c r="BK14" s="857"/>
      <c r="BL14" s="857"/>
      <c r="BM14" s="857"/>
      <c r="BN14" s="857"/>
      <c r="BO14" s="857"/>
      <c r="BP14" s="857"/>
      <c r="BQ14" s="857"/>
      <c r="BR14" s="857"/>
      <c r="BS14" s="857"/>
      <c r="BT14" s="857"/>
      <c r="BU14" s="857"/>
      <c r="BV14" s="857"/>
      <c r="BW14" s="857"/>
      <c r="BX14" s="857"/>
      <c r="BY14" s="857"/>
      <c r="BZ14" s="857"/>
      <c r="CA14" s="857"/>
      <c r="CB14" s="857"/>
      <c r="CC14" s="857"/>
      <c r="CD14" s="857"/>
      <c r="CE14" s="857"/>
      <c r="CF14" s="857"/>
      <c r="CG14" s="857"/>
      <c r="CH14" s="857"/>
      <c r="CI14" s="857"/>
      <c r="CJ14" s="857"/>
      <c r="CK14" s="857"/>
      <c r="CL14" s="857"/>
      <c r="CM14" s="857"/>
      <c r="CN14" s="857"/>
      <c r="CO14" s="857"/>
      <c r="CP14" s="857"/>
      <c r="CQ14" s="857"/>
      <c r="CR14" s="857"/>
      <c r="CS14" s="857"/>
    </row>
    <row r="15" spans="2:102" s="139" customFormat="1" ht="13.5" customHeight="1">
      <c r="B15" s="1114" t="s">
        <v>48</v>
      </c>
      <c r="C15" s="104">
        <f>SUM(L15:O15)</f>
        <v>596.89199999999994</v>
      </c>
      <c r="D15" s="104">
        <f>SUM(P15:S15)</f>
        <v>559.1930000000001</v>
      </c>
      <c r="E15" s="104">
        <f>SUM(T15:W15)</f>
        <v>535.06899999999996</v>
      </c>
      <c r="F15" s="104">
        <f>SUM(X15:AA15)</f>
        <v>413.67099999999999</v>
      </c>
      <c r="G15" s="119">
        <f>SUM(AB15:AE15)</f>
        <v>401.255</v>
      </c>
      <c r="H15" s="105">
        <f>SUM(AF15:AI15)</f>
        <v>403.35969689999996</v>
      </c>
      <c r="I15" s="105">
        <f>SUM(AG15:AJ15)</f>
        <v>398.55135395000002</v>
      </c>
      <c r="J15" s="105">
        <f>SUM(AH15:AK15)</f>
        <v>396.26358195</v>
      </c>
      <c r="L15" s="675">
        <v>150.05099999999999</v>
      </c>
      <c r="M15" s="690">
        <v>149.81299999999999</v>
      </c>
      <c r="N15" s="690">
        <v>144.608</v>
      </c>
      <c r="O15" s="691">
        <v>152.41999999999999</v>
      </c>
      <c r="P15" s="179">
        <v>144.09800000000001</v>
      </c>
      <c r="Q15" s="179">
        <v>140.083</v>
      </c>
      <c r="R15" s="179">
        <v>141.28200000000001</v>
      </c>
      <c r="S15" s="294">
        <v>133.72999999999999</v>
      </c>
      <c r="T15" s="179">
        <v>133.423</v>
      </c>
      <c r="U15" s="179">
        <v>132.42400000000001</v>
      </c>
      <c r="V15" s="179">
        <v>133.57499999999999</v>
      </c>
      <c r="W15" s="294">
        <v>135.64699999999999</v>
      </c>
      <c r="X15" s="179">
        <v>100.60899999999999</v>
      </c>
      <c r="Y15" s="179">
        <v>101.47</v>
      </c>
      <c r="Z15" s="179">
        <v>102.946</v>
      </c>
      <c r="AA15" s="294">
        <v>108.646</v>
      </c>
      <c r="AB15" s="179">
        <v>101.712</v>
      </c>
      <c r="AC15" s="179">
        <v>100.65600000000001</v>
      </c>
      <c r="AD15" s="179">
        <v>102.422</v>
      </c>
      <c r="AE15" s="294">
        <v>96.465000000000003</v>
      </c>
      <c r="AF15" s="675">
        <v>104.22799999999999</v>
      </c>
      <c r="AG15" s="676">
        <v>102.7</v>
      </c>
      <c r="AH15" s="677">
        <f>'Segments+SG&amp;A'!V11+'Segments+SG&amp;A'!V31</f>
        <v>100.21032839999999</v>
      </c>
      <c r="AI15" s="678">
        <f>'Segments+SG&amp;A'!W11+'Segments+SG&amp;A'!W31</f>
        <v>96.221368499999997</v>
      </c>
      <c r="AJ15" s="683">
        <f>'Segments+SG&amp;A'!X11+'Segments+SG&amp;A'!X31</f>
        <v>99.419657049999998</v>
      </c>
      <c r="AK15" s="677">
        <f>'Segments+SG&amp;A'!Y11+'Segments+SG&amp;A'!Y31</f>
        <v>100.412228</v>
      </c>
      <c r="AL15" s="677">
        <f>'Segments+SG&amp;A'!Z11+'Segments+SG&amp;A'!Z31</f>
        <v>103.011812358</v>
      </c>
      <c r="AM15" s="678">
        <f>'Segments+SG&amp;A'!AA11+'Segments+SG&amp;A'!AA31</f>
        <v>98.911633799999976</v>
      </c>
      <c r="AN15" s="683">
        <f>'Segments+SG&amp;A'!AB11+'Segments+SG&amp;A'!AB31</f>
        <v>100.77776249874998</v>
      </c>
      <c r="AO15" s="677">
        <f>'Segments+SG&amp;A'!AC11+'Segments+SG&amp;A'!AC31</f>
        <v>101.77604293099998</v>
      </c>
      <c r="AP15" s="677">
        <f>'Segments+SG&amp;A'!AD11+'Segments+SG&amp;A'!AD31</f>
        <v>104.39995844441398</v>
      </c>
      <c r="AQ15" s="678">
        <f>'Segments+SG&amp;A'!AE11+'Segments+SG&amp;A'!AE31</f>
        <v>100.24501864110597</v>
      </c>
      <c r="AR15" s="105"/>
      <c r="AS15" s="178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857"/>
      <c r="BI15" s="857"/>
      <c r="BJ15" s="857"/>
      <c r="BK15" s="857"/>
      <c r="BL15" s="857"/>
      <c r="BM15" s="857"/>
      <c r="BN15" s="857"/>
      <c r="BO15" s="857"/>
      <c r="BP15" s="857"/>
      <c r="BQ15" s="857"/>
      <c r="BR15" s="857"/>
      <c r="BS15" s="857"/>
      <c r="BT15" s="857"/>
      <c r="BU15" s="857"/>
      <c r="BV15" s="857"/>
      <c r="BW15" s="857"/>
      <c r="BX15" s="857"/>
      <c r="BY15" s="857"/>
      <c r="BZ15" s="857"/>
      <c r="CA15" s="857"/>
      <c r="CB15" s="857"/>
      <c r="CC15" s="857"/>
      <c r="CD15" s="857"/>
      <c r="CE15" s="857"/>
      <c r="CF15" s="857"/>
      <c r="CG15" s="857"/>
      <c r="CH15" s="857"/>
      <c r="CI15" s="857"/>
      <c r="CJ15" s="857"/>
      <c r="CK15" s="857"/>
      <c r="CL15" s="857"/>
      <c r="CM15" s="857"/>
      <c r="CN15" s="857"/>
      <c r="CO15" s="857"/>
      <c r="CP15" s="857"/>
      <c r="CQ15" s="857"/>
      <c r="CR15" s="857"/>
      <c r="CS15" s="857"/>
    </row>
    <row r="16" spans="2:102" s="53" customFormat="1" ht="13.5" customHeight="1">
      <c r="B16" s="714" t="s">
        <v>9</v>
      </c>
      <c r="C16" s="146">
        <f t="shared" ref="C16:J16" si="68">C7-C14-C15</f>
        <v>613.24599999999998</v>
      </c>
      <c r="D16" s="146">
        <f t="shared" si="68"/>
        <v>607.86400000000015</v>
      </c>
      <c r="E16" s="146">
        <f t="shared" si="68"/>
        <v>609.52800000000002</v>
      </c>
      <c r="F16" s="146">
        <f t="shared" si="68"/>
        <v>514.74199999999996</v>
      </c>
      <c r="G16" s="147">
        <f t="shared" si="68"/>
        <v>482.24500000000012</v>
      </c>
      <c r="H16" s="146">
        <f t="shared" si="68"/>
        <v>478.92949310000012</v>
      </c>
      <c r="I16" s="146">
        <f t="shared" si="68"/>
        <v>504.99128986599976</v>
      </c>
      <c r="J16" s="146">
        <f t="shared" si="68"/>
        <v>514.63028960724989</v>
      </c>
      <c r="L16" s="306">
        <f t="shared" ref="L16:AQ16" si="69">L7-L14-L15</f>
        <v>153.93500000000012</v>
      </c>
      <c r="M16" s="307">
        <f t="shared" si="69"/>
        <v>151.72399999999999</v>
      </c>
      <c r="N16" s="307">
        <f t="shared" si="69"/>
        <v>150.97399999999999</v>
      </c>
      <c r="O16" s="308">
        <f t="shared" si="69"/>
        <v>156.61300000000003</v>
      </c>
      <c r="P16" s="307">
        <f t="shared" si="69"/>
        <v>146.29899999999998</v>
      </c>
      <c r="Q16" s="307">
        <f t="shared" si="69"/>
        <v>152.83200000000008</v>
      </c>
      <c r="R16" s="307">
        <f t="shared" si="69"/>
        <v>152.31099999999995</v>
      </c>
      <c r="S16" s="308">
        <f t="shared" si="69"/>
        <v>156.422</v>
      </c>
      <c r="T16" s="307">
        <f t="shared" si="69"/>
        <v>150.851</v>
      </c>
      <c r="U16" s="307">
        <f t="shared" si="69"/>
        <v>148.91900000000001</v>
      </c>
      <c r="V16" s="307">
        <f t="shared" si="69"/>
        <v>157.10699999999991</v>
      </c>
      <c r="W16" s="308">
        <f t="shared" si="69"/>
        <v>152.65100000000001</v>
      </c>
      <c r="X16" s="307">
        <f t="shared" si="69"/>
        <v>125.07800000000002</v>
      </c>
      <c r="Y16" s="307">
        <f t="shared" si="69"/>
        <v>130.02099999999996</v>
      </c>
      <c r="Z16" s="307">
        <f t="shared" si="69"/>
        <v>126.41999999999999</v>
      </c>
      <c r="AA16" s="308">
        <f t="shared" si="69"/>
        <v>133.22300000000001</v>
      </c>
      <c r="AB16" s="307">
        <f t="shared" si="69"/>
        <v>123.23200000000001</v>
      </c>
      <c r="AC16" s="307">
        <f t="shared" si="69"/>
        <v>120.87299999999996</v>
      </c>
      <c r="AD16" s="307">
        <f t="shared" si="69"/>
        <v>119.959</v>
      </c>
      <c r="AE16" s="308">
        <f t="shared" si="69"/>
        <v>118.18099999999998</v>
      </c>
      <c r="AF16" s="307">
        <f t="shared" si="69"/>
        <v>108.65000000000002</v>
      </c>
      <c r="AG16" s="307">
        <f t="shared" si="69"/>
        <v>114.51000000000003</v>
      </c>
      <c r="AH16" s="307">
        <f t="shared" si="69"/>
        <v>130.5212808</v>
      </c>
      <c r="AI16" s="308">
        <f t="shared" si="69"/>
        <v>125.24821229999999</v>
      </c>
      <c r="AJ16" s="307">
        <f t="shared" si="69"/>
        <v>122.27724504999999</v>
      </c>
      <c r="AK16" s="307">
        <f t="shared" si="69"/>
        <v>124.84510399999994</v>
      </c>
      <c r="AL16" s="307">
        <f t="shared" si="69"/>
        <v>129.96104386200005</v>
      </c>
      <c r="AM16" s="308">
        <f t="shared" si="69"/>
        <v>124.70391969600001</v>
      </c>
      <c r="AN16" s="307">
        <f t="shared" si="69"/>
        <v>128.27036734250001</v>
      </c>
      <c r="AO16" s="307">
        <f t="shared" si="69"/>
        <v>131.00263791399999</v>
      </c>
      <c r="AP16" s="307">
        <f t="shared" si="69"/>
        <v>136.424236831716</v>
      </c>
      <c r="AQ16" s="308">
        <f t="shared" si="69"/>
        <v>130.903314892764</v>
      </c>
      <c r="AR16" s="180"/>
      <c r="AS16" s="181"/>
      <c r="AT16" s="858"/>
      <c r="AU16" s="858"/>
      <c r="AV16" s="858"/>
      <c r="AW16" s="858"/>
      <c r="AX16" s="858"/>
      <c r="AY16" s="858"/>
      <c r="AZ16" s="858"/>
      <c r="BA16" s="858"/>
      <c r="BB16" s="858"/>
      <c r="BC16" s="858"/>
      <c r="BD16" s="858"/>
      <c r="BE16" s="858"/>
      <c r="BF16" s="858"/>
      <c r="BG16" s="858"/>
      <c r="BH16" s="859"/>
      <c r="BI16" s="859"/>
      <c r="BJ16" s="859"/>
      <c r="BK16" s="859"/>
      <c r="BL16" s="859"/>
      <c r="BM16" s="859"/>
      <c r="BN16" s="859"/>
      <c r="BO16" s="859"/>
      <c r="BP16" s="859"/>
      <c r="BQ16" s="859"/>
      <c r="BR16" s="859"/>
      <c r="BS16" s="859"/>
      <c r="BT16" s="859"/>
      <c r="BU16" s="859"/>
      <c r="BV16" s="859"/>
      <c r="BW16" s="859"/>
      <c r="BX16" s="859"/>
      <c r="BY16" s="859"/>
      <c r="BZ16" s="859"/>
      <c r="CA16" s="859"/>
      <c r="CB16" s="859"/>
      <c r="CC16" s="859"/>
      <c r="CD16" s="859"/>
      <c r="CE16" s="859"/>
      <c r="CF16" s="859"/>
      <c r="CG16" s="859"/>
      <c r="CH16" s="859"/>
      <c r="CI16" s="859"/>
      <c r="CJ16" s="859"/>
      <c r="CK16" s="859"/>
      <c r="CL16" s="859"/>
      <c r="CM16" s="859"/>
      <c r="CN16" s="859"/>
      <c r="CO16" s="859"/>
      <c r="CP16" s="859"/>
      <c r="CQ16" s="859"/>
      <c r="CR16" s="859"/>
      <c r="CS16" s="859"/>
    </row>
    <row r="17" spans="2:97" s="139" customFormat="1" ht="13.5" customHeight="1">
      <c r="B17" s="1114" t="s">
        <v>138</v>
      </c>
      <c r="C17" s="104">
        <f>SUM(L17:O17)</f>
        <v>276.52199999999999</v>
      </c>
      <c r="D17" s="104">
        <f>SUM(P17:S17)</f>
        <v>270.69400000000002</v>
      </c>
      <c r="E17" s="104">
        <f>SUM(T17:W17)</f>
        <v>268.79900000000004</v>
      </c>
      <c r="F17" s="104">
        <f>SUM(X17:AA17)</f>
        <v>202.18799999999999</v>
      </c>
      <c r="G17" s="119">
        <f>SUM(AB17:AE17)</f>
        <v>202.65200000000002</v>
      </c>
      <c r="H17" s="105">
        <f>SUM(AF17:AI17)</f>
        <v>196.75316620000001</v>
      </c>
      <c r="I17" s="105">
        <f t="shared" ref="I17:J20" si="70">SUM(AJ17:AM17)</f>
        <v>195.65411560800001</v>
      </c>
      <c r="J17" s="105">
        <f t="shared" si="70"/>
        <v>196.32140160975001</v>
      </c>
      <c r="L17" s="282">
        <v>69.450999999999993</v>
      </c>
      <c r="M17" s="179">
        <v>70.727000000000004</v>
      </c>
      <c r="N17" s="179">
        <v>68.02</v>
      </c>
      <c r="O17" s="294">
        <v>68.323999999999998</v>
      </c>
      <c r="P17" s="179">
        <v>68.373999999999995</v>
      </c>
      <c r="Q17" s="179">
        <v>68.338999999999999</v>
      </c>
      <c r="R17" s="179">
        <v>68.84</v>
      </c>
      <c r="S17" s="294">
        <v>65.141000000000005</v>
      </c>
      <c r="T17" s="179">
        <v>67.251000000000005</v>
      </c>
      <c r="U17" s="179">
        <v>69.185000000000002</v>
      </c>
      <c r="V17" s="179">
        <v>69.906000000000006</v>
      </c>
      <c r="W17" s="294">
        <v>62.457000000000001</v>
      </c>
      <c r="X17" s="179">
        <v>51.667000000000002</v>
      </c>
      <c r="Y17" s="179">
        <v>51.372</v>
      </c>
      <c r="Z17" s="179">
        <v>48.61</v>
      </c>
      <c r="AA17" s="294">
        <v>50.539000000000001</v>
      </c>
      <c r="AB17" s="179">
        <v>50.982999999999997</v>
      </c>
      <c r="AC17" s="179">
        <v>51.993000000000002</v>
      </c>
      <c r="AD17" s="179">
        <v>49.081000000000003</v>
      </c>
      <c r="AE17" s="294">
        <v>50.594999999999999</v>
      </c>
      <c r="AF17" s="282">
        <v>49.508000000000003</v>
      </c>
      <c r="AG17" s="177">
        <v>49.97</v>
      </c>
      <c r="AH17" s="205">
        <f>'Segments+SG&amp;A'!V13+'Segments+SG&amp;A'!V33</f>
        <v>49.629984960000009</v>
      </c>
      <c r="AI17" s="311">
        <f>'Segments+SG&amp;A'!W13+'Segments+SG&amp;A'!W33</f>
        <v>47.645181239999999</v>
      </c>
      <c r="AJ17" s="684">
        <f>'Segments+SG&amp;A'!X13+'Segments+SG&amp;A'!X33</f>
        <v>48.207417650000004</v>
      </c>
      <c r="AK17" s="205">
        <f>'Segments+SG&amp;A'!Y13+'Segments+SG&amp;A'!Y33</f>
        <v>48.837695199999999</v>
      </c>
      <c r="AL17" s="205">
        <f>'Segments+SG&amp;A'!Z13+'Segments+SG&amp;A'!Z33</f>
        <v>50.310415066800005</v>
      </c>
      <c r="AM17" s="311">
        <f>'Segments+SG&amp;A'!AA13+'Segments+SG&amp;A'!AA33</f>
        <v>48.298587691199998</v>
      </c>
      <c r="AN17" s="684">
        <f>'Segments+SG&amp;A'!AB13+'Segments+SG&amp;A'!AB33</f>
        <v>48.874703651749996</v>
      </c>
      <c r="AO17" s="205">
        <f>'Segments+SG&amp;A'!AC13+'Segments+SG&amp;A'!AC33</f>
        <v>49.51058802699999</v>
      </c>
      <c r="AP17" s="205">
        <f>'Segments+SG&amp;A'!AD13+'Segments+SG&amp;A'!AD33</f>
        <v>50.999252977398001</v>
      </c>
      <c r="AQ17" s="311">
        <f>'Segments+SG&amp;A'!AE13+'Segments+SG&amp;A'!AE33</f>
        <v>48.960073808321994</v>
      </c>
      <c r="AR17" s="105"/>
      <c r="AS17" s="178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4"/>
      <c r="BG17" s="104"/>
      <c r="BH17" s="857"/>
      <c r="BI17" s="857"/>
      <c r="BJ17" s="857"/>
      <c r="BK17" s="857"/>
      <c r="BL17" s="857"/>
      <c r="BM17" s="857"/>
      <c r="BN17" s="857"/>
      <c r="BO17" s="857"/>
      <c r="BP17" s="857"/>
      <c r="BQ17" s="857"/>
      <c r="BR17" s="857"/>
      <c r="BS17" s="857"/>
      <c r="BT17" s="857"/>
      <c r="BU17" s="857"/>
      <c r="BV17" s="857"/>
      <c r="BW17" s="857"/>
      <c r="BX17" s="857"/>
      <c r="BY17" s="857"/>
      <c r="BZ17" s="857"/>
      <c r="CA17" s="857"/>
      <c r="CB17" s="857"/>
      <c r="CC17" s="857"/>
      <c r="CD17" s="857"/>
      <c r="CE17" s="857"/>
      <c r="CF17" s="857"/>
      <c r="CG17" s="857"/>
      <c r="CH17" s="857"/>
      <c r="CI17" s="857"/>
      <c r="CJ17" s="857"/>
      <c r="CK17" s="857"/>
      <c r="CL17" s="857"/>
      <c r="CM17" s="857"/>
      <c r="CN17" s="857"/>
      <c r="CO17" s="857"/>
      <c r="CP17" s="857"/>
      <c r="CQ17" s="857"/>
      <c r="CR17" s="857"/>
      <c r="CS17" s="857"/>
    </row>
    <row r="18" spans="2:97" s="139" customFormat="1" ht="13.5" customHeight="1">
      <c r="B18" s="1114" t="s">
        <v>139</v>
      </c>
      <c r="C18" s="104">
        <f>SUM(L18:O18)</f>
        <v>146.322</v>
      </c>
      <c r="D18" s="104">
        <f>SUM(P18:S18)</f>
        <v>165.66800000000001</v>
      </c>
      <c r="E18" s="104">
        <f>SUM(T18:W18)</f>
        <v>150.74299999999999</v>
      </c>
      <c r="F18" s="104">
        <f>SUM(X18:AA18)</f>
        <v>157.92500000000001</v>
      </c>
      <c r="G18" s="119">
        <f>SUM(AB18:AE18)</f>
        <v>154.63200000000001</v>
      </c>
      <c r="H18" s="105">
        <f>SUM(AF18:AI18)</f>
        <v>149.55714260000002</v>
      </c>
      <c r="I18" s="105">
        <f t="shared" si="70"/>
        <v>146.49646413900001</v>
      </c>
      <c r="J18" s="105">
        <f t="shared" si="70"/>
        <v>146.15418558392503</v>
      </c>
      <c r="L18" s="282">
        <v>38.362000000000002</v>
      </c>
      <c r="M18" s="179">
        <v>35.411999999999999</v>
      </c>
      <c r="N18" s="179">
        <v>33.448999999999998</v>
      </c>
      <c r="O18" s="294">
        <v>39.098999999999997</v>
      </c>
      <c r="P18" s="179">
        <v>35.762999999999998</v>
      </c>
      <c r="Q18" s="179">
        <v>49.661000000000001</v>
      </c>
      <c r="R18" s="179">
        <v>37.46</v>
      </c>
      <c r="S18" s="294">
        <v>42.783999999999999</v>
      </c>
      <c r="T18" s="179">
        <v>35.725999999999999</v>
      </c>
      <c r="U18" s="179">
        <v>38.164999999999999</v>
      </c>
      <c r="V18" s="179">
        <v>36.634</v>
      </c>
      <c r="W18" s="294">
        <v>40.218000000000004</v>
      </c>
      <c r="X18" s="179">
        <v>32.646000000000001</v>
      </c>
      <c r="Y18" s="179">
        <v>38.865000000000002</v>
      </c>
      <c r="Z18" s="179">
        <v>40.637999999999998</v>
      </c>
      <c r="AA18" s="294">
        <v>45.776000000000003</v>
      </c>
      <c r="AB18" s="179">
        <v>34.411000000000001</v>
      </c>
      <c r="AC18" s="179">
        <v>37.933</v>
      </c>
      <c r="AD18" s="179">
        <v>40.832000000000001</v>
      </c>
      <c r="AE18" s="294">
        <v>41.456000000000003</v>
      </c>
      <c r="AF18" s="282">
        <v>38.847000000000001</v>
      </c>
      <c r="AG18" s="177">
        <v>36.020000000000003</v>
      </c>
      <c r="AH18" s="205">
        <f>'Segments+SG&amp;A'!V14+'Segments+SG&amp;A'!V34</f>
        <v>38.127018600000007</v>
      </c>
      <c r="AI18" s="311">
        <f>'Segments+SG&amp;A'!W14+'Segments+SG&amp;A'!W34</f>
        <v>36.563124000000002</v>
      </c>
      <c r="AJ18" s="684">
        <f>'Segments+SG&amp;A'!X14+'Segments+SG&amp;A'!X34</f>
        <v>35.224804525000003</v>
      </c>
      <c r="AK18" s="205">
        <f>'Segments+SG&amp;A'!Y14+'Segments+SG&amp;A'!Y34</f>
        <v>36.306381500000001</v>
      </c>
      <c r="AL18" s="205">
        <f>'Segments+SG&amp;A'!Z14+'Segments+SG&amp;A'!Z34</f>
        <v>38.267045169000006</v>
      </c>
      <c r="AM18" s="311">
        <f>'Segments+SG&amp;A'!AA14+'Segments+SG&amp;A'!AA34</f>
        <v>36.698232945000001</v>
      </c>
      <c r="AN18" s="684">
        <f>'Segments+SG&amp;A'!AB14+'Segments+SG&amp;A'!AB34</f>
        <v>34.882525969924998</v>
      </c>
      <c r="AO18" s="205">
        <f>'Segments+SG&amp;A'!AC14+'Segments+SG&amp;A'!AC34</f>
        <v>35.952469862499996</v>
      </c>
      <c r="AP18" s="205">
        <f>'Segments+SG&amp;A'!AD14+'Segments+SG&amp;A'!AD34</f>
        <v>37.892481690620997</v>
      </c>
      <c r="AQ18" s="311">
        <f>'Segments+SG&amp;A'!AE14+'Segments+SG&amp;A'!AE34</f>
        <v>36.339092272886994</v>
      </c>
      <c r="AR18" s="105"/>
      <c r="AS18" s="178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857"/>
      <c r="BI18" s="857"/>
      <c r="BJ18" s="857"/>
      <c r="BK18" s="857"/>
      <c r="BL18" s="857"/>
      <c r="BM18" s="857"/>
      <c r="BN18" s="857"/>
      <c r="BO18" s="857"/>
      <c r="BP18" s="857"/>
      <c r="BQ18" s="857"/>
      <c r="BR18" s="857"/>
      <c r="BS18" s="857"/>
      <c r="BT18" s="857"/>
      <c r="BU18" s="857"/>
      <c r="BV18" s="857"/>
      <c r="BW18" s="857"/>
      <c r="BX18" s="857"/>
      <c r="BY18" s="857"/>
      <c r="BZ18" s="857"/>
      <c r="CA18" s="857"/>
      <c r="CB18" s="857"/>
      <c r="CC18" s="857"/>
      <c r="CD18" s="857"/>
      <c r="CE18" s="857"/>
      <c r="CF18" s="857"/>
      <c r="CG18" s="857"/>
      <c r="CH18" s="857"/>
      <c r="CI18" s="857"/>
      <c r="CJ18" s="857"/>
      <c r="CK18" s="857"/>
      <c r="CL18" s="857"/>
      <c r="CM18" s="857"/>
      <c r="CN18" s="857"/>
      <c r="CO18" s="857"/>
      <c r="CP18" s="857"/>
      <c r="CQ18" s="857"/>
      <c r="CR18" s="857"/>
      <c r="CS18" s="857"/>
    </row>
    <row r="19" spans="2:97" s="139" customFormat="1" ht="13.5" customHeight="1">
      <c r="B19" s="1114" t="s">
        <v>140</v>
      </c>
      <c r="C19" s="104">
        <f>SUM(L19:O19)</f>
        <v>0</v>
      </c>
      <c r="D19" s="104">
        <f>SUM(P19:S19)</f>
        <v>0</v>
      </c>
      <c r="E19" s="104">
        <f>SUM(T19:W19)</f>
        <v>0</v>
      </c>
      <c r="F19" s="104">
        <f>SUM(X19:AA19)</f>
        <v>57.743000000000002</v>
      </c>
      <c r="G19" s="119">
        <f>SUM(AB19:AE19)</f>
        <v>12.379999999999999</v>
      </c>
      <c r="H19" s="105">
        <f>SUM(AF19:AI19)</f>
        <v>0.25800000000000001</v>
      </c>
      <c r="I19" s="105">
        <f t="shared" si="70"/>
        <v>0</v>
      </c>
      <c r="J19" s="105">
        <f t="shared" si="70"/>
        <v>0</v>
      </c>
      <c r="L19" s="282">
        <v>0</v>
      </c>
      <c r="M19" s="179">
        <v>0</v>
      </c>
      <c r="N19" s="179">
        <v>0</v>
      </c>
      <c r="O19" s="294">
        <v>0</v>
      </c>
      <c r="P19" s="179">
        <v>0</v>
      </c>
      <c r="Q19" s="179">
        <v>0</v>
      </c>
      <c r="R19" s="179">
        <v>0</v>
      </c>
      <c r="S19" s="294">
        <v>0</v>
      </c>
      <c r="T19" s="179">
        <v>0</v>
      </c>
      <c r="U19" s="179">
        <v>0</v>
      </c>
      <c r="V19" s="179">
        <v>0</v>
      </c>
      <c r="W19" s="294">
        <v>0</v>
      </c>
      <c r="X19" s="179">
        <v>0</v>
      </c>
      <c r="Y19" s="179">
        <v>0</v>
      </c>
      <c r="Z19" s="179">
        <v>0</v>
      </c>
      <c r="AA19" s="294">
        <v>57.743000000000002</v>
      </c>
      <c r="AB19" s="179">
        <v>8.609</v>
      </c>
      <c r="AC19" s="179">
        <v>3.7709999999999999</v>
      </c>
      <c r="AD19" s="179">
        <v>0</v>
      </c>
      <c r="AE19" s="294">
        <v>0</v>
      </c>
      <c r="AF19" s="282">
        <v>0.25800000000000001</v>
      </c>
      <c r="AG19" s="177">
        <v>0</v>
      </c>
      <c r="AH19" s="185">
        <v>0</v>
      </c>
      <c r="AI19" s="310">
        <f>AH19</f>
        <v>0</v>
      </c>
      <c r="AJ19" s="681">
        <f t="shared" ref="AJ19:AQ19" si="71">AI19</f>
        <v>0</v>
      </c>
      <c r="AK19" s="177">
        <f t="shared" si="71"/>
        <v>0</v>
      </c>
      <c r="AL19" s="177">
        <f t="shared" si="71"/>
        <v>0</v>
      </c>
      <c r="AM19" s="310">
        <f t="shared" si="71"/>
        <v>0</v>
      </c>
      <c r="AN19" s="681">
        <f t="shared" si="71"/>
        <v>0</v>
      </c>
      <c r="AO19" s="177">
        <f t="shared" si="71"/>
        <v>0</v>
      </c>
      <c r="AP19" s="177">
        <f t="shared" si="71"/>
        <v>0</v>
      </c>
      <c r="AQ19" s="310">
        <f t="shared" si="71"/>
        <v>0</v>
      </c>
      <c r="AR19" s="105"/>
      <c r="AS19" s="178"/>
      <c r="AT19" s="104"/>
      <c r="AU19" s="104"/>
      <c r="AV19" s="104"/>
      <c r="AW19" s="104"/>
      <c r="AX19" s="104"/>
      <c r="AY19" s="104"/>
      <c r="AZ19" s="104"/>
      <c r="BA19" s="104"/>
      <c r="BB19" s="104"/>
      <c r="BC19" s="104"/>
      <c r="BD19" s="104"/>
      <c r="BE19" s="104"/>
      <c r="BF19" s="104"/>
      <c r="BG19" s="104"/>
      <c r="BH19" s="857"/>
      <c r="BI19" s="857"/>
      <c r="BJ19" s="857"/>
      <c r="BK19" s="857"/>
      <c r="BL19" s="857"/>
      <c r="BM19" s="857"/>
      <c r="BN19" s="857"/>
      <c r="BO19" s="857"/>
      <c r="BP19" s="857"/>
      <c r="BQ19" s="857"/>
      <c r="BR19" s="857"/>
      <c r="BS19" s="857"/>
      <c r="BT19" s="857"/>
      <c r="BU19" s="857"/>
      <c r="BV19" s="857"/>
      <c r="BW19" s="857"/>
      <c r="BX19" s="857"/>
      <c r="BY19" s="857"/>
      <c r="BZ19" s="857"/>
      <c r="CA19" s="857"/>
      <c r="CB19" s="857"/>
      <c r="CC19" s="857"/>
      <c r="CD19" s="857"/>
      <c r="CE19" s="857"/>
      <c r="CF19" s="857"/>
      <c r="CG19" s="857"/>
      <c r="CH19" s="857"/>
      <c r="CI19" s="857"/>
      <c r="CJ19" s="857"/>
      <c r="CK19" s="857"/>
      <c r="CL19" s="857"/>
      <c r="CM19" s="857"/>
      <c r="CN19" s="857"/>
      <c r="CO19" s="857"/>
      <c r="CP19" s="857"/>
      <c r="CQ19" s="857"/>
      <c r="CR19" s="857"/>
      <c r="CS19" s="857"/>
    </row>
    <row r="20" spans="2:97" s="139" customFormat="1" ht="13.5" customHeight="1">
      <c r="B20" s="1114" t="s">
        <v>49</v>
      </c>
      <c r="C20" s="104">
        <f>SUM(L20:O20)</f>
        <v>83.988</v>
      </c>
      <c r="D20" s="104">
        <f>SUM(P20:S20)</f>
        <v>82.962000000000003</v>
      </c>
      <c r="E20" s="104">
        <f>SUM(T20:W20)</f>
        <v>82.112000000000009</v>
      </c>
      <c r="F20" s="104">
        <f>SUM(X20:AA20)</f>
        <v>66.242999999999995</v>
      </c>
      <c r="G20" s="119">
        <f>SUM(AB20:AE20)</f>
        <v>79.455999999999989</v>
      </c>
      <c r="H20" s="105">
        <f>SUM(AF20:AI20)</f>
        <v>80.649031400000013</v>
      </c>
      <c r="I20" s="105">
        <f t="shared" si="70"/>
        <v>87.601908737999992</v>
      </c>
      <c r="J20" s="105">
        <f t="shared" si="70"/>
        <v>87.94576346625</v>
      </c>
      <c r="L20" s="282">
        <v>20.983000000000001</v>
      </c>
      <c r="M20" s="179">
        <v>20.678000000000001</v>
      </c>
      <c r="N20" s="179">
        <v>21.111999999999998</v>
      </c>
      <c r="O20" s="294">
        <v>21.215</v>
      </c>
      <c r="P20" s="179">
        <v>20.776</v>
      </c>
      <c r="Q20" s="179">
        <v>20.922000000000001</v>
      </c>
      <c r="R20" s="179">
        <v>20.577000000000002</v>
      </c>
      <c r="S20" s="294">
        <v>20.687000000000001</v>
      </c>
      <c r="T20" s="179">
        <v>20.379000000000001</v>
      </c>
      <c r="U20" s="179">
        <v>20.239000000000001</v>
      </c>
      <c r="V20" s="179">
        <v>20.309000000000001</v>
      </c>
      <c r="W20" s="294">
        <v>21.184999999999999</v>
      </c>
      <c r="X20" s="179">
        <v>15.254</v>
      </c>
      <c r="Y20" s="179">
        <v>16.311</v>
      </c>
      <c r="Z20" s="179">
        <v>17.023</v>
      </c>
      <c r="AA20" s="294">
        <v>17.655000000000001</v>
      </c>
      <c r="AB20" s="179">
        <v>17.23</v>
      </c>
      <c r="AC20" s="179">
        <v>18.280999999999999</v>
      </c>
      <c r="AD20" s="179">
        <v>22.091999999999999</v>
      </c>
      <c r="AE20" s="294">
        <v>21.853000000000002</v>
      </c>
      <c r="AF20" s="282">
        <v>19.972999999999999</v>
      </c>
      <c r="AG20" s="177">
        <v>19.47</v>
      </c>
      <c r="AH20" s="205">
        <f>'Segments+SG&amp;A'!V12+'Segments+SG&amp;A'!V32</f>
        <v>21.026473800000002</v>
      </c>
      <c r="AI20" s="311">
        <f>'Segments+SG&amp;A'!W12+'Segments+SG&amp;A'!W32</f>
        <v>20.179557600000003</v>
      </c>
      <c r="AJ20" s="684">
        <f>'Segments+SG&amp;A'!X12+'Segments+SG&amp;A'!X32</f>
        <v>21.458418550000005</v>
      </c>
      <c r="AK20" s="205">
        <f>'Segments+SG&amp;A'!Y12+'Segments+SG&amp;A'!Y32</f>
        <v>21.828785</v>
      </c>
      <c r="AL20" s="205">
        <f>'Segments+SG&amp;A'!Z12+'Segments+SG&amp;A'!Z32</f>
        <v>22.612254846000003</v>
      </c>
      <c r="AM20" s="311">
        <f>'Segments+SG&amp;A'!AA12+'Segments+SG&amp;A'!AA32</f>
        <v>21.702450341999999</v>
      </c>
      <c r="AN20" s="684">
        <f>'Segments+SG&amp;A'!AB12+'Segments+SG&amp;A'!AB32</f>
        <v>21.802273278250002</v>
      </c>
      <c r="AO20" s="205">
        <f>'Segments+SG&amp;A'!AC12+'Segments+SG&amp;A'!AC32</f>
        <v>22.179709924999997</v>
      </c>
      <c r="AP20" s="205">
        <f>'Segments+SG&amp;A'!AD12+'Segments+SG&amp;A'!AD32</f>
        <v>22.97735139129</v>
      </c>
      <c r="AQ20" s="311">
        <f>'Segments+SG&amp;A'!AE12+'Segments+SG&amp;A'!AE32</f>
        <v>22.052787372029997</v>
      </c>
      <c r="AR20" s="105"/>
      <c r="AS20" s="178"/>
      <c r="AT20" s="104"/>
      <c r="AU20" s="104"/>
      <c r="AV20" s="104"/>
      <c r="AW20" s="104"/>
      <c r="AX20" s="104"/>
      <c r="AY20" s="104"/>
      <c r="AZ20" s="104"/>
      <c r="BA20" s="104"/>
      <c r="BB20" s="104"/>
      <c r="BC20" s="104"/>
      <c r="BD20" s="104"/>
      <c r="BE20" s="104"/>
      <c r="BF20" s="104"/>
      <c r="BG20" s="104"/>
      <c r="BH20" s="857"/>
      <c r="BI20" s="857"/>
      <c r="BJ20" s="857"/>
      <c r="BK20" s="857"/>
      <c r="BL20" s="857"/>
      <c r="BM20" s="857"/>
      <c r="BN20" s="857"/>
      <c r="BO20" s="857"/>
      <c r="BP20" s="857"/>
      <c r="BQ20" s="857"/>
      <c r="BR20" s="857"/>
      <c r="BS20" s="857"/>
      <c r="BT20" s="857"/>
      <c r="BU20" s="857"/>
      <c r="BV20" s="857"/>
      <c r="BW20" s="857"/>
      <c r="BX20" s="857"/>
      <c r="BY20" s="857"/>
      <c r="BZ20" s="857"/>
      <c r="CA20" s="857"/>
      <c r="CB20" s="857"/>
      <c r="CC20" s="857"/>
      <c r="CD20" s="857"/>
      <c r="CE20" s="857"/>
      <c r="CF20" s="857"/>
      <c r="CG20" s="857"/>
      <c r="CH20" s="857"/>
      <c r="CI20" s="857"/>
      <c r="CJ20" s="857"/>
      <c r="CK20" s="857"/>
      <c r="CL20" s="857"/>
      <c r="CM20" s="857"/>
      <c r="CN20" s="857"/>
      <c r="CO20" s="857"/>
      <c r="CP20" s="857"/>
      <c r="CQ20" s="857"/>
      <c r="CR20" s="857"/>
      <c r="CS20" s="857"/>
    </row>
    <row r="21" spans="2:97" s="139" customFormat="1" ht="13.5" customHeight="1">
      <c r="B21" s="206" t="s">
        <v>86</v>
      </c>
      <c r="C21" s="151">
        <f t="shared" ref="C21:J21" si="72">SUM(C17:C20)</f>
        <v>506.83199999999999</v>
      </c>
      <c r="D21" s="151">
        <f t="shared" si="72"/>
        <v>519.32400000000007</v>
      </c>
      <c r="E21" s="151">
        <f t="shared" si="72"/>
        <v>501.65400000000005</v>
      </c>
      <c r="F21" s="151">
        <f t="shared" si="72"/>
        <v>484.09899999999999</v>
      </c>
      <c r="G21" s="152">
        <f t="shared" si="72"/>
        <v>449.12</v>
      </c>
      <c r="H21" s="151">
        <f t="shared" si="72"/>
        <v>427.21734020000002</v>
      </c>
      <c r="I21" s="151">
        <f t="shared" si="72"/>
        <v>429.75248848500007</v>
      </c>
      <c r="J21" s="151">
        <f t="shared" si="72"/>
        <v>430.42135065992505</v>
      </c>
      <c r="L21" s="283">
        <f>SUM(L17:L20)</f>
        <v>128.79599999999999</v>
      </c>
      <c r="M21" s="215">
        <f t="shared" ref="M21:AG21" si="73">SUM(M17:M20)</f>
        <v>126.81700000000001</v>
      </c>
      <c r="N21" s="215">
        <f t="shared" si="73"/>
        <v>122.58099999999999</v>
      </c>
      <c r="O21" s="295">
        <f t="shared" si="73"/>
        <v>128.63800000000001</v>
      </c>
      <c r="P21" s="215">
        <f t="shared" si="73"/>
        <v>124.913</v>
      </c>
      <c r="Q21" s="215">
        <f t="shared" si="73"/>
        <v>138.922</v>
      </c>
      <c r="R21" s="215">
        <f t="shared" si="73"/>
        <v>126.87700000000001</v>
      </c>
      <c r="S21" s="295">
        <f t="shared" si="73"/>
        <v>128.61200000000002</v>
      </c>
      <c r="T21" s="215">
        <f t="shared" si="73"/>
        <v>123.35600000000001</v>
      </c>
      <c r="U21" s="215">
        <f t="shared" si="73"/>
        <v>127.589</v>
      </c>
      <c r="V21" s="215">
        <f t="shared" si="73"/>
        <v>126.849</v>
      </c>
      <c r="W21" s="295">
        <f t="shared" si="73"/>
        <v>123.86000000000001</v>
      </c>
      <c r="X21" s="215">
        <f t="shared" si="73"/>
        <v>99.567000000000007</v>
      </c>
      <c r="Y21" s="215">
        <f t="shared" si="73"/>
        <v>106.548</v>
      </c>
      <c r="Z21" s="215">
        <f t="shared" si="73"/>
        <v>106.27099999999999</v>
      </c>
      <c r="AA21" s="295">
        <f t="shared" si="73"/>
        <v>171.71299999999999</v>
      </c>
      <c r="AB21" s="215">
        <f t="shared" si="73"/>
        <v>111.233</v>
      </c>
      <c r="AC21" s="215">
        <f t="shared" si="73"/>
        <v>111.97800000000001</v>
      </c>
      <c r="AD21" s="215">
        <f t="shared" si="73"/>
        <v>112.00500000000001</v>
      </c>
      <c r="AE21" s="295">
        <f t="shared" si="73"/>
        <v>113.904</v>
      </c>
      <c r="AF21" s="685">
        <f t="shared" si="73"/>
        <v>108.586</v>
      </c>
      <c r="AG21" s="686">
        <f t="shared" si="73"/>
        <v>105.46000000000001</v>
      </c>
      <c r="AH21" s="686">
        <f t="shared" ref="AH21" si="74">SUM(AH17:AH20)</f>
        <v>108.78347736000002</v>
      </c>
      <c r="AI21" s="687">
        <f t="shared" ref="AI21" si="75">SUM(AI17:AI20)</f>
        <v>104.38786284</v>
      </c>
      <c r="AJ21" s="685">
        <f t="shared" ref="AJ21" si="76">SUM(AJ17:AJ20)</f>
        <v>104.89064072500001</v>
      </c>
      <c r="AK21" s="686">
        <f t="shared" ref="AK21" si="77">SUM(AK17:AK20)</f>
        <v>106.9728617</v>
      </c>
      <c r="AL21" s="686">
        <f t="shared" ref="AL21" si="78">SUM(AL17:AL20)</f>
        <v>111.1897150818</v>
      </c>
      <c r="AM21" s="687">
        <f t="shared" ref="AM21" si="79">SUM(AM17:AM20)</f>
        <v>106.69927097819999</v>
      </c>
      <c r="AN21" s="685">
        <f t="shared" ref="AN21" si="80">SUM(AN17:AN20)</f>
        <v>105.55950289992499</v>
      </c>
      <c r="AO21" s="686">
        <f t="shared" ref="AO21" si="81">SUM(AO17:AO20)</f>
        <v>107.64276781449999</v>
      </c>
      <c r="AP21" s="686">
        <f t="shared" ref="AP21" si="82">SUM(AP17:AP20)</f>
        <v>111.869086059309</v>
      </c>
      <c r="AQ21" s="687">
        <f t="shared" ref="AQ21" si="83">SUM(AQ17:AQ20)</f>
        <v>107.35195345323899</v>
      </c>
      <c r="AR21" s="105"/>
      <c r="AS21" s="178"/>
      <c r="AT21" s="104"/>
      <c r="AU21" s="104"/>
      <c r="AV21" s="104"/>
      <c r="AW21" s="104"/>
      <c r="AX21" s="104"/>
      <c r="AY21" s="104"/>
      <c r="AZ21" s="104"/>
      <c r="BA21" s="104"/>
      <c r="BB21" s="104"/>
      <c r="BC21" s="104"/>
      <c r="BD21" s="104"/>
      <c r="BE21" s="104"/>
      <c r="BF21" s="104"/>
      <c r="BG21" s="104"/>
      <c r="BH21" s="857"/>
      <c r="BI21" s="857"/>
      <c r="BJ21" s="857"/>
      <c r="BK21" s="857"/>
      <c r="BL21" s="857"/>
      <c r="BM21" s="857"/>
      <c r="BN21" s="857"/>
      <c r="BO21" s="857"/>
      <c r="BP21" s="857"/>
      <c r="BQ21" s="857"/>
      <c r="BR21" s="857"/>
      <c r="BS21" s="857"/>
      <c r="BT21" s="857"/>
      <c r="BU21" s="857"/>
      <c r="BV21" s="857"/>
      <c r="BW21" s="857"/>
      <c r="BX21" s="857"/>
      <c r="BY21" s="857"/>
      <c r="BZ21" s="857"/>
      <c r="CA21" s="857"/>
      <c r="CB21" s="857"/>
      <c r="CC21" s="857"/>
      <c r="CD21" s="857"/>
      <c r="CE21" s="857"/>
      <c r="CF21" s="857"/>
      <c r="CG21" s="857"/>
      <c r="CH21" s="857"/>
      <c r="CI21" s="857"/>
      <c r="CJ21" s="857"/>
      <c r="CK21" s="857"/>
      <c r="CL21" s="857"/>
      <c r="CM21" s="857"/>
      <c r="CN21" s="857"/>
      <c r="CO21" s="857"/>
      <c r="CP21" s="857"/>
      <c r="CQ21" s="857"/>
      <c r="CR21" s="857"/>
      <c r="CS21" s="857"/>
    </row>
    <row r="22" spans="2:97" s="163" customFormat="1" ht="13.5" customHeight="1">
      <c r="B22" s="714" t="s">
        <v>141</v>
      </c>
      <c r="C22" s="146">
        <f t="shared" ref="C22:J22" si="84">C16-C21</f>
        <v>106.41399999999999</v>
      </c>
      <c r="D22" s="146">
        <f t="shared" si="84"/>
        <v>88.540000000000077</v>
      </c>
      <c r="E22" s="146">
        <f t="shared" si="84"/>
        <v>107.87399999999997</v>
      </c>
      <c r="F22" s="146">
        <f t="shared" si="84"/>
        <v>30.642999999999972</v>
      </c>
      <c r="G22" s="147">
        <f t="shared" si="84"/>
        <v>33.125000000000114</v>
      </c>
      <c r="H22" s="146">
        <f t="shared" si="84"/>
        <v>51.712152900000092</v>
      </c>
      <c r="I22" s="146">
        <f t="shared" si="84"/>
        <v>75.238801380999689</v>
      </c>
      <c r="J22" s="146">
        <f t="shared" si="84"/>
        <v>84.208938947324839</v>
      </c>
      <c r="L22" s="313">
        <f t="shared" ref="L22:AQ22" si="85">L16-L21</f>
        <v>25.139000000000124</v>
      </c>
      <c r="M22" s="314">
        <f t="shared" si="85"/>
        <v>24.906999999999982</v>
      </c>
      <c r="N22" s="314">
        <f t="shared" si="85"/>
        <v>28.393000000000001</v>
      </c>
      <c r="O22" s="315">
        <f t="shared" si="85"/>
        <v>27.975000000000023</v>
      </c>
      <c r="P22" s="314">
        <f t="shared" si="85"/>
        <v>21.385999999999981</v>
      </c>
      <c r="Q22" s="314">
        <f t="shared" si="85"/>
        <v>13.910000000000082</v>
      </c>
      <c r="R22" s="314">
        <f t="shared" si="85"/>
        <v>25.433999999999941</v>
      </c>
      <c r="S22" s="315">
        <f t="shared" si="85"/>
        <v>27.809999999999974</v>
      </c>
      <c r="T22" s="314">
        <f t="shared" si="85"/>
        <v>27.49499999999999</v>
      </c>
      <c r="U22" s="314">
        <f t="shared" si="85"/>
        <v>21.330000000000013</v>
      </c>
      <c r="V22" s="314">
        <f t="shared" si="85"/>
        <v>30.25799999999991</v>
      </c>
      <c r="W22" s="315">
        <f t="shared" si="85"/>
        <v>28.790999999999997</v>
      </c>
      <c r="X22" s="314">
        <f t="shared" si="85"/>
        <v>25.51100000000001</v>
      </c>
      <c r="Y22" s="314">
        <f t="shared" si="85"/>
        <v>23.472999999999956</v>
      </c>
      <c r="Z22" s="314">
        <f t="shared" si="85"/>
        <v>20.149000000000001</v>
      </c>
      <c r="AA22" s="315">
        <f t="shared" si="85"/>
        <v>-38.489999999999981</v>
      </c>
      <c r="AB22" s="314">
        <f t="shared" si="85"/>
        <v>11.999000000000009</v>
      </c>
      <c r="AC22" s="314">
        <f t="shared" si="85"/>
        <v>8.8949999999999534</v>
      </c>
      <c r="AD22" s="314">
        <f t="shared" si="85"/>
        <v>7.9539999999999935</v>
      </c>
      <c r="AE22" s="315">
        <f t="shared" si="85"/>
        <v>4.2769999999999868</v>
      </c>
      <c r="AF22" s="314">
        <f t="shared" si="85"/>
        <v>6.4000000000021373E-2</v>
      </c>
      <c r="AG22" s="314">
        <f t="shared" si="85"/>
        <v>9.0500000000000256</v>
      </c>
      <c r="AH22" s="314">
        <f t="shared" si="85"/>
        <v>21.737803439999979</v>
      </c>
      <c r="AI22" s="315">
        <f t="shared" si="85"/>
        <v>20.860349459999995</v>
      </c>
      <c r="AJ22" s="314">
        <f t="shared" si="85"/>
        <v>17.386604324999979</v>
      </c>
      <c r="AK22" s="314">
        <f t="shared" si="85"/>
        <v>17.87224229999994</v>
      </c>
      <c r="AL22" s="314">
        <f t="shared" si="85"/>
        <v>18.771328780200051</v>
      </c>
      <c r="AM22" s="315">
        <f t="shared" si="85"/>
        <v>18.004648717800023</v>
      </c>
      <c r="AN22" s="314">
        <f t="shared" si="85"/>
        <v>22.710864442575016</v>
      </c>
      <c r="AO22" s="314">
        <f t="shared" si="85"/>
        <v>23.3598700995</v>
      </c>
      <c r="AP22" s="314">
        <f t="shared" si="85"/>
        <v>24.555150772407004</v>
      </c>
      <c r="AQ22" s="315">
        <f t="shared" si="85"/>
        <v>23.55136143952501</v>
      </c>
      <c r="AR22" s="170"/>
      <c r="AS22" s="211"/>
      <c r="AT22" s="162"/>
      <c r="AU22" s="162"/>
      <c r="AV22" s="162"/>
      <c r="AW22" s="162"/>
      <c r="AX22" s="162"/>
      <c r="AY22" s="162"/>
      <c r="AZ22" s="162"/>
      <c r="BA22" s="162"/>
      <c r="BB22" s="162"/>
      <c r="BC22" s="162"/>
      <c r="BD22" s="162"/>
      <c r="BE22" s="162"/>
      <c r="BF22" s="162"/>
      <c r="BG22" s="162"/>
      <c r="BH22" s="162"/>
      <c r="BI22" s="162"/>
      <c r="BJ22" s="162"/>
      <c r="BK22" s="162"/>
      <c r="BL22" s="162"/>
      <c r="BM22" s="162"/>
      <c r="BN22" s="162"/>
      <c r="BO22" s="162"/>
      <c r="BP22" s="162"/>
      <c r="BQ22" s="162"/>
      <c r="BR22" s="162"/>
      <c r="BS22" s="162"/>
      <c r="BT22" s="162"/>
      <c r="BU22" s="162"/>
      <c r="BV22" s="162"/>
      <c r="BW22" s="162"/>
      <c r="BX22" s="162"/>
      <c r="BY22" s="162"/>
      <c r="BZ22" s="162"/>
      <c r="CA22" s="162"/>
      <c r="CB22" s="162"/>
      <c r="CC22" s="162"/>
      <c r="CD22" s="162"/>
      <c r="CE22" s="162"/>
      <c r="CF22" s="162"/>
      <c r="CG22" s="162"/>
      <c r="CH22" s="162"/>
      <c r="CI22" s="162"/>
      <c r="CJ22" s="162"/>
      <c r="CK22" s="162"/>
      <c r="CL22" s="162"/>
      <c r="CM22" s="162"/>
      <c r="CN22" s="162"/>
      <c r="CO22" s="162"/>
      <c r="CP22" s="162"/>
      <c r="CQ22" s="162"/>
      <c r="CR22" s="162"/>
      <c r="CS22" s="162"/>
    </row>
    <row r="23" spans="2:97" s="102" customFormat="1" ht="13.5" customHeight="1">
      <c r="B23" s="1030" t="s">
        <v>27</v>
      </c>
      <c r="C23" s="103">
        <v>3.1E-2</v>
      </c>
      <c r="D23" s="49">
        <f t="shared" ref="D23" si="86">IFERROR(D22/C22-1,"N.A. ")</f>
        <v>-0.16796662093333503</v>
      </c>
      <c r="E23" s="49">
        <f t="shared" ref="E23" si="87">IFERROR(E22/D22-1,"N.A. ")</f>
        <v>0.2183645809803465</v>
      </c>
      <c r="F23" s="49">
        <f t="shared" ref="F23" si="88">IFERROR(F22/E22-1,"N.A. ")</f>
        <v>-0.71593711181563691</v>
      </c>
      <c r="G23" s="118">
        <f t="shared" ref="G23" si="89">IFERROR(G22/F22-1,"N.A. ")</f>
        <v>8.0997291387923553E-2</v>
      </c>
      <c r="H23" s="49">
        <f t="shared" ref="H23" si="90">IFERROR(H22/G22-1,"N.A. ")</f>
        <v>0.5611215969811294</v>
      </c>
      <c r="I23" s="49">
        <f t="shared" ref="I23" si="91">IFERROR(I22/H22-1,"N.A. ")</f>
        <v>0.45495395495319935</v>
      </c>
      <c r="J23" s="49">
        <f t="shared" ref="J23" si="92">IFERROR(J22/I22-1,"N.A. ")</f>
        <v>0.11922222844701524</v>
      </c>
      <c r="L23" s="284">
        <v>7.0000000000000007E-2</v>
      </c>
      <c r="M23" s="204">
        <v>0.23</v>
      </c>
      <c r="N23" s="204">
        <v>-1.7</v>
      </c>
      <c r="O23" s="296">
        <v>-0.1</v>
      </c>
      <c r="P23" s="204">
        <f>P22/L22-1</f>
        <v>-0.14928994788973804</v>
      </c>
      <c r="Q23" s="204">
        <f t="shared" ref="Q23:AQ23" si="93">Q22/M22-1</f>
        <v>-0.44152246356445612</v>
      </c>
      <c r="R23" s="204">
        <f t="shared" si="93"/>
        <v>-0.10421582784489347</v>
      </c>
      <c r="S23" s="296">
        <f t="shared" si="93"/>
        <v>-5.8981233243985409E-3</v>
      </c>
      <c r="T23" s="204">
        <f t="shared" si="93"/>
        <v>0.28565416627700424</v>
      </c>
      <c r="U23" s="204">
        <f t="shared" si="93"/>
        <v>0.53342918763478697</v>
      </c>
      <c r="V23" s="204">
        <f t="shared" si="93"/>
        <v>0.18966737438074932</v>
      </c>
      <c r="W23" s="296">
        <f t="shared" si="93"/>
        <v>3.5275080906149725E-2</v>
      </c>
      <c r="X23" s="204">
        <f t="shared" si="93"/>
        <v>-7.2158574286233179E-2</v>
      </c>
      <c r="Y23" s="204">
        <f t="shared" si="93"/>
        <v>0.1004688232536306</v>
      </c>
      <c r="Z23" s="204">
        <f t="shared" si="93"/>
        <v>-0.3340934628858464</v>
      </c>
      <c r="AA23" s="296">
        <f t="shared" si="93"/>
        <v>-2.3368761071168067</v>
      </c>
      <c r="AB23" s="204">
        <f t="shared" si="93"/>
        <v>-0.52965387479910608</v>
      </c>
      <c r="AC23" s="204">
        <f t="shared" si="93"/>
        <v>-0.62105397690964215</v>
      </c>
      <c r="AD23" s="204">
        <f t="shared" si="93"/>
        <v>-0.60524095488609886</v>
      </c>
      <c r="AE23" s="296">
        <f t="shared" si="93"/>
        <v>-1.1111197713691865</v>
      </c>
      <c r="AF23" s="204">
        <f t="shared" si="93"/>
        <v>-0.9946662221851803</v>
      </c>
      <c r="AG23" s="204">
        <f t="shared" si="93"/>
        <v>1.7425519955039048E-2</v>
      </c>
      <c r="AH23" s="204">
        <f t="shared" si="93"/>
        <v>1.7329398340457627</v>
      </c>
      <c r="AI23" s="296">
        <f t="shared" si="93"/>
        <v>3.8773321159691507</v>
      </c>
      <c r="AJ23" s="204">
        <f t="shared" si="93"/>
        <v>270.66569257803394</v>
      </c>
      <c r="AK23" s="204">
        <f t="shared" si="93"/>
        <v>0.97483340331490487</v>
      </c>
      <c r="AL23" s="204">
        <f t="shared" si="93"/>
        <v>-0.13646616448565752</v>
      </c>
      <c r="AM23" s="296">
        <f t="shared" si="93"/>
        <v>-0.13689611229552101</v>
      </c>
      <c r="AN23" s="204">
        <f t="shared" si="93"/>
        <v>0.30622771520252234</v>
      </c>
      <c r="AO23" s="204">
        <f t="shared" si="93"/>
        <v>0.30704752696308724</v>
      </c>
      <c r="AP23" s="204">
        <f t="shared" si="93"/>
        <v>0.30812000897388336</v>
      </c>
      <c r="AQ23" s="296">
        <f t="shared" si="93"/>
        <v>0.3080711436619874</v>
      </c>
      <c r="AR23" s="49"/>
      <c r="AS23" s="48"/>
      <c r="AT23" s="103"/>
      <c r="AU23" s="103"/>
      <c r="AV23" s="103"/>
      <c r="AW23" s="103"/>
      <c r="AX23" s="103"/>
      <c r="AY23" s="103"/>
      <c r="AZ23" s="103"/>
      <c r="BA23" s="103"/>
      <c r="BB23" s="103"/>
      <c r="BC23" s="103"/>
      <c r="BD23" s="103"/>
      <c r="BE23" s="103"/>
      <c r="BF23" s="103"/>
      <c r="BG23" s="103"/>
      <c r="BH23" s="103"/>
      <c r="BI23" s="103"/>
      <c r="BJ23" s="103"/>
      <c r="BK23" s="103"/>
      <c r="BL23" s="103"/>
      <c r="BM23" s="103"/>
      <c r="BN23" s="103"/>
      <c r="BO23" s="103"/>
      <c r="BP23" s="103"/>
      <c r="BQ23" s="103"/>
      <c r="BR23" s="103"/>
      <c r="BS23" s="103"/>
      <c r="BT23" s="103"/>
      <c r="BU23" s="103"/>
      <c r="BV23" s="103"/>
      <c r="BW23" s="103"/>
      <c r="BX23" s="103"/>
      <c r="BY23" s="103"/>
      <c r="BZ23" s="103"/>
      <c r="CA23" s="103"/>
      <c r="CB23" s="103"/>
      <c r="CC23" s="103"/>
      <c r="CD23" s="103"/>
      <c r="CE23" s="103"/>
      <c r="CF23" s="103"/>
      <c r="CG23" s="103"/>
      <c r="CH23" s="103"/>
      <c r="CI23" s="103"/>
      <c r="CJ23" s="103"/>
      <c r="CK23" s="103"/>
      <c r="CL23" s="103"/>
      <c r="CM23" s="103"/>
      <c r="CN23" s="103"/>
      <c r="CO23" s="103"/>
      <c r="CP23" s="103"/>
      <c r="CQ23" s="103"/>
      <c r="CR23" s="103"/>
      <c r="CS23" s="103"/>
    </row>
    <row r="24" spans="2:97" s="139" customFormat="1" ht="13.5" customHeight="1">
      <c r="B24" s="1114" t="s">
        <v>221</v>
      </c>
      <c r="C24" s="104">
        <f>SUM(L24:O24)</f>
        <v>-0.18199999999999994</v>
      </c>
      <c r="D24" s="104">
        <f>SUM(P24:S24)</f>
        <v>10.125999999999998</v>
      </c>
      <c r="E24" s="104">
        <f>SUM(T24:W24)</f>
        <v>7.4009999999999998</v>
      </c>
      <c r="F24" s="104">
        <f>SUM(X24:AA24)</f>
        <v>113.8311382</v>
      </c>
      <c r="G24" s="119">
        <f>SUM(AB24:AE24)</f>
        <v>15.5501725</v>
      </c>
      <c r="H24" s="105">
        <f>SUM(AF24:AI24)</f>
        <v>8.8000000000000007</v>
      </c>
      <c r="I24" s="105">
        <f>SUM(AJ24:AM24)</f>
        <v>8.8000000000000007</v>
      </c>
      <c r="J24" s="105">
        <f>SUM(AK24:AN24)</f>
        <v>8.8000000000000007</v>
      </c>
      <c r="L24" s="282">
        <v>-1.718</v>
      </c>
      <c r="M24" s="179">
        <v>-0.55200000000000005</v>
      </c>
      <c r="N24" s="179">
        <v>-0.83299999999999996</v>
      </c>
      <c r="O24" s="294">
        <v>2.9209999999999998</v>
      </c>
      <c r="P24" s="179">
        <v>1.825</v>
      </c>
      <c r="Q24" s="179">
        <v>9.6649999999999991</v>
      </c>
      <c r="R24" s="179">
        <v>-1.3640000000000001</v>
      </c>
      <c r="S24" s="294">
        <v>0</v>
      </c>
      <c r="T24" s="179">
        <v>1.3660000000000001</v>
      </c>
      <c r="U24" s="179">
        <v>3.4350000000000001</v>
      </c>
      <c r="V24" s="179">
        <v>1.3</v>
      </c>
      <c r="W24" s="294">
        <v>1.3</v>
      </c>
      <c r="X24" s="179">
        <v>1.4990000000000001</v>
      </c>
      <c r="Y24" s="179">
        <v>4.5274856000000003</v>
      </c>
      <c r="Z24" s="179">
        <v>59.693571599999991</v>
      </c>
      <c r="AA24" s="294">
        <v>48.111081000000006</v>
      </c>
      <c r="AB24" s="179">
        <v>6.4767835000000007</v>
      </c>
      <c r="AC24" s="179">
        <v>4.1848840000000003</v>
      </c>
      <c r="AD24" s="179">
        <v>3.3015050000000006</v>
      </c>
      <c r="AE24" s="294">
        <v>1.587</v>
      </c>
      <c r="AF24" s="179">
        <v>2.2000000000000002</v>
      </c>
      <c r="AG24" s="177">
        <v>2.2000000000000002</v>
      </c>
      <c r="AH24" s="185">
        <v>2.2000000000000002</v>
      </c>
      <c r="AI24" s="310">
        <f>AH24</f>
        <v>2.2000000000000002</v>
      </c>
      <c r="AJ24" s="177">
        <f t="shared" ref="AJ24:AQ24" si="94">AI24</f>
        <v>2.2000000000000002</v>
      </c>
      <c r="AK24" s="177">
        <f t="shared" si="94"/>
        <v>2.2000000000000002</v>
      </c>
      <c r="AL24" s="177">
        <f t="shared" si="94"/>
        <v>2.2000000000000002</v>
      </c>
      <c r="AM24" s="310">
        <f t="shared" si="94"/>
        <v>2.2000000000000002</v>
      </c>
      <c r="AN24" s="177">
        <f t="shared" si="94"/>
        <v>2.2000000000000002</v>
      </c>
      <c r="AO24" s="177">
        <f t="shared" si="94"/>
        <v>2.2000000000000002</v>
      </c>
      <c r="AP24" s="177">
        <f t="shared" si="94"/>
        <v>2.2000000000000002</v>
      </c>
      <c r="AQ24" s="310">
        <f t="shared" si="94"/>
        <v>2.2000000000000002</v>
      </c>
      <c r="AR24" s="105"/>
      <c r="AS24" s="178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857"/>
      <c r="BI24" s="857"/>
      <c r="BJ24" s="857"/>
      <c r="BK24" s="857"/>
      <c r="BL24" s="857"/>
      <c r="BM24" s="857"/>
      <c r="BN24" s="857"/>
      <c r="BO24" s="857"/>
      <c r="BP24" s="857"/>
      <c r="BQ24" s="857"/>
      <c r="BR24" s="857"/>
      <c r="BS24" s="857"/>
      <c r="BT24" s="857"/>
      <c r="BU24" s="857"/>
      <c r="BV24" s="857"/>
      <c r="BW24" s="857"/>
      <c r="BX24" s="857"/>
      <c r="BY24" s="857"/>
      <c r="BZ24" s="857"/>
      <c r="CA24" s="857"/>
      <c r="CB24" s="857"/>
      <c r="CC24" s="857"/>
      <c r="CD24" s="857"/>
      <c r="CE24" s="857"/>
      <c r="CF24" s="857"/>
      <c r="CG24" s="857"/>
      <c r="CH24" s="857"/>
      <c r="CI24" s="857"/>
      <c r="CJ24" s="857"/>
      <c r="CK24" s="857"/>
      <c r="CL24" s="857"/>
      <c r="CM24" s="857"/>
      <c r="CN24" s="857"/>
      <c r="CO24" s="857"/>
      <c r="CP24" s="857"/>
      <c r="CQ24" s="857"/>
      <c r="CR24" s="857"/>
      <c r="CS24" s="857"/>
    </row>
    <row r="25" spans="2:97" s="134" customFormat="1" ht="13.5" customHeight="1">
      <c r="B25" s="713" t="s">
        <v>33</v>
      </c>
      <c r="C25" s="130">
        <f t="shared" ref="C25:L25" si="95">C22+C20+C24</f>
        <v>190.22</v>
      </c>
      <c r="D25" s="130">
        <f t="shared" si="95"/>
        <v>181.62800000000007</v>
      </c>
      <c r="E25" s="130">
        <f t="shared" si="95"/>
        <v>197.387</v>
      </c>
      <c r="F25" s="130">
        <f t="shared" si="95"/>
        <v>210.71713819999997</v>
      </c>
      <c r="G25" s="201">
        <f t="shared" si="95"/>
        <v>128.1311725000001</v>
      </c>
      <c r="H25" s="130">
        <f t="shared" si="95"/>
        <v>141.16118430000012</v>
      </c>
      <c r="I25" s="130">
        <f t="shared" si="95"/>
        <v>171.64071011899969</v>
      </c>
      <c r="J25" s="130">
        <f t="shared" si="95"/>
        <v>180.95470241357486</v>
      </c>
      <c r="L25" s="316">
        <f t="shared" si="95"/>
        <v>44.404000000000124</v>
      </c>
      <c r="M25" s="160">
        <f t="shared" ref="M25" si="96">M22+M20+M24</f>
        <v>45.03299999999998</v>
      </c>
      <c r="N25" s="160">
        <f t="shared" ref="N25" si="97">N22+N20+N24</f>
        <v>48.671999999999997</v>
      </c>
      <c r="O25" s="317">
        <f t="shared" ref="O25" si="98">O22+O20+O24</f>
        <v>52.111000000000026</v>
      </c>
      <c r="P25" s="160">
        <f t="shared" ref="P25" si="99">P22+P20+P24</f>
        <v>43.986999999999981</v>
      </c>
      <c r="Q25" s="160">
        <f t="shared" ref="Q25" si="100">Q22+Q20+Q24</f>
        <v>44.497000000000078</v>
      </c>
      <c r="R25" s="160">
        <f t="shared" ref="R25" si="101">R22+R20+R24</f>
        <v>44.646999999999942</v>
      </c>
      <c r="S25" s="317">
        <f t="shared" ref="S25" si="102">S22+S20+S24</f>
        <v>48.496999999999971</v>
      </c>
      <c r="T25" s="160">
        <f t="shared" ref="T25" si="103">T22+T20+T24</f>
        <v>49.239999999999995</v>
      </c>
      <c r="U25" s="160">
        <f t="shared" ref="U25" si="104">U22+U20+U24</f>
        <v>45.004000000000019</v>
      </c>
      <c r="V25" s="160">
        <f t="shared" ref="V25" si="105">V22+V20+V24</f>
        <v>51.866999999999905</v>
      </c>
      <c r="W25" s="317">
        <f t="shared" ref="W25" si="106">W22+W20+W24</f>
        <v>51.275999999999996</v>
      </c>
      <c r="X25" s="160">
        <f t="shared" ref="X25" si="107">X22+X20+X24</f>
        <v>42.26400000000001</v>
      </c>
      <c r="Y25" s="160">
        <f t="shared" ref="Y25" si="108">Y22+Y20+Y24</f>
        <v>44.311485599999955</v>
      </c>
      <c r="Z25" s="160">
        <f t="shared" ref="Z25" si="109">Z22+Z20+Z24</f>
        <v>96.865571599999981</v>
      </c>
      <c r="AA25" s="317">
        <f t="shared" ref="AA25" si="110">AA22+AA20+AA24</f>
        <v>27.276081000000026</v>
      </c>
      <c r="AB25" s="160">
        <f t="shared" ref="AB25" si="111">AB22+AB20+AB24</f>
        <v>35.70578350000001</v>
      </c>
      <c r="AC25" s="160">
        <f t="shared" ref="AC25" si="112">AC22+AC20+AC24</f>
        <v>31.360883999999952</v>
      </c>
      <c r="AD25" s="160">
        <f t="shared" ref="AD25" si="113">AD22+AD20+AD24</f>
        <v>33.347504999999991</v>
      </c>
      <c r="AE25" s="317">
        <f t="shared" ref="AE25" si="114">AE22+AE20+AE24</f>
        <v>27.716999999999988</v>
      </c>
      <c r="AF25" s="160">
        <f t="shared" ref="AF25" si="115">AF22+AF20+AF24</f>
        <v>22.23700000000002</v>
      </c>
      <c r="AG25" s="160">
        <f t="shared" ref="AG25" si="116">AG22+AG20+AG24</f>
        <v>30.720000000000024</v>
      </c>
      <c r="AH25" s="160">
        <f t="shared" ref="AH25" si="117">AH22+AH20+AH24</f>
        <v>44.964277239999987</v>
      </c>
      <c r="AI25" s="317">
        <f t="shared" ref="AI25" si="118">AI22+AI20+AI24</f>
        <v>43.23990706</v>
      </c>
      <c r="AJ25" s="160">
        <f t="shared" ref="AJ25" si="119">AJ22+AJ20+AJ24</f>
        <v>41.045022874999987</v>
      </c>
      <c r="AK25" s="160">
        <f t="shared" ref="AK25" si="120">AK22+AK20+AK24</f>
        <v>41.901027299999939</v>
      </c>
      <c r="AL25" s="160">
        <f t="shared" ref="AL25" si="121">AL22+AL20+AL24</f>
        <v>43.583583626200053</v>
      </c>
      <c r="AM25" s="317">
        <f t="shared" ref="AM25" si="122">AM22+AM20+AM24</f>
        <v>41.907099059800025</v>
      </c>
      <c r="AN25" s="160">
        <f t="shared" ref="AN25" si="123">AN22+AN20+AN24</f>
        <v>46.713137720825017</v>
      </c>
      <c r="AO25" s="160">
        <f t="shared" ref="AO25" si="124">AO22+AO20+AO24</f>
        <v>47.7395800245</v>
      </c>
      <c r="AP25" s="160">
        <f t="shared" ref="AP25" si="125">AP22+AP20+AP24</f>
        <v>49.732502163697006</v>
      </c>
      <c r="AQ25" s="317">
        <f t="shared" ref="AQ25" si="126">AQ22+AQ20+AQ24</f>
        <v>47.80414881155501</v>
      </c>
      <c r="AR25" s="202"/>
      <c r="AS25" s="203"/>
      <c r="AT25" s="132"/>
      <c r="AU25" s="132"/>
      <c r="AV25" s="132"/>
      <c r="AW25" s="132"/>
      <c r="AX25" s="132"/>
      <c r="AY25" s="132"/>
      <c r="AZ25" s="132"/>
      <c r="BA25" s="132"/>
      <c r="BB25" s="132"/>
      <c r="BC25" s="132"/>
      <c r="BD25" s="132"/>
      <c r="BE25" s="132"/>
      <c r="BF25" s="132"/>
      <c r="BG25" s="132"/>
      <c r="BH25" s="860"/>
      <c r="BI25" s="860"/>
      <c r="BJ25" s="860"/>
      <c r="BK25" s="860"/>
      <c r="BL25" s="860"/>
      <c r="BM25" s="860"/>
      <c r="BN25" s="860"/>
      <c r="BO25" s="860"/>
      <c r="BP25" s="860"/>
      <c r="BQ25" s="860"/>
      <c r="BR25" s="860"/>
      <c r="BS25" s="860"/>
      <c r="BT25" s="860"/>
      <c r="BU25" s="860"/>
      <c r="BV25" s="860"/>
      <c r="BW25" s="860"/>
      <c r="BX25" s="860"/>
      <c r="BY25" s="860"/>
      <c r="BZ25" s="860"/>
      <c r="CA25" s="860"/>
      <c r="CB25" s="860"/>
      <c r="CC25" s="860"/>
      <c r="CD25" s="860"/>
      <c r="CE25" s="860"/>
      <c r="CF25" s="860"/>
      <c r="CG25" s="860"/>
      <c r="CH25" s="860"/>
      <c r="CI25" s="860"/>
      <c r="CJ25" s="860"/>
      <c r="CK25" s="860"/>
      <c r="CL25" s="860"/>
      <c r="CM25" s="860"/>
      <c r="CN25" s="860"/>
      <c r="CO25" s="860"/>
      <c r="CP25" s="860"/>
      <c r="CQ25" s="860"/>
      <c r="CR25" s="860"/>
      <c r="CS25" s="860"/>
    </row>
    <row r="26" spans="2:97" s="139" customFormat="1" ht="13.5" customHeight="1">
      <c r="B26" s="206" t="s">
        <v>50</v>
      </c>
      <c r="C26" s="104">
        <f>SUM(L26:O26)</f>
        <v>10.088000000000001</v>
      </c>
      <c r="D26" s="104">
        <f>SUM(P26:S26)</f>
        <v>8.8670000000000009</v>
      </c>
      <c r="E26" s="104">
        <f>SUM(T26:W26)</f>
        <v>7.8839999999999995</v>
      </c>
      <c r="F26" s="104">
        <f>SUM(X26:AA26)</f>
        <v>11.485000000000001</v>
      </c>
      <c r="G26" s="119">
        <f>SUM(AB26:AE26)</f>
        <v>3.5140000000000002</v>
      </c>
      <c r="H26" s="105">
        <f ca="1">SUM(AF26:AI26)</f>
        <v>9.6289789212920347</v>
      </c>
      <c r="I26" s="105">
        <f t="shared" ref="I26:J28" ca="1" si="127">SUM(AJ26:AM26)</f>
        <v>11.657376464181375</v>
      </c>
      <c r="J26" s="105">
        <f t="shared" ca="1" si="127"/>
        <v>11.712617968914874</v>
      </c>
      <c r="L26" s="282">
        <v>2.74</v>
      </c>
      <c r="M26" s="179">
        <v>2.5369999999999999</v>
      </c>
      <c r="N26" s="179">
        <v>2.5110000000000001</v>
      </c>
      <c r="O26" s="294">
        <v>2.2999999999999998</v>
      </c>
      <c r="P26" s="179">
        <v>2.4980000000000002</v>
      </c>
      <c r="Q26" s="179">
        <v>2.2040000000000002</v>
      </c>
      <c r="R26" s="179">
        <v>2.0979999999999999</v>
      </c>
      <c r="S26" s="294">
        <v>2.0670000000000002</v>
      </c>
      <c r="T26" s="179">
        <v>2.1110000000000002</v>
      </c>
      <c r="U26" s="179">
        <v>1.9850000000000001</v>
      </c>
      <c r="V26" s="179">
        <v>1.879</v>
      </c>
      <c r="W26" s="294">
        <v>1.909</v>
      </c>
      <c r="X26" s="179">
        <v>2.056</v>
      </c>
      <c r="Y26" s="179">
        <v>1.4730000000000001</v>
      </c>
      <c r="Z26" s="179">
        <v>7.4509999999999996</v>
      </c>
      <c r="AA26" s="294">
        <v>0.505</v>
      </c>
      <c r="AB26" s="179">
        <v>0.50600000000000001</v>
      </c>
      <c r="AC26" s="179">
        <v>0.55900000000000005</v>
      </c>
      <c r="AD26" s="179">
        <v>1.294</v>
      </c>
      <c r="AE26" s="294">
        <v>1.155</v>
      </c>
      <c r="AF26" s="179">
        <v>1.6160000000000001</v>
      </c>
      <c r="AG26" s="177">
        <v>2.2029999999999998</v>
      </c>
      <c r="AH26" s="205">
        <f ca="1">Debt!I28</f>
        <v>2.8983982376288786</v>
      </c>
      <c r="AI26" s="311">
        <f ca="1">Debt!J28</f>
        <v>2.9115806836631561</v>
      </c>
      <c r="AJ26" s="205">
        <f ca="1">Debt!K28</f>
        <v>2.8957528099705385</v>
      </c>
      <c r="AK26" s="205">
        <f ca="1">Debt!L28</f>
        <v>2.9135020293674101</v>
      </c>
      <c r="AL26" s="205">
        <f ca="1">Debt!M28</f>
        <v>2.9218203493323207</v>
      </c>
      <c r="AM26" s="311">
        <f ca="1">Debt!N28</f>
        <v>2.926301275511106</v>
      </c>
      <c r="AN26" s="205">
        <f ca="1">Debt!O28</f>
        <v>2.9509943147040372</v>
      </c>
      <c r="AO26" s="205">
        <f ca="1">Debt!P28</f>
        <v>2.9582475695328827</v>
      </c>
      <c r="AP26" s="205">
        <f ca="1">Debt!Q28</f>
        <v>2.9551691650972858</v>
      </c>
      <c r="AQ26" s="311">
        <f ca="1">Debt!R28</f>
        <v>2.9477283286354061</v>
      </c>
      <c r="AR26" s="105"/>
      <c r="AS26" s="178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 s="104"/>
      <c r="BF26" s="104"/>
      <c r="BG26" s="104"/>
      <c r="BH26" s="857"/>
      <c r="BI26" s="857"/>
      <c r="BJ26" s="857"/>
      <c r="BK26" s="857"/>
      <c r="BL26" s="857"/>
      <c r="BM26" s="857"/>
      <c r="BN26" s="857"/>
      <c r="BO26" s="857"/>
      <c r="BP26" s="857"/>
      <c r="BQ26" s="857"/>
      <c r="BR26" s="857"/>
      <c r="BS26" s="857"/>
      <c r="BT26" s="857"/>
      <c r="BU26" s="857"/>
      <c r="BV26" s="857"/>
      <c r="BW26" s="857"/>
      <c r="BX26" s="857"/>
      <c r="BY26" s="857"/>
      <c r="BZ26" s="857"/>
      <c r="CA26" s="857"/>
      <c r="CB26" s="857"/>
      <c r="CC26" s="857"/>
      <c r="CD26" s="857"/>
      <c r="CE26" s="857"/>
      <c r="CF26" s="857"/>
      <c r="CG26" s="857"/>
      <c r="CH26" s="857"/>
      <c r="CI26" s="857"/>
      <c r="CJ26" s="857"/>
      <c r="CK26" s="857"/>
      <c r="CL26" s="857"/>
      <c r="CM26" s="857"/>
      <c r="CN26" s="857"/>
      <c r="CO26" s="857"/>
      <c r="CP26" s="857"/>
      <c r="CQ26" s="857"/>
      <c r="CR26" s="857"/>
      <c r="CS26" s="857"/>
    </row>
    <row r="27" spans="2:97" s="139" customFormat="1" ht="13.5" customHeight="1">
      <c r="B27" s="206" t="s">
        <v>38</v>
      </c>
      <c r="C27" s="104">
        <f>C22-C26</f>
        <v>96.325999999999993</v>
      </c>
      <c r="D27" s="104">
        <f>D22-D26</f>
        <v>79.673000000000073</v>
      </c>
      <c r="E27" s="104">
        <f>E22-E26</f>
        <v>99.989999999999966</v>
      </c>
      <c r="F27" s="104">
        <f>F22-F26</f>
        <v>19.157999999999973</v>
      </c>
      <c r="G27" s="120">
        <f>G22-G26</f>
        <v>29.611000000000114</v>
      </c>
      <c r="H27" s="105">
        <f ca="1">SUM(AF27:AI27)</f>
        <v>42.08317397870799</v>
      </c>
      <c r="I27" s="105">
        <f t="shared" ca="1" si="127"/>
        <v>60.37744765881861</v>
      </c>
      <c r="J27" s="105">
        <f t="shared" ca="1" si="127"/>
        <v>65.646466271660159</v>
      </c>
      <c r="L27" s="281">
        <f t="shared" ref="L27:AQ27" si="128">L22-L26</f>
        <v>22.399000000000122</v>
      </c>
      <c r="M27" s="105">
        <f t="shared" si="128"/>
        <v>22.369999999999983</v>
      </c>
      <c r="N27" s="105">
        <f t="shared" si="128"/>
        <v>25.882000000000001</v>
      </c>
      <c r="O27" s="293">
        <f t="shared" si="128"/>
        <v>25.675000000000022</v>
      </c>
      <c r="P27" s="105">
        <f t="shared" si="128"/>
        <v>18.88799999999998</v>
      </c>
      <c r="Q27" s="105">
        <f t="shared" si="128"/>
        <v>11.706000000000081</v>
      </c>
      <c r="R27" s="105">
        <f t="shared" si="128"/>
        <v>23.335999999999942</v>
      </c>
      <c r="S27" s="293">
        <f t="shared" si="128"/>
        <v>25.742999999999974</v>
      </c>
      <c r="T27" s="105">
        <f t="shared" si="128"/>
        <v>25.38399999999999</v>
      </c>
      <c r="U27" s="105">
        <f t="shared" si="128"/>
        <v>19.345000000000013</v>
      </c>
      <c r="V27" s="105">
        <f t="shared" si="128"/>
        <v>28.378999999999909</v>
      </c>
      <c r="W27" s="293">
        <f t="shared" si="128"/>
        <v>26.881999999999998</v>
      </c>
      <c r="X27" s="105">
        <f t="shared" si="128"/>
        <v>23.455000000000009</v>
      </c>
      <c r="Y27" s="105">
        <f t="shared" si="128"/>
        <v>21.999999999999957</v>
      </c>
      <c r="Z27" s="105">
        <f t="shared" si="128"/>
        <v>12.698</v>
      </c>
      <c r="AA27" s="293">
        <f t="shared" si="128"/>
        <v>-38.994999999999983</v>
      </c>
      <c r="AB27" s="105">
        <f t="shared" si="128"/>
        <v>11.493000000000009</v>
      </c>
      <c r="AC27" s="105">
        <f t="shared" si="128"/>
        <v>8.3359999999999541</v>
      </c>
      <c r="AD27" s="105">
        <f t="shared" si="128"/>
        <v>6.659999999999993</v>
      </c>
      <c r="AE27" s="293">
        <f t="shared" si="128"/>
        <v>3.1219999999999866</v>
      </c>
      <c r="AF27" s="105">
        <f t="shared" si="128"/>
        <v>-1.5519999999999787</v>
      </c>
      <c r="AG27" s="105">
        <f t="shared" si="128"/>
        <v>6.8470000000000262</v>
      </c>
      <c r="AH27" s="105">
        <f t="shared" ca="1" si="128"/>
        <v>18.839405202371101</v>
      </c>
      <c r="AI27" s="293">
        <f t="shared" ca="1" si="128"/>
        <v>17.948768776336838</v>
      </c>
      <c r="AJ27" s="105">
        <f t="shared" ca="1" si="128"/>
        <v>14.490851515029441</v>
      </c>
      <c r="AK27" s="105">
        <f t="shared" ca="1" si="128"/>
        <v>14.958740270632529</v>
      </c>
      <c r="AL27" s="105">
        <f t="shared" ca="1" si="128"/>
        <v>15.849508430867729</v>
      </c>
      <c r="AM27" s="293">
        <f t="shared" ca="1" si="128"/>
        <v>15.078347442288917</v>
      </c>
      <c r="AN27" s="105">
        <f t="shared" ca="1" si="128"/>
        <v>19.759870127870979</v>
      </c>
      <c r="AO27" s="105">
        <f t="shared" ca="1" si="128"/>
        <v>20.401622529967117</v>
      </c>
      <c r="AP27" s="105">
        <f t="shared" ca="1" si="128"/>
        <v>21.599981607309719</v>
      </c>
      <c r="AQ27" s="293">
        <f t="shared" ca="1" si="128"/>
        <v>20.603633110889604</v>
      </c>
      <c r="AR27" s="105"/>
      <c r="AS27" s="178"/>
      <c r="AT27" s="104"/>
      <c r="AU27" s="104"/>
      <c r="AV27" s="104"/>
      <c r="AW27" s="104"/>
      <c r="AX27" s="104"/>
      <c r="AY27" s="104"/>
      <c r="AZ27" s="104"/>
      <c r="BA27" s="104"/>
      <c r="BB27" s="104"/>
      <c r="BC27" s="104"/>
      <c r="BD27" s="104"/>
      <c r="BE27" s="104"/>
      <c r="BF27" s="104"/>
      <c r="BG27" s="104"/>
      <c r="BH27" s="857"/>
      <c r="BI27" s="857"/>
      <c r="BJ27" s="857"/>
      <c r="BK27" s="857"/>
      <c r="BL27" s="857"/>
      <c r="BM27" s="857"/>
      <c r="BN27" s="857"/>
      <c r="BO27" s="857"/>
      <c r="BP27" s="857"/>
      <c r="BQ27" s="857"/>
      <c r="BR27" s="857"/>
      <c r="BS27" s="857"/>
      <c r="BT27" s="857"/>
      <c r="BU27" s="857"/>
      <c r="BV27" s="857"/>
      <c r="BW27" s="857"/>
      <c r="BX27" s="857"/>
      <c r="BY27" s="857"/>
      <c r="BZ27" s="857"/>
      <c r="CA27" s="857"/>
      <c r="CB27" s="857"/>
      <c r="CC27" s="857"/>
      <c r="CD27" s="857"/>
      <c r="CE27" s="857"/>
      <c r="CF27" s="857"/>
      <c r="CG27" s="857"/>
      <c r="CH27" s="857"/>
      <c r="CI27" s="857"/>
      <c r="CJ27" s="857"/>
      <c r="CK27" s="857"/>
      <c r="CL27" s="857"/>
      <c r="CM27" s="857"/>
      <c r="CN27" s="857"/>
      <c r="CO27" s="857"/>
      <c r="CP27" s="857"/>
      <c r="CQ27" s="857"/>
      <c r="CR27" s="857"/>
      <c r="CS27" s="857"/>
    </row>
    <row r="28" spans="2:97" s="139" customFormat="1" ht="13.5" customHeight="1">
      <c r="B28" s="206" t="s">
        <v>19</v>
      </c>
      <c r="C28" s="104">
        <f>SUM(L28:O28)</f>
        <v>25.997999999999998</v>
      </c>
      <c r="D28" s="104">
        <f>SUM(P28:S28)</f>
        <v>25.509999999999998</v>
      </c>
      <c r="E28" s="104">
        <f>SUM(T28:W28)</f>
        <v>25.614000000000001</v>
      </c>
      <c r="F28" s="104">
        <f>SUM(X28:AA28)</f>
        <v>-142.52300000000002</v>
      </c>
      <c r="G28" s="119">
        <f>SUM(AB28:AE28)</f>
        <v>-0.17600000000000104</v>
      </c>
      <c r="H28" s="105">
        <f ca="1">SUM(AF28:AI28)</f>
        <v>9.0631617548899044</v>
      </c>
      <c r="I28" s="105">
        <f t="shared" ca="1" si="127"/>
        <v>16.905685344469216</v>
      </c>
      <c r="J28" s="105">
        <f t="shared" ca="1" si="127"/>
        <v>18.381010556064844</v>
      </c>
      <c r="L28" s="282">
        <v>6.2839999999999998</v>
      </c>
      <c r="M28" s="179">
        <v>6.8879999999999999</v>
      </c>
      <c r="N28" s="179">
        <v>7.915</v>
      </c>
      <c r="O28" s="294">
        <v>4.9109999999999996</v>
      </c>
      <c r="P28" s="179">
        <v>6.3390000000000004</v>
      </c>
      <c r="Q28" s="179">
        <v>3.9159999999999999</v>
      </c>
      <c r="R28" s="179">
        <v>7.87</v>
      </c>
      <c r="S28" s="294">
        <v>7.3849999999999998</v>
      </c>
      <c r="T28" s="179">
        <v>7.5720000000000001</v>
      </c>
      <c r="U28" s="179">
        <v>6.5979999999999999</v>
      </c>
      <c r="V28" s="179">
        <v>6.5979999999999999</v>
      </c>
      <c r="W28" s="294">
        <v>4.8460000000000001</v>
      </c>
      <c r="X28" s="179">
        <v>8.4269999999999996</v>
      </c>
      <c r="Y28" s="179">
        <v>7.45</v>
      </c>
      <c r="Z28" s="179">
        <v>-92.381</v>
      </c>
      <c r="AA28" s="294">
        <v>-66.019000000000005</v>
      </c>
      <c r="AB28" s="179">
        <v>3.0019999999999998</v>
      </c>
      <c r="AC28" s="179">
        <v>2.5019999999999998</v>
      </c>
      <c r="AD28" s="179">
        <v>1.002</v>
      </c>
      <c r="AE28" s="294">
        <v>-6.6820000000000004</v>
      </c>
      <c r="AF28" s="179">
        <v>-0.53600000000000003</v>
      </c>
      <c r="AG28" s="177">
        <v>0.77</v>
      </c>
      <c r="AH28" s="177">
        <f t="shared" ref="AH28:AQ28" ca="1" si="129">AH27*AH30</f>
        <v>4.5214572485690638</v>
      </c>
      <c r="AI28" s="310">
        <f t="shared" ca="1" si="129"/>
        <v>4.3077045063208406</v>
      </c>
      <c r="AJ28" s="177">
        <f t="shared" ca="1" si="129"/>
        <v>4.057438424208244</v>
      </c>
      <c r="AK28" s="177">
        <f t="shared" ca="1" si="129"/>
        <v>4.1884472757771087</v>
      </c>
      <c r="AL28" s="177">
        <f t="shared" ca="1" si="129"/>
        <v>4.4378623606429644</v>
      </c>
      <c r="AM28" s="310">
        <f t="shared" ca="1" si="129"/>
        <v>4.2219372838408971</v>
      </c>
      <c r="AN28" s="177">
        <f t="shared" ca="1" si="129"/>
        <v>5.5327636358038745</v>
      </c>
      <c r="AO28" s="177">
        <f t="shared" ca="1" si="129"/>
        <v>5.712454308390793</v>
      </c>
      <c r="AP28" s="177">
        <f t="shared" ca="1" si="129"/>
        <v>6.047994850046722</v>
      </c>
      <c r="AQ28" s="310">
        <f t="shared" ca="1" si="129"/>
        <v>5.7690172710490897</v>
      </c>
      <c r="AR28" s="105"/>
      <c r="AS28" s="178"/>
      <c r="AT28" s="104"/>
      <c r="AU28" s="104"/>
      <c r="AV28" s="104"/>
      <c r="AW28" s="104"/>
      <c r="AX28" s="104"/>
      <c r="AY28" s="104"/>
      <c r="AZ28" s="104"/>
      <c r="BA28" s="104"/>
      <c r="BB28" s="104"/>
      <c r="BC28" s="104"/>
      <c r="BD28" s="104"/>
      <c r="BE28" s="104"/>
      <c r="BF28" s="104"/>
      <c r="BG28" s="104"/>
      <c r="BH28" s="857"/>
      <c r="BI28" s="857"/>
      <c r="BJ28" s="857"/>
      <c r="BK28" s="857"/>
      <c r="BL28" s="857"/>
      <c r="BM28" s="857"/>
      <c r="BN28" s="857"/>
      <c r="BO28" s="857"/>
      <c r="BP28" s="857"/>
      <c r="BQ28" s="857"/>
      <c r="BR28" s="857"/>
      <c r="BS28" s="857"/>
      <c r="BT28" s="857"/>
      <c r="BU28" s="857"/>
      <c r="BV28" s="857"/>
      <c r="BW28" s="857"/>
      <c r="BX28" s="857"/>
      <c r="BY28" s="857"/>
      <c r="BZ28" s="857"/>
      <c r="CA28" s="857"/>
      <c r="CB28" s="857"/>
      <c r="CC28" s="857"/>
      <c r="CD28" s="857"/>
      <c r="CE28" s="857"/>
      <c r="CF28" s="857"/>
      <c r="CG28" s="857"/>
      <c r="CH28" s="857"/>
      <c r="CI28" s="857"/>
      <c r="CJ28" s="857"/>
      <c r="CK28" s="857"/>
      <c r="CL28" s="857"/>
      <c r="CM28" s="857"/>
      <c r="CN28" s="857"/>
      <c r="CO28" s="857"/>
      <c r="CP28" s="857"/>
      <c r="CQ28" s="857"/>
      <c r="CR28" s="857"/>
      <c r="CS28" s="857"/>
    </row>
    <row r="29" spans="2:97" s="320" customFormat="1" ht="13.5" customHeight="1" thickBot="1">
      <c r="B29" s="715" t="s">
        <v>0</v>
      </c>
      <c r="C29" s="52">
        <f>C27-C28</f>
        <v>70.328000000000003</v>
      </c>
      <c r="D29" s="52">
        <f>D27-D28</f>
        <v>54.163000000000075</v>
      </c>
      <c r="E29" s="52">
        <f>E27-E28</f>
        <v>74.375999999999962</v>
      </c>
      <c r="F29" s="52">
        <v>-1.7</v>
      </c>
      <c r="G29" s="121">
        <v>32.5</v>
      </c>
      <c r="H29" s="52">
        <f ca="1">H27-H28</f>
        <v>33.020012223818085</v>
      </c>
      <c r="I29" s="52">
        <f ca="1">I27-I28</f>
        <v>43.471762314349391</v>
      </c>
      <c r="J29" s="52">
        <f ca="1">J27-J28</f>
        <v>47.265455715595316</v>
      </c>
      <c r="L29" s="321">
        <f t="shared" ref="L29:P29" si="130">L27-L28</f>
        <v>16.115000000000123</v>
      </c>
      <c r="M29" s="322">
        <f t="shared" si="130"/>
        <v>15.481999999999983</v>
      </c>
      <c r="N29" s="322">
        <f t="shared" si="130"/>
        <v>17.967000000000002</v>
      </c>
      <c r="O29" s="323">
        <f t="shared" si="130"/>
        <v>20.764000000000024</v>
      </c>
      <c r="P29" s="322">
        <f t="shared" si="130"/>
        <v>12.54899999999998</v>
      </c>
      <c r="Q29" s="322">
        <f>Q27-Q28</f>
        <v>7.7900000000000809</v>
      </c>
      <c r="R29" s="322">
        <f>R27-R28</f>
        <v>15.465999999999941</v>
      </c>
      <c r="S29" s="323">
        <f>S27-S28</f>
        <v>18.357999999999976</v>
      </c>
      <c r="T29" s="322">
        <f>T27-T28</f>
        <v>17.811999999999991</v>
      </c>
      <c r="U29" s="322">
        <f t="shared" ref="U29:AQ29" si="131">U27-U28</f>
        <v>12.747000000000014</v>
      </c>
      <c r="V29" s="322">
        <f t="shared" si="131"/>
        <v>21.78099999999991</v>
      </c>
      <c r="W29" s="323">
        <f t="shared" si="131"/>
        <v>22.035999999999998</v>
      </c>
      <c r="X29" s="322">
        <f t="shared" si="131"/>
        <v>15.028000000000009</v>
      </c>
      <c r="Y29" s="322">
        <f t="shared" si="131"/>
        <v>14.549999999999958</v>
      </c>
      <c r="Z29" s="322">
        <f>Z27-Z28-80</f>
        <v>25.079000000000008</v>
      </c>
      <c r="AA29" s="323">
        <f t="shared" si="131"/>
        <v>27.024000000000022</v>
      </c>
      <c r="AB29" s="322">
        <f t="shared" si="131"/>
        <v>8.4910000000000103</v>
      </c>
      <c r="AC29" s="322">
        <f t="shared" si="131"/>
        <v>5.8339999999999543</v>
      </c>
      <c r="AD29" s="322">
        <f t="shared" si="131"/>
        <v>5.6579999999999933</v>
      </c>
      <c r="AE29" s="323">
        <f>AE27-AE28+3.2</f>
        <v>13.003999999999987</v>
      </c>
      <c r="AF29" s="322">
        <f t="shared" si="131"/>
        <v>-1.0159999999999787</v>
      </c>
      <c r="AG29" s="322">
        <f t="shared" si="131"/>
        <v>6.0770000000000266</v>
      </c>
      <c r="AH29" s="322">
        <f t="shared" ca="1" si="131"/>
        <v>14.317947953802037</v>
      </c>
      <c r="AI29" s="323">
        <f t="shared" ca="1" si="131"/>
        <v>13.641064270015997</v>
      </c>
      <c r="AJ29" s="322">
        <f t="shared" ca="1" si="131"/>
        <v>10.433413090821197</v>
      </c>
      <c r="AK29" s="322">
        <f t="shared" ca="1" si="131"/>
        <v>10.770292994855421</v>
      </c>
      <c r="AL29" s="322">
        <f t="shared" ca="1" si="131"/>
        <v>11.411646070224766</v>
      </c>
      <c r="AM29" s="323">
        <f t="shared" ca="1" si="131"/>
        <v>10.856410158448021</v>
      </c>
      <c r="AN29" s="322">
        <f t="shared" ca="1" si="131"/>
        <v>14.227106492067104</v>
      </c>
      <c r="AO29" s="322">
        <f t="shared" ca="1" si="131"/>
        <v>14.689168221576324</v>
      </c>
      <c r="AP29" s="322">
        <f t="shared" ca="1" si="131"/>
        <v>15.551986757262997</v>
      </c>
      <c r="AQ29" s="323">
        <f t="shared" ca="1" si="131"/>
        <v>14.834615839840513</v>
      </c>
      <c r="AR29" s="318"/>
      <c r="AS29" s="319"/>
      <c r="AT29" s="861"/>
      <c r="AU29" s="861"/>
      <c r="AV29" s="861"/>
      <c r="AW29" s="861"/>
      <c r="AX29" s="861"/>
      <c r="AY29" s="861"/>
      <c r="AZ29" s="861"/>
      <c r="BA29" s="861"/>
      <c r="BB29" s="861"/>
      <c r="BC29" s="861"/>
      <c r="BD29" s="861"/>
      <c r="BE29" s="861"/>
      <c r="BF29" s="861"/>
      <c r="BG29" s="861"/>
      <c r="BH29" s="861"/>
      <c r="BI29" s="861"/>
      <c r="BJ29" s="861"/>
      <c r="BK29" s="861"/>
      <c r="BL29" s="861"/>
      <c r="BM29" s="861"/>
      <c r="BN29" s="861"/>
      <c r="BO29" s="861"/>
      <c r="BP29" s="861"/>
      <c r="BQ29" s="861"/>
      <c r="BR29" s="861"/>
      <c r="BS29" s="861"/>
      <c r="BT29" s="861"/>
      <c r="BU29" s="861"/>
      <c r="BV29" s="861"/>
      <c r="BW29" s="861"/>
      <c r="BX29" s="861"/>
      <c r="BY29" s="861"/>
      <c r="BZ29" s="861"/>
      <c r="CA29" s="861"/>
      <c r="CB29" s="861"/>
      <c r="CC29" s="861"/>
      <c r="CD29" s="861"/>
      <c r="CE29" s="861"/>
      <c r="CF29" s="861"/>
      <c r="CG29" s="861"/>
      <c r="CH29" s="861"/>
      <c r="CI29" s="861"/>
      <c r="CJ29" s="861"/>
      <c r="CK29" s="861"/>
      <c r="CL29" s="861"/>
      <c r="CM29" s="861"/>
      <c r="CN29" s="861"/>
      <c r="CO29" s="861"/>
      <c r="CP29" s="861"/>
      <c r="CQ29" s="861"/>
      <c r="CR29" s="861"/>
      <c r="CS29" s="861"/>
    </row>
    <row r="30" spans="2:97" s="102" customFormat="1" ht="13.5" customHeight="1">
      <c r="B30" s="164" t="s">
        <v>51</v>
      </c>
      <c r="C30" s="153">
        <f>C28/C27</f>
        <v>0.26989597824055811</v>
      </c>
      <c r="D30" s="153">
        <f>D28/D27</f>
        <v>0.32018375108254959</v>
      </c>
      <c r="E30" s="153">
        <f>E28/E27</f>
        <v>0.25616561656165626</v>
      </c>
      <c r="F30" s="153">
        <v>0</v>
      </c>
      <c r="G30" s="154">
        <v>0</v>
      </c>
      <c r="H30" s="153">
        <f ca="1">H28/H27</f>
        <v>0.21536307502555338</v>
      </c>
      <c r="I30" s="153">
        <f ca="1">I28/I27</f>
        <v>0.28000000000000008</v>
      </c>
      <c r="J30" s="153">
        <f ca="1">J28/J27</f>
        <v>0.27999999999999997</v>
      </c>
      <c r="L30" s="286">
        <f t="shared" ref="L30:AG30" si="132">L28/L27</f>
        <v>0.28054823876065743</v>
      </c>
      <c r="M30" s="153">
        <f t="shared" si="132"/>
        <v>0.30791238265534221</v>
      </c>
      <c r="N30" s="153">
        <f t="shared" si="132"/>
        <v>0.30581098833165904</v>
      </c>
      <c r="O30" s="298">
        <f t="shared" si="132"/>
        <v>0.19127555988315464</v>
      </c>
      <c r="P30" s="153">
        <f t="shared" si="132"/>
        <v>0.33560991105463822</v>
      </c>
      <c r="Q30" s="153">
        <f t="shared" si="132"/>
        <v>0.3345293012130508</v>
      </c>
      <c r="R30" s="153">
        <f t="shared" si="132"/>
        <v>0.33724717175180063</v>
      </c>
      <c r="S30" s="298">
        <f t="shared" si="132"/>
        <v>0.28687410169754912</v>
      </c>
      <c r="T30" s="153">
        <f t="shared" si="132"/>
        <v>0.29829814056098342</v>
      </c>
      <c r="U30" s="153">
        <f t="shared" si="132"/>
        <v>0.34107004393900209</v>
      </c>
      <c r="V30" s="153">
        <f t="shared" si="132"/>
        <v>0.23249585961450442</v>
      </c>
      <c r="W30" s="298">
        <f t="shared" si="132"/>
        <v>0.18026932519901795</v>
      </c>
      <c r="X30" s="153">
        <f t="shared" si="132"/>
        <v>0.35928373481134074</v>
      </c>
      <c r="Y30" s="153">
        <f t="shared" si="132"/>
        <v>0.33863636363636429</v>
      </c>
      <c r="Z30" s="153">
        <f t="shared" si="132"/>
        <v>-7.2752401953063472</v>
      </c>
      <c r="AA30" s="298">
        <f t="shared" si="132"/>
        <v>1.6930119246057196</v>
      </c>
      <c r="AB30" s="153">
        <f t="shared" si="132"/>
        <v>0.26120247106934635</v>
      </c>
      <c r="AC30" s="153">
        <f t="shared" si="132"/>
        <v>0.30014395393474252</v>
      </c>
      <c r="AD30" s="153">
        <f t="shared" si="132"/>
        <v>0.15045045045045061</v>
      </c>
      <c r="AE30" s="298">
        <f t="shared" si="132"/>
        <v>-2.1402946828955889</v>
      </c>
      <c r="AF30" s="153">
        <f t="shared" si="132"/>
        <v>0.34536082474227281</v>
      </c>
      <c r="AG30" s="153">
        <f t="shared" si="132"/>
        <v>0.11245801080765255</v>
      </c>
      <c r="AH30" s="172">
        <v>0.24</v>
      </c>
      <c r="AI30" s="573">
        <f>AH30</f>
        <v>0.24</v>
      </c>
      <c r="AJ30" s="172">
        <v>0.28000000000000003</v>
      </c>
      <c r="AK30" s="153">
        <f t="shared" ref="AK30:AN30" si="133">AJ30</f>
        <v>0.28000000000000003</v>
      </c>
      <c r="AL30" s="153">
        <f t="shared" si="133"/>
        <v>0.28000000000000003</v>
      </c>
      <c r="AM30" s="298">
        <f t="shared" si="133"/>
        <v>0.28000000000000003</v>
      </c>
      <c r="AN30" s="172">
        <f t="shared" si="133"/>
        <v>0.28000000000000003</v>
      </c>
      <c r="AO30" s="153">
        <f>AN30</f>
        <v>0.28000000000000003</v>
      </c>
      <c r="AP30" s="153">
        <f>AO30</f>
        <v>0.28000000000000003</v>
      </c>
      <c r="AQ30" s="298">
        <f>AP30</f>
        <v>0.28000000000000003</v>
      </c>
      <c r="AR30" s="49"/>
      <c r="AS30" s="48"/>
      <c r="AT30" s="103"/>
      <c r="AU30" s="103"/>
      <c r="AV30" s="103"/>
      <c r="AW30" s="103"/>
      <c r="AX30" s="103"/>
      <c r="AY30" s="103"/>
      <c r="AZ30" s="103"/>
      <c r="BA30" s="103"/>
      <c r="BB30" s="103"/>
      <c r="BC30" s="103"/>
      <c r="BD30" s="103"/>
      <c r="BE30" s="103"/>
      <c r="BF30" s="103"/>
      <c r="BG30" s="103"/>
      <c r="BH30" s="103"/>
      <c r="BI30" s="103"/>
      <c r="BJ30" s="103"/>
      <c r="BK30" s="103"/>
      <c r="BL30" s="103"/>
      <c r="BM30" s="103"/>
      <c r="BN30" s="103"/>
      <c r="BO30" s="103"/>
      <c r="BP30" s="103"/>
      <c r="BQ30" s="103"/>
      <c r="BR30" s="103"/>
      <c r="BS30" s="103"/>
      <c r="BT30" s="103"/>
      <c r="BU30" s="103"/>
      <c r="BV30" s="103"/>
      <c r="BW30" s="103"/>
      <c r="BX30" s="103"/>
      <c r="BY30" s="103"/>
      <c r="BZ30" s="103"/>
      <c r="CA30" s="103"/>
      <c r="CB30" s="103"/>
      <c r="CC30" s="103"/>
      <c r="CD30" s="103"/>
      <c r="CE30" s="103"/>
      <c r="CF30" s="103"/>
      <c r="CG30" s="103"/>
      <c r="CH30" s="103"/>
      <c r="CI30" s="103"/>
      <c r="CJ30" s="103"/>
      <c r="CK30" s="103"/>
      <c r="CL30" s="103"/>
      <c r="CM30" s="103"/>
      <c r="CN30" s="103"/>
      <c r="CO30" s="103"/>
      <c r="CP30" s="103"/>
      <c r="CQ30" s="103"/>
      <c r="CR30" s="103"/>
      <c r="CS30" s="103"/>
    </row>
    <row r="31" spans="2:97" s="59" customFormat="1" ht="13.5" customHeight="1">
      <c r="B31" s="166" t="s">
        <v>52</v>
      </c>
      <c r="C31" s="151">
        <v>30.8</v>
      </c>
      <c r="D31" s="151">
        <f>S31</f>
        <v>30.391999999999999</v>
      </c>
      <c r="E31" s="151">
        <v>29.7</v>
      </c>
      <c r="F31" s="151">
        <f>AA31</f>
        <v>27.901</v>
      </c>
      <c r="G31" s="152">
        <v>26.2</v>
      </c>
      <c r="H31" s="155">
        <f>AI31</f>
        <v>23.501390268123135</v>
      </c>
      <c r="I31" s="155">
        <f>AM31</f>
        <v>23.104170804369407</v>
      </c>
      <c r="J31" s="155">
        <f>AQ31</f>
        <v>22.706951340615678</v>
      </c>
      <c r="L31" s="287">
        <v>30.942</v>
      </c>
      <c r="M31" s="186">
        <v>31.117999999999999</v>
      </c>
      <c r="N31" s="186">
        <v>30.936</v>
      </c>
      <c r="O31" s="299">
        <v>30.565999999999999</v>
      </c>
      <c r="P31" s="186">
        <v>30.506</v>
      </c>
      <c r="Q31" s="186">
        <v>30.402999999999999</v>
      </c>
      <c r="R31" s="186">
        <v>30.32</v>
      </c>
      <c r="S31" s="299">
        <v>30.391999999999999</v>
      </c>
      <c r="T31" s="186">
        <v>30.437000000000001</v>
      </c>
      <c r="U31" s="186">
        <v>30.140999999999998</v>
      </c>
      <c r="V31" s="186">
        <v>29.414999999999999</v>
      </c>
      <c r="W31" s="299">
        <v>29.134</v>
      </c>
      <c r="X31" s="186">
        <v>28.361999999999998</v>
      </c>
      <c r="Y31" s="186">
        <v>28.536000000000001</v>
      </c>
      <c r="Z31" s="186">
        <v>28.135999999999999</v>
      </c>
      <c r="AA31" s="299">
        <v>27.901</v>
      </c>
      <c r="AB31" s="186">
        <v>27.617000000000001</v>
      </c>
      <c r="AC31" s="186">
        <v>26.472000000000001</v>
      </c>
      <c r="AD31" s="186">
        <v>26.376999999999999</v>
      </c>
      <c r="AE31" s="299">
        <v>24.425999999999998</v>
      </c>
      <c r="AF31" s="186">
        <v>23.588999999999999</v>
      </c>
      <c r="AG31" s="187">
        <v>23.7</v>
      </c>
      <c r="AH31" s="188">
        <f>AG31+(Equity!I9/Summary!$E$7)</f>
        <v>23.600695134061567</v>
      </c>
      <c r="AI31" s="312">
        <f>AH31+(Equity!J9/Summary!$E$7)</f>
        <v>23.501390268123135</v>
      </c>
      <c r="AJ31" s="188">
        <f>AI31+(Equity!K9/Summary!$E$7)</f>
        <v>23.402085402184703</v>
      </c>
      <c r="AK31" s="188">
        <f>AJ31+(Equity!L9/Summary!$E$7)</f>
        <v>23.302780536246271</v>
      </c>
      <c r="AL31" s="188">
        <f>AK31+(Equity!M9/Summary!$E$7)</f>
        <v>23.203475670307839</v>
      </c>
      <c r="AM31" s="312">
        <f>AL31+(Equity!N9/Summary!$E$7)</f>
        <v>23.104170804369407</v>
      </c>
      <c r="AN31" s="188">
        <f>AM31+(Equity!O9/Summary!$E$7)</f>
        <v>23.004865938430974</v>
      </c>
      <c r="AO31" s="188">
        <f>AN31+(Equity!P9/Summary!$E$7)</f>
        <v>22.905561072492542</v>
      </c>
      <c r="AP31" s="188">
        <f>AO31+(Equity!Q9/Summary!$E$7)</f>
        <v>22.80625620655411</v>
      </c>
      <c r="AQ31" s="312">
        <f>AP31+(Equity!R9/Summary!$E$7)</f>
        <v>22.706951340615678</v>
      </c>
      <c r="AR31" s="80"/>
      <c r="AS31" s="189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62"/>
      <c r="BI31" s="862"/>
      <c r="BJ31" s="862"/>
      <c r="BK31" s="862"/>
      <c r="BL31" s="862"/>
      <c r="BM31" s="862"/>
      <c r="BN31" s="862"/>
      <c r="BO31" s="862"/>
      <c r="BP31" s="862"/>
      <c r="BQ31" s="862"/>
      <c r="BR31" s="862"/>
      <c r="BS31" s="862"/>
      <c r="BT31" s="862"/>
      <c r="BU31" s="862"/>
      <c r="BV31" s="862"/>
      <c r="BW31" s="862"/>
      <c r="BX31" s="862"/>
      <c r="BY31" s="862"/>
      <c r="BZ31" s="862"/>
      <c r="CA31" s="862"/>
      <c r="CB31" s="862"/>
      <c r="CC31" s="862"/>
      <c r="CD31" s="862"/>
      <c r="CE31" s="862"/>
      <c r="CF31" s="862"/>
      <c r="CG31" s="862"/>
      <c r="CH31" s="862"/>
      <c r="CI31" s="862"/>
      <c r="CJ31" s="862"/>
      <c r="CK31" s="862"/>
      <c r="CL31" s="862"/>
      <c r="CM31" s="862"/>
      <c r="CN31" s="862"/>
      <c r="CO31" s="862"/>
      <c r="CP31" s="862"/>
      <c r="CQ31" s="862"/>
      <c r="CR31" s="862"/>
      <c r="CS31" s="862"/>
    </row>
    <row r="32" spans="2:97" s="129" customFormat="1" ht="13.5" customHeight="1">
      <c r="B32" s="167" t="s">
        <v>53</v>
      </c>
      <c r="C32" s="128">
        <f>C29/C31</f>
        <v>2.2833766233766233</v>
      </c>
      <c r="D32" s="128">
        <f>D29/D31</f>
        <v>1.7821466175309317</v>
      </c>
      <c r="E32" s="128">
        <f>E29/E31</f>
        <v>2.504242424242423</v>
      </c>
      <c r="F32" s="128">
        <f>F29/F31</f>
        <v>-6.0929715780796388E-2</v>
      </c>
      <c r="G32" s="168">
        <f>G29/G31</f>
        <v>1.2404580152671756</v>
      </c>
      <c r="H32" s="135">
        <f ca="1">SUM(AF32:AI32)</f>
        <v>1.4004539008004231</v>
      </c>
      <c r="I32" s="135">
        <f t="shared" ref="I32:J34" ca="1" si="134">SUM(AJ32:AM32)</f>
        <v>1.8697190423155934</v>
      </c>
      <c r="J32" s="135">
        <f t="shared" ca="1" si="134"/>
        <v>2.0423254294527688</v>
      </c>
      <c r="L32" s="288">
        <f t="shared" ref="L32:AQ32" si="135">L29/L31</f>
        <v>0.52081313425118358</v>
      </c>
      <c r="M32" s="190">
        <f t="shared" si="135"/>
        <v>0.49752554791438985</v>
      </c>
      <c r="N32" s="190">
        <f t="shared" si="135"/>
        <v>0.58077967416602028</v>
      </c>
      <c r="O32" s="300">
        <f t="shared" si="135"/>
        <v>0.67931688804554158</v>
      </c>
      <c r="P32" s="190">
        <f t="shared" si="135"/>
        <v>0.41136169933783451</v>
      </c>
      <c r="Q32" s="190">
        <f t="shared" si="135"/>
        <v>0.25622471466631852</v>
      </c>
      <c r="R32" s="190">
        <f t="shared" si="135"/>
        <v>0.51009234828495842</v>
      </c>
      <c r="S32" s="300">
        <f t="shared" si="135"/>
        <v>0.60404053698341587</v>
      </c>
      <c r="T32" s="190">
        <f t="shared" si="135"/>
        <v>0.58520879193087327</v>
      </c>
      <c r="U32" s="190">
        <f t="shared" si="135"/>
        <v>0.42291231213297553</v>
      </c>
      <c r="V32" s="190">
        <f t="shared" si="135"/>
        <v>0.74047254801971474</v>
      </c>
      <c r="W32" s="300">
        <f t="shared" si="135"/>
        <v>0.75636713118692933</v>
      </c>
      <c r="X32" s="190">
        <f t="shared" si="135"/>
        <v>0.52986390240462622</v>
      </c>
      <c r="Y32" s="190">
        <f t="shared" si="135"/>
        <v>0.50988225399495224</v>
      </c>
      <c r="Z32" s="190">
        <f t="shared" si="135"/>
        <v>0.89134916121694652</v>
      </c>
      <c r="AA32" s="300">
        <f t="shared" si="135"/>
        <v>0.96856743485896646</v>
      </c>
      <c r="AB32" s="190">
        <f t="shared" si="135"/>
        <v>0.30745555273925518</v>
      </c>
      <c r="AC32" s="190">
        <f t="shared" si="135"/>
        <v>0.22038380175279368</v>
      </c>
      <c r="AD32" s="190">
        <f t="shared" si="135"/>
        <v>0.21450506122758439</v>
      </c>
      <c r="AE32" s="300">
        <f t="shared" si="135"/>
        <v>0.53238352575124814</v>
      </c>
      <c r="AF32" s="190">
        <f t="shared" si="135"/>
        <v>-4.307092288778578E-2</v>
      </c>
      <c r="AG32" s="190">
        <f t="shared" si="135"/>
        <v>0.25641350210970576</v>
      </c>
      <c r="AH32" s="190">
        <f t="shared" ca="1" si="135"/>
        <v>0.60667484040068553</v>
      </c>
      <c r="AI32" s="300">
        <f t="shared" ca="1" si="135"/>
        <v>0.58043648117781754</v>
      </c>
      <c r="AJ32" s="190">
        <f t="shared" ca="1" si="135"/>
        <v>0.44583262181613892</v>
      </c>
      <c r="AK32" s="190">
        <f t="shared" ca="1" si="135"/>
        <v>0.46218917858762765</v>
      </c>
      <c r="AL32" s="190">
        <f t="shared" ca="1" si="135"/>
        <v>0.49180761677129248</v>
      </c>
      <c r="AM32" s="300">
        <f t="shared" ca="1" si="135"/>
        <v>0.46988962514053445</v>
      </c>
      <c r="AN32" s="190">
        <f t="shared" ca="1" si="135"/>
        <v>0.61843900895331416</v>
      </c>
      <c r="AO32" s="190">
        <f t="shared" ca="1" si="135"/>
        <v>0.64129266142345909</v>
      </c>
      <c r="AP32" s="190">
        <f t="shared" ca="1" si="135"/>
        <v>0.68191756754857613</v>
      </c>
      <c r="AQ32" s="300">
        <f t="shared" ca="1" si="135"/>
        <v>0.65330724575544386</v>
      </c>
      <c r="AR32" s="135"/>
      <c r="AS32" s="191"/>
      <c r="AT32" s="128"/>
      <c r="AU32" s="128"/>
      <c r="AV32" s="128"/>
      <c r="AW32" s="128"/>
      <c r="AX32" s="128"/>
      <c r="AY32" s="128"/>
      <c r="AZ32" s="128"/>
      <c r="BA32" s="128"/>
      <c r="BB32" s="128"/>
      <c r="BC32" s="128"/>
      <c r="BD32" s="128"/>
      <c r="BE32" s="128"/>
      <c r="BF32" s="128"/>
      <c r="BG32" s="128"/>
      <c r="BH32" s="863"/>
      <c r="BI32" s="863"/>
      <c r="BJ32" s="863"/>
      <c r="BK32" s="863"/>
      <c r="BL32" s="863"/>
      <c r="BM32" s="863"/>
      <c r="BN32" s="863"/>
      <c r="BO32" s="863"/>
      <c r="BP32" s="863"/>
      <c r="BQ32" s="863"/>
      <c r="BR32" s="863"/>
      <c r="BS32" s="863"/>
      <c r="BT32" s="863"/>
      <c r="BU32" s="863"/>
      <c r="BV32" s="863"/>
      <c r="BW32" s="863"/>
      <c r="BX32" s="863"/>
      <c r="BY32" s="863"/>
      <c r="BZ32" s="863"/>
      <c r="CA32" s="863"/>
      <c r="CB32" s="863"/>
      <c r="CC32" s="863"/>
      <c r="CD32" s="863"/>
      <c r="CE32" s="863"/>
      <c r="CF32" s="863"/>
      <c r="CG32" s="863"/>
      <c r="CH32" s="863"/>
      <c r="CI32" s="863"/>
      <c r="CJ32" s="863"/>
      <c r="CK32" s="863"/>
      <c r="CL32" s="863"/>
      <c r="CM32" s="863"/>
      <c r="CN32" s="863"/>
      <c r="CO32" s="863"/>
      <c r="CP32" s="863"/>
      <c r="CQ32" s="863"/>
      <c r="CR32" s="863"/>
      <c r="CS32" s="863"/>
    </row>
    <row r="33" spans="2:97" s="139" customFormat="1" ht="13.5" customHeight="1">
      <c r="B33" s="206" t="s">
        <v>82</v>
      </c>
      <c r="C33" s="151">
        <f>SUM(L33:O33)</f>
        <v>6.3693936832341508E-3</v>
      </c>
      <c r="D33" s="151">
        <f>SUM(P33:S33)</f>
        <v>0.36750002593051201</v>
      </c>
      <c r="E33" s="151">
        <f>SUM(T33:W33)</f>
        <v>-8.4440462213227208E-2</v>
      </c>
      <c r="F33" s="151">
        <f>SUM(X33:AA33)</f>
        <v>2.452</v>
      </c>
      <c r="G33" s="213">
        <f>SUM(AB33:AE33)</f>
        <v>0.16999999999999998</v>
      </c>
      <c r="H33" s="155">
        <f>SUM(AF33:AI33)</f>
        <v>0.25</v>
      </c>
      <c r="I33" s="155">
        <f t="shared" si="134"/>
        <v>0</v>
      </c>
      <c r="J33" s="155">
        <f t="shared" si="134"/>
        <v>0</v>
      </c>
      <c r="L33" s="289">
        <v>-3.9946290666705055E-2</v>
      </c>
      <c r="M33" s="214">
        <v>-1.2276893269948299E-2</v>
      </c>
      <c r="N33" s="214">
        <v>-1.8692120724066716E-2</v>
      </c>
      <c r="O33" s="301">
        <v>7.7284698343954225E-2</v>
      </c>
      <c r="P33" s="214">
        <v>0</v>
      </c>
      <c r="Q33" s="214">
        <v>0.30174653817057523</v>
      </c>
      <c r="R33" s="214">
        <v>0</v>
      </c>
      <c r="S33" s="301">
        <v>6.575348775993678E-2</v>
      </c>
      <c r="T33" s="214">
        <v>0</v>
      </c>
      <c r="U33" s="214">
        <v>4.5559537786772804E-2</v>
      </c>
      <c r="V33" s="214">
        <v>-0.05</v>
      </c>
      <c r="W33" s="301">
        <v>-0.08</v>
      </c>
      <c r="X33" s="214">
        <v>5.3999999999999999E-2</v>
      </c>
      <c r="Y33" s="214">
        <v>0.13400000000000001</v>
      </c>
      <c r="Z33" s="214">
        <v>2.524</v>
      </c>
      <c r="AA33" s="301">
        <v>-0.26</v>
      </c>
      <c r="AB33" s="214">
        <v>0.27</v>
      </c>
      <c r="AC33" s="214">
        <v>0.13</v>
      </c>
      <c r="AD33" s="214">
        <v>0.1</v>
      </c>
      <c r="AE33" s="301">
        <v>-0.33</v>
      </c>
      <c r="AF33" s="214">
        <v>0.14000000000000001</v>
      </c>
      <c r="AG33" s="215">
        <v>0.11</v>
      </c>
      <c r="AH33" s="216">
        <v>0</v>
      </c>
      <c r="AI33" s="295">
        <f>AH33</f>
        <v>0</v>
      </c>
      <c r="AJ33" s="215">
        <f t="shared" ref="AJ33:AQ33" si="136">AI33</f>
        <v>0</v>
      </c>
      <c r="AK33" s="215">
        <f t="shared" si="136"/>
        <v>0</v>
      </c>
      <c r="AL33" s="215">
        <f t="shared" si="136"/>
        <v>0</v>
      </c>
      <c r="AM33" s="295">
        <f t="shared" si="136"/>
        <v>0</v>
      </c>
      <c r="AN33" s="215">
        <f t="shared" si="136"/>
        <v>0</v>
      </c>
      <c r="AO33" s="215">
        <f t="shared" si="136"/>
        <v>0</v>
      </c>
      <c r="AP33" s="215">
        <f t="shared" si="136"/>
        <v>0</v>
      </c>
      <c r="AQ33" s="295">
        <f t="shared" si="136"/>
        <v>0</v>
      </c>
      <c r="AR33" s="105"/>
      <c r="AS33" s="178"/>
      <c r="AT33" s="104"/>
      <c r="AU33" s="104"/>
      <c r="AV33" s="104"/>
      <c r="AW33" s="104"/>
      <c r="AX33" s="104"/>
      <c r="AY33" s="104"/>
      <c r="AZ33" s="104"/>
      <c r="BA33" s="104"/>
      <c r="BB33" s="104"/>
      <c r="BC33" s="104"/>
      <c r="BD33" s="104"/>
      <c r="BE33" s="104"/>
      <c r="BF33" s="104"/>
      <c r="BG33" s="104"/>
      <c r="BH33" s="857"/>
      <c r="BI33" s="857"/>
      <c r="BJ33" s="857"/>
      <c r="BK33" s="857"/>
      <c r="BL33" s="857"/>
      <c r="BM33" s="857"/>
      <c r="BN33" s="857"/>
      <c r="BO33" s="857"/>
      <c r="BP33" s="857"/>
      <c r="BQ33" s="857"/>
      <c r="BR33" s="857"/>
      <c r="BS33" s="857"/>
      <c r="BT33" s="857"/>
      <c r="BU33" s="857"/>
      <c r="BV33" s="857"/>
      <c r="BW33" s="857"/>
      <c r="BX33" s="857"/>
      <c r="BY33" s="857"/>
      <c r="BZ33" s="857"/>
      <c r="CA33" s="857"/>
      <c r="CB33" s="857"/>
      <c r="CC33" s="857"/>
      <c r="CD33" s="857"/>
      <c r="CE33" s="857"/>
      <c r="CF33" s="857"/>
      <c r="CG33" s="857"/>
      <c r="CH33" s="857"/>
      <c r="CI33" s="857"/>
      <c r="CJ33" s="857"/>
      <c r="CK33" s="857"/>
      <c r="CL33" s="857"/>
      <c r="CM33" s="857"/>
      <c r="CN33" s="857"/>
      <c r="CO33" s="857"/>
      <c r="CP33" s="857"/>
      <c r="CQ33" s="857"/>
      <c r="CR33" s="857"/>
      <c r="CS33" s="857"/>
    </row>
    <row r="34" spans="2:97" s="114" customFormat="1" ht="13.5" customHeight="1">
      <c r="B34" s="212" t="s">
        <v>83</v>
      </c>
      <c r="C34" s="115">
        <f>C32+C33</f>
        <v>2.2897460170598576</v>
      </c>
      <c r="D34" s="115">
        <f t="shared" ref="D34:G34" si="137">D32+D33</f>
        <v>2.1496466434614439</v>
      </c>
      <c r="E34" s="115">
        <f t="shared" si="137"/>
        <v>2.419801962029196</v>
      </c>
      <c r="F34" s="115">
        <f t="shared" si="137"/>
        <v>2.3910702842192038</v>
      </c>
      <c r="G34" s="207">
        <f t="shared" si="137"/>
        <v>1.4104580152671755</v>
      </c>
      <c r="H34" s="208">
        <f ca="1">SUM(AF34:AI34)</f>
        <v>1.6504539008004231</v>
      </c>
      <c r="I34" s="208">
        <f t="shared" ca="1" si="134"/>
        <v>1.8697190423155934</v>
      </c>
      <c r="J34" s="208">
        <f t="shared" ca="1" si="134"/>
        <v>2.0423254294527688</v>
      </c>
      <c r="L34" s="324">
        <f>L32+L33</f>
        <v>0.48086684358447851</v>
      </c>
      <c r="M34" s="325">
        <f t="shared" ref="M34:AQ34" si="138">M32+M33</f>
        <v>0.48524865464444156</v>
      </c>
      <c r="N34" s="325">
        <f t="shared" si="138"/>
        <v>0.5620875534419536</v>
      </c>
      <c r="O34" s="326">
        <f t="shared" si="138"/>
        <v>0.75660158638949582</v>
      </c>
      <c r="P34" s="325">
        <f t="shared" si="138"/>
        <v>0.41136169933783451</v>
      </c>
      <c r="Q34" s="325">
        <f t="shared" si="138"/>
        <v>0.55797125283689375</v>
      </c>
      <c r="R34" s="325">
        <f t="shared" si="138"/>
        <v>0.51009234828495842</v>
      </c>
      <c r="S34" s="326">
        <f t="shared" si="138"/>
        <v>0.6697940247433527</v>
      </c>
      <c r="T34" s="325">
        <f t="shared" si="138"/>
        <v>0.58520879193087327</v>
      </c>
      <c r="U34" s="325">
        <f t="shared" si="138"/>
        <v>0.46847184991974833</v>
      </c>
      <c r="V34" s="325">
        <f t="shared" si="138"/>
        <v>0.69047254801971469</v>
      </c>
      <c r="W34" s="326">
        <f t="shared" si="138"/>
        <v>0.67636713118692937</v>
      </c>
      <c r="X34" s="325">
        <f t="shared" si="138"/>
        <v>0.58386390240462627</v>
      </c>
      <c r="Y34" s="325">
        <f t="shared" si="138"/>
        <v>0.64388225399495225</v>
      </c>
      <c r="Z34" s="325">
        <f t="shared" si="138"/>
        <v>3.4153491612169464</v>
      </c>
      <c r="AA34" s="326">
        <f t="shared" si="138"/>
        <v>0.70856743485896645</v>
      </c>
      <c r="AB34" s="325">
        <f t="shared" si="138"/>
        <v>0.5774555527392552</v>
      </c>
      <c r="AC34" s="325">
        <f t="shared" si="138"/>
        <v>0.35038380175279371</v>
      </c>
      <c r="AD34" s="325">
        <f t="shared" si="138"/>
        <v>0.31450506122758437</v>
      </c>
      <c r="AE34" s="326">
        <f t="shared" si="138"/>
        <v>0.20238352575124813</v>
      </c>
      <c r="AF34" s="325">
        <f t="shared" si="138"/>
        <v>9.692907711221424E-2</v>
      </c>
      <c r="AG34" s="325">
        <f t="shared" si="138"/>
        <v>0.36641350210970575</v>
      </c>
      <c r="AH34" s="325">
        <f t="shared" ca="1" si="138"/>
        <v>0.60667484040068553</v>
      </c>
      <c r="AI34" s="326">
        <f t="shared" ca="1" si="138"/>
        <v>0.58043648117781754</v>
      </c>
      <c r="AJ34" s="325">
        <f t="shared" ca="1" si="138"/>
        <v>0.44583262181613892</v>
      </c>
      <c r="AK34" s="325">
        <f t="shared" ca="1" si="138"/>
        <v>0.46218917858762765</v>
      </c>
      <c r="AL34" s="325">
        <f t="shared" ca="1" si="138"/>
        <v>0.49180761677129248</v>
      </c>
      <c r="AM34" s="326">
        <f t="shared" ca="1" si="138"/>
        <v>0.46988962514053445</v>
      </c>
      <c r="AN34" s="325">
        <f t="shared" ca="1" si="138"/>
        <v>0.61843900895331416</v>
      </c>
      <c r="AO34" s="325">
        <f t="shared" ca="1" si="138"/>
        <v>0.64129266142345909</v>
      </c>
      <c r="AP34" s="325">
        <f t="shared" ca="1" si="138"/>
        <v>0.68191756754857613</v>
      </c>
      <c r="AQ34" s="326">
        <f t="shared" ca="1" si="138"/>
        <v>0.65330724575544386</v>
      </c>
      <c r="AR34" s="208"/>
      <c r="AS34" s="209"/>
      <c r="AT34" s="115"/>
      <c r="AU34" s="115"/>
      <c r="AV34" s="115"/>
      <c r="AW34" s="115"/>
      <c r="AX34" s="115"/>
      <c r="AY34" s="115"/>
      <c r="AZ34" s="115"/>
      <c r="BA34" s="115"/>
      <c r="BB34" s="115"/>
      <c r="BC34" s="115"/>
      <c r="BD34" s="115"/>
      <c r="BE34" s="115"/>
      <c r="BF34" s="115"/>
      <c r="BG34" s="115"/>
      <c r="BH34" s="115"/>
      <c r="BI34" s="115"/>
      <c r="BJ34" s="115"/>
      <c r="BK34" s="115"/>
      <c r="BL34" s="115"/>
      <c r="BM34" s="115"/>
      <c r="BN34" s="115"/>
      <c r="BO34" s="115"/>
      <c r="BP34" s="115"/>
      <c r="BQ34" s="115"/>
      <c r="BR34" s="115"/>
      <c r="BS34" s="115"/>
      <c r="BT34" s="115"/>
      <c r="BU34" s="115"/>
      <c r="BV34" s="115"/>
      <c r="BW34" s="115"/>
      <c r="BX34" s="115"/>
      <c r="BY34" s="115"/>
      <c r="BZ34" s="115"/>
      <c r="CA34" s="115"/>
      <c r="CB34" s="115"/>
      <c r="CC34" s="115"/>
      <c r="CD34" s="115"/>
      <c r="CE34" s="115"/>
      <c r="CF34" s="115"/>
      <c r="CG34" s="115"/>
      <c r="CH34" s="115"/>
      <c r="CI34" s="115"/>
      <c r="CJ34" s="115"/>
      <c r="CK34" s="115"/>
      <c r="CL34" s="115"/>
      <c r="CM34" s="115"/>
      <c r="CN34" s="115"/>
      <c r="CO34" s="115"/>
      <c r="CP34" s="115"/>
      <c r="CQ34" s="115"/>
      <c r="CR34" s="115"/>
      <c r="CS34" s="115"/>
    </row>
    <row r="35" spans="2:97" ht="13.5" customHeight="1">
      <c r="B35" s="714" t="s">
        <v>81</v>
      </c>
      <c r="C35" s="146"/>
      <c r="D35" s="146"/>
      <c r="E35" s="146"/>
      <c r="F35" s="146"/>
      <c r="G35" s="147"/>
      <c r="H35" s="146"/>
      <c r="I35" s="146"/>
      <c r="J35" s="146"/>
      <c r="K35" s="3"/>
      <c r="L35" s="285"/>
      <c r="M35" s="182"/>
      <c r="N35" s="182"/>
      <c r="O35" s="297"/>
      <c r="P35" s="182"/>
      <c r="Q35" s="182"/>
      <c r="R35" s="182"/>
      <c r="S35" s="297"/>
      <c r="T35" s="182"/>
      <c r="U35" s="182"/>
      <c r="V35" s="182"/>
      <c r="W35" s="297"/>
      <c r="X35" s="182"/>
      <c r="Y35" s="182"/>
      <c r="Z35" s="182"/>
      <c r="AA35" s="297"/>
      <c r="AB35" s="182"/>
      <c r="AC35" s="182"/>
      <c r="AD35" s="182"/>
      <c r="AE35" s="297"/>
      <c r="AF35" s="182"/>
      <c r="AG35" s="182"/>
      <c r="AH35" s="182"/>
      <c r="AI35" s="297"/>
      <c r="AJ35" s="182"/>
      <c r="AK35" s="182"/>
      <c r="AL35" s="182"/>
      <c r="AM35" s="297"/>
      <c r="AN35" s="182"/>
      <c r="AO35" s="182"/>
      <c r="AP35" s="182"/>
      <c r="AQ35" s="297"/>
      <c r="AR35" s="183"/>
      <c r="AS35" s="184"/>
    </row>
    <row r="36" spans="2:97" s="102" customFormat="1" ht="13.5" customHeight="1">
      <c r="B36" s="164" t="s">
        <v>101</v>
      </c>
      <c r="C36" s="103">
        <f t="shared" ref="C36:J36" si="139">C16/C7</f>
        <v>0.35513352992001407</v>
      </c>
      <c r="D36" s="103">
        <f t="shared" si="139"/>
        <v>0.36249139784817996</v>
      </c>
      <c r="E36" s="103">
        <f t="shared" si="139"/>
        <v>0.36842553824226482</v>
      </c>
      <c r="F36" s="103">
        <f t="shared" si="139"/>
        <v>0.38123558540476404</v>
      </c>
      <c r="G36" s="126">
        <f t="shared" si="139"/>
        <v>0.36298541570070275</v>
      </c>
      <c r="H36" s="103">
        <f t="shared" si="139"/>
        <v>0.35757176129331203</v>
      </c>
      <c r="I36" s="103">
        <f t="shared" si="139"/>
        <v>0.3709404312386933</v>
      </c>
      <c r="J36" s="103">
        <f t="shared" si="139"/>
        <v>0.37652320790502664</v>
      </c>
      <c r="L36" s="688">
        <f t="shared" ref="L36:AQ36" si="140">L16/L7</f>
        <v>0.3584218124243273</v>
      </c>
      <c r="M36" s="49">
        <f t="shared" si="140"/>
        <v>0.35712621249532184</v>
      </c>
      <c r="N36" s="49">
        <f t="shared" si="140"/>
        <v>0.35124690861121904</v>
      </c>
      <c r="O36" s="689">
        <f t="shared" si="140"/>
        <v>0.35380455163626678</v>
      </c>
      <c r="P36" s="49">
        <f t="shared" si="140"/>
        <v>0.35460750522340667</v>
      </c>
      <c r="Q36" s="49">
        <f t="shared" si="140"/>
        <v>0.36646317192827665</v>
      </c>
      <c r="R36" s="49">
        <f t="shared" si="140"/>
        <v>0.35537361698950515</v>
      </c>
      <c r="S36" s="689">
        <f t="shared" si="140"/>
        <v>0.37358968235013135</v>
      </c>
      <c r="T36" s="49">
        <f t="shared" si="140"/>
        <v>0.37213989505650519</v>
      </c>
      <c r="U36" s="49">
        <f t="shared" si="140"/>
        <v>0.365728108844874</v>
      </c>
      <c r="V36" s="49">
        <f t="shared" si="140"/>
        <v>0.36678191806022786</v>
      </c>
      <c r="W36" s="689">
        <f t="shared" si="140"/>
        <v>0.36914308100056104</v>
      </c>
      <c r="X36" s="49">
        <f t="shared" si="140"/>
        <v>0.38671040467967882</v>
      </c>
      <c r="Y36" s="49">
        <f t="shared" si="140"/>
        <v>0.39453505484668711</v>
      </c>
      <c r="Z36" s="49">
        <f t="shared" si="140"/>
        <v>0.36822681979838112</v>
      </c>
      <c r="AA36" s="689">
        <f t="shared" si="140"/>
        <v>0.37646696451026773</v>
      </c>
      <c r="AB36" s="49">
        <f t="shared" si="140"/>
        <v>0.37405486129871396</v>
      </c>
      <c r="AC36" s="49">
        <f t="shared" si="140"/>
        <v>0.36341852074564035</v>
      </c>
      <c r="AD36" s="49">
        <f t="shared" si="140"/>
        <v>0.35268366398927475</v>
      </c>
      <c r="AE36" s="689">
        <f t="shared" si="140"/>
        <v>0.36210631459290193</v>
      </c>
      <c r="AF36" s="49">
        <f t="shared" si="140"/>
        <v>0.3329339555863346</v>
      </c>
      <c r="AG36" s="49">
        <f t="shared" si="140"/>
        <v>0.34364683992557477</v>
      </c>
      <c r="AH36" s="49">
        <f t="shared" si="140"/>
        <v>0.3762128820575541</v>
      </c>
      <c r="AI36" s="689">
        <f t="shared" si="140"/>
        <v>0.3762355264407683</v>
      </c>
      <c r="AJ36" s="49">
        <f t="shared" si="140"/>
        <v>0.36867466792338877</v>
      </c>
      <c r="AK36" s="49">
        <f t="shared" si="140"/>
        <v>0.3686127011468629</v>
      </c>
      <c r="AL36" s="49">
        <f t="shared" si="140"/>
        <v>0.36853038643127489</v>
      </c>
      <c r="AM36" s="689">
        <f t="shared" si="140"/>
        <v>0.36853416817960855</v>
      </c>
      <c r="AN36" s="49">
        <f t="shared" si="140"/>
        <v>0.38053204960084247</v>
      </c>
      <c r="AO36" s="49">
        <f t="shared" si="140"/>
        <v>0.38055689197682674</v>
      </c>
      <c r="AP36" s="49">
        <f t="shared" si="140"/>
        <v>0.38058988712307373</v>
      </c>
      <c r="AQ36" s="689">
        <f t="shared" si="140"/>
        <v>0.38058837135887663</v>
      </c>
      <c r="AR36" s="49"/>
      <c r="AS36" s="48"/>
      <c r="AT36" s="103"/>
      <c r="AU36" s="103"/>
      <c r="AV36" s="103"/>
      <c r="AW36" s="103"/>
      <c r="AX36" s="103"/>
      <c r="AY36" s="103"/>
      <c r="AZ36" s="103"/>
      <c r="BA36" s="103"/>
      <c r="BB36" s="103"/>
      <c r="BC36" s="103"/>
      <c r="BD36" s="103"/>
      <c r="BE36" s="103"/>
      <c r="BF36" s="103"/>
      <c r="BG36" s="103"/>
      <c r="BH36" s="103"/>
      <c r="BI36" s="103"/>
      <c r="BJ36" s="103"/>
      <c r="BK36" s="103"/>
      <c r="BL36" s="103"/>
      <c r="BM36" s="103"/>
      <c r="BN36" s="103"/>
      <c r="BO36" s="103"/>
      <c r="BP36" s="103"/>
      <c r="BQ36" s="103"/>
      <c r="BR36" s="103"/>
      <c r="BS36" s="103"/>
      <c r="BT36" s="103"/>
      <c r="BU36" s="103"/>
      <c r="BV36" s="103"/>
      <c r="BW36" s="103"/>
      <c r="BX36" s="103"/>
      <c r="BY36" s="103"/>
      <c r="BZ36" s="103"/>
      <c r="CA36" s="103"/>
      <c r="CB36" s="103"/>
      <c r="CC36" s="103"/>
      <c r="CD36" s="103"/>
      <c r="CE36" s="103"/>
      <c r="CF36" s="103"/>
      <c r="CG36" s="103"/>
      <c r="CH36" s="103"/>
      <c r="CI36" s="103"/>
      <c r="CJ36" s="103"/>
      <c r="CK36" s="103"/>
      <c r="CL36" s="103"/>
      <c r="CM36" s="103"/>
      <c r="CN36" s="103"/>
      <c r="CO36" s="103"/>
      <c r="CP36" s="103"/>
      <c r="CQ36" s="103"/>
      <c r="CR36" s="103"/>
      <c r="CS36" s="103"/>
    </row>
    <row r="37" spans="2:97" s="102" customFormat="1" ht="13.5" customHeight="1">
      <c r="B37" s="164" t="s">
        <v>102</v>
      </c>
      <c r="C37" s="103">
        <f t="shared" ref="C37:J37" si="141">C22/C7</f>
        <v>6.1624828295510074E-2</v>
      </c>
      <c r="D37" s="103">
        <f t="shared" si="141"/>
        <v>5.2799620253013629E-2</v>
      </c>
      <c r="E37" s="103">
        <f t="shared" si="141"/>
        <v>6.5203791314502463E-2</v>
      </c>
      <c r="F37" s="103">
        <f t="shared" si="141"/>
        <v>2.2695257126012981E-2</v>
      </c>
      <c r="G37" s="126">
        <f t="shared" si="141"/>
        <v>2.4933160312882077E-2</v>
      </c>
      <c r="H37" s="103">
        <f t="shared" si="141"/>
        <v>3.8608617466916413E-2</v>
      </c>
      <c r="I37" s="103">
        <f t="shared" si="141"/>
        <v>5.5266524374224649E-2</v>
      </c>
      <c r="J37" s="103">
        <f t="shared" si="141"/>
        <v>6.1610481285356927E-2</v>
      </c>
      <c r="L37" s="688">
        <f t="shared" ref="L37:AQ37" si="142">L22/L7</f>
        <v>5.8533575486635278E-2</v>
      </c>
      <c r="M37" s="49">
        <f t="shared" si="142"/>
        <v>5.862581117437568E-2</v>
      </c>
      <c r="N37" s="49">
        <f t="shared" si="142"/>
        <v>6.6057423637171583E-2</v>
      </c>
      <c r="O37" s="689">
        <f t="shared" si="142"/>
        <v>6.319834453094296E-2</v>
      </c>
      <c r="P37" s="49">
        <f t="shared" si="142"/>
        <v>5.1836554636106667E-2</v>
      </c>
      <c r="Q37" s="49">
        <f t="shared" si="142"/>
        <v>3.3353634850831995E-2</v>
      </c>
      <c r="R37" s="49">
        <f t="shared" si="142"/>
        <v>5.9342874608603817E-2</v>
      </c>
      <c r="S37" s="689">
        <f t="shared" si="142"/>
        <v>6.6419871029376576E-2</v>
      </c>
      <c r="T37" s="49">
        <f t="shared" si="142"/>
        <v>6.7828429473975022E-2</v>
      </c>
      <c r="U37" s="49">
        <f t="shared" si="142"/>
        <v>5.238405147537363E-2</v>
      </c>
      <c r="V37" s="49">
        <f t="shared" si="142"/>
        <v>7.0640310595112554E-2</v>
      </c>
      <c r="W37" s="689">
        <f t="shared" si="142"/>
        <v>6.9622855042463863E-2</v>
      </c>
      <c r="X37" s="49">
        <f t="shared" si="142"/>
        <v>7.8873735859090244E-2</v>
      </c>
      <c r="Y37" s="49">
        <f t="shared" si="142"/>
        <v>7.1226350685014525E-2</v>
      </c>
      <c r="Z37" s="49">
        <f t="shared" si="142"/>
        <v>5.8688515995234787E-2</v>
      </c>
      <c r="AA37" s="689">
        <f t="shared" si="142"/>
        <v>-0.10876660534592522</v>
      </c>
      <c r="AB37" s="49">
        <f t="shared" si="142"/>
        <v>3.6421418793197151E-2</v>
      </c>
      <c r="AC37" s="49">
        <f t="shared" si="142"/>
        <v>2.6743836440168232E-2</v>
      </c>
      <c r="AD37" s="49">
        <f t="shared" si="142"/>
        <v>2.3385038749661878E-2</v>
      </c>
      <c r="AE37" s="689">
        <f t="shared" si="142"/>
        <v>1.3104718250089582E-2</v>
      </c>
      <c r="AF37" s="49">
        <f t="shared" si="142"/>
        <v>1.9611388087926852E-4</v>
      </c>
      <c r="AG37" s="49">
        <f t="shared" si="142"/>
        <v>2.7159234139607542E-2</v>
      </c>
      <c r="AH37" s="49">
        <f t="shared" si="142"/>
        <v>6.2656768548681047E-2</v>
      </c>
      <c r="AI37" s="689">
        <f t="shared" si="142"/>
        <v>6.2662807050871544E-2</v>
      </c>
      <c r="AJ37" s="49">
        <f t="shared" si="142"/>
        <v>5.24218596290228E-2</v>
      </c>
      <c r="AK37" s="49">
        <f t="shared" si="142"/>
        <v>5.2768873577566988E-2</v>
      </c>
      <c r="AL37" s="49">
        <f t="shared" si="142"/>
        <v>5.3229835984861362E-2</v>
      </c>
      <c r="AM37" s="689">
        <f t="shared" si="142"/>
        <v>5.3208658194192446E-2</v>
      </c>
      <c r="AN37" s="49">
        <f t="shared" si="142"/>
        <v>6.7374967216426829E-2</v>
      </c>
      <c r="AO37" s="49">
        <f t="shared" si="142"/>
        <v>6.7859393548121025E-2</v>
      </c>
      <c r="AP37" s="49">
        <f t="shared" si="142"/>
        <v>6.8502798899937128E-2</v>
      </c>
      <c r="AQ37" s="689">
        <f t="shared" si="142"/>
        <v>6.8473241498092446E-2</v>
      </c>
      <c r="AR37" s="49"/>
      <c r="AS37" s="48"/>
      <c r="AT37" s="103"/>
      <c r="AU37" s="103"/>
      <c r="AV37" s="103"/>
      <c r="AW37" s="103"/>
      <c r="AX37" s="103"/>
      <c r="AY37" s="103"/>
      <c r="AZ37" s="103"/>
      <c r="BA37" s="103"/>
      <c r="BB37" s="103"/>
      <c r="BC37" s="103"/>
      <c r="BD37" s="103"/>
      <c r="BE37" s="103"/>
      <c r="BF37" s="103"/>
      <c r="BG37" s="103"/>
      <c r="BH37" s="103"/>
      <c r="BI37" s="103"/>
      <c r="BJ37" s="103"/>
      <c r="BK37" s="103"/>
      <c r="BL37" s="103"/>
      <c r="BM37" s="103"/>
      <c r="BN37" s="103"/>
      <c r="BO37" s="103"/>
      <c r="BP37" s="103"/>
      <c r="BQ37" s="103"/>
      <c r="BR37" s="103"/>
      <c r="BS37" s="103"/>
      <c r="BT37" s="103"/>
      <c r="BU37" s="103"/>
      <c r="BV37" s="103"/>
      <c r="BW37" s="103"/>
      <c r="BX37" s="103"/>
      <c r="BY37" s="103"/>
      <c r="BZ37" s="103"/>
      <c r="CA37" s="103"/>
      <c r="CB37" s="103"/>
      <c r="CC37" s="103"/>
      <c r="CD37" s="103"/>
      <c r="CE37" s="103"/>
      <c r="CF37" s="103"/>
      <c r="CG37" s="103"/>
      <c r="CH37" s="103"/>
      <c r="CI37" s="103"/>
      <c r="CJ37" s="103"/>
      <c r="CK37" s="103"/>
      <c r="CL37" s="103"/>
      <c r="CM37" s="103"/>
      <c r="CN37" s="103"/>
      <c r="CO37" s="103"/>
      <c r="CP37" s="103"/>
      <c r="CQ37" s="103"/>
      <c r="CR37" s="103"/>
      <c r="CS37" s="103"/>
    </row>
    <row r="38" spans="2:97" s="102" customFormat="1" ht="13.5" customHeight="1">
      <c r="B38" s="164" t="s">
        <v>318</v>
      </c>
      <c r="C38" s="103">
        <f t="shared" ref="C38:J38" si="143">C25/C7</f>
        <v>0.1101572616232068</v>
      </c>
      <c r="D38" s="103">
        <f t="shared" si="143"/>
        <v>0.10831137821678738</v>
      </c>
      <c r="E38" s="103">
        <f t="shared" si="143"/>
        <v>0.11930938647121365</v>
      </c>
      <c r="F38" s="103">
        <f t="shared" si="143"/>
        <v>0.15606434201307365</v>
      </c>
      <c r="G38" s="126">
        <f t="shared" si="143"/>
        <v>9.6444228377963445E-2</v>
      </c>
      <c r="H38" s="103">
        <f t="shared" si="143"/>
        <v>0.10539182494209368</v>
      </c>
      <c r="I38" s="103">
        <f t="shared" si="143"/>
        <v>0.12607837067160471</v>
      </c>
      <c r="J38" s="103">
        <f t="shared" si="143"/>
        <v>0.13239338300560619</v>
      </c>
      <c r="L38" s="688">
        <f t="shared" ref="L38:AQ38" si="144">L25/L7</f>
        <v>0.10339014622334013</v>
      </c>
      <c r="M38" s="49">
        <f t="shared" si="144"/>
        <v>0.10599815933736141</v>
      </c>
      <c r="N38" s="49">
        <f t="shared" si="144"/>
        <v>0.11323730931104199</v>
      </c>
      <c r="O38" s="689">
        <f t="shared" si="144"/>
        <v>0.11772400113858686</v>
      </c>
      <c r="P38" s="49">
        <f t="shared" si="144"/>
        <v>0.10661809262033223</v>
      </c>
      <c r="Q38" s="49">
        <f t="shared" si="144"/>
        <v>0.10669566426725127</v>
      </c>
      <c r="R38" s="49">
        <f t="shared" si="144"/>
        <v>0.10417084700205777</v>
      </c>
      <c r="S38" s="689">
        <f t="shared" si="144"/>
        <v>0.11582756149988052</v>
      </c>
      <c r="T38" s="49">
        <f t="shared" si="144"/>
        <v>0.12147197189665507</v>
      </c>
      <c r="U38" s="49">
        <f t="shared" si="144"/>
        <v>0.11052470007490457</v>
      </c>
      <c r="V38" s="49">
        <f t="shared" si="144"/>
        <v>0.12108867042225879</v>
      </c>
      <c r="W38" s="689">
        <f t="shared" si="144"/>
        <v>0.1239964403861407</v>
      </c>
      <c r="X38" s="49">
        <f t="shared" si="144"/>
        <v>0.13066989033548623</v>
      </c>
      <c r="Y38" s="49">
        <f t="shared" si="144"/>
        <v>0.13445854440078275</v>
      </c>
      <c r="Z38" s="49">
        <f t="shared" si="144"/>
        <v>0.2821428680447744</v>
      </c>
      <c r="AA38" s="689">
        <f t="shared" si="144"/>
        <v>7.7077857560677934E-2</v>
      </c>
      <c r="AB38" s="49">
        <f t="shared" si="144"/>
        <v>0.10838030620824469</v>
      </c>
      <c r="AC38" s="49">
        <f t="shared" si="144"/>
        <v>9.4290090198436427E-2</v>
      </c>
      <c r="AD38" s="49">
        <f t="shared" si="144"/>
        <v>9.8042833370573748E-2</v>
      </c>
      <c r="AE38" s="689">
        <f t="shared" si="144"/>
        <v>8.4924824815930305E-2</v>
      </c>
      <c r="AF38" s="49">
        <f t="shared" si="144"/>
        <v>6.8140380767356901E-2</v>
      </c>
      <c r="AG38" s="49">
        <f t="shared" si="144"/>
        <v>9.2191345057319546E-2</v>
      </c>
      <c r="AH38" s="49">
        <f t="shared" si="144"/>
        <v>0.12960446163577088</v>
      </c>
      <c r="AI38" s="689">
        <f t="shared" si="144"/>
        <v>0.12988919280542094</v>
      </c>
      <c r="AJ38" s="49">
        <f t="shared" si="144"/>
        <v>0.12375368918526773</v>
      </c>
      <c r="AK38" s="49">
        <f t="shared" si="144"/>
        <v>0.12371531088541068</v>
      </c>
      <c r="AL38" s="49">
        <f t="shared" si="144"/>
        <v>0.12358991924440599</v>
      </c>
      <c r="AM38" s="689">
        <f t="shared" si="144"/>
        <v>0.12384693224137079</v>
      </c>
      <c r="AN38" s="49">
        <f t="shared" si="144"/>
        <v>0.13858108001459096</v>
      </c>
      <c r="AO38" s="49">
        <f t="shared" si="144"/>
        <v>0.13868137686150506</v>
      </c>
      <c r="AP38" s="49">
        <f t="shared" si="144"/>
        <v>0.13874138367493613</v>
      </c>
      <c r="AQ38" s="689">
        <f t="shared" si="144"/>
        <v>0.13898580914693703</v>
      </c>
      <c r="AR38" s="49"/>
      <c r="AS38" s="48"/>
      <c r="AT38" s="103"/>
      <c r="AU38" s="103"/>
      <c r="AV38" s="103"/>
      <c r="AW38" s="103"/>
      <c r="AX38" s="103"/>
      <c r="AY38" s="103"/>
      <c r="AZ38" s="103"/>
      <c r="BA38" s="103"/>
      <c r="BB38" s="103"/>
      <c r="BC38" s="103"/>
      <c r="BD38" s="103"/>
      <c r="BE38" s="103"/>
      <c r="BF38" s="103"/>
      <c r="BG38" s="103"/>
      <c r="BH38" s="103"/>
      <c r="BI38" s="103"/>
      <c r="BJ38" s="103"/>
      <c r="BK38" s="103"/>
      <c r="BL38" s="103"/>
      <c r="BM38" s="103"/>
      <c r="BN38" s="103"/>
      <c r="BO38" s="103"/>
      <c r="BP38" s="103"/>
      <c r="BQ38" s="103"/>
      <c r="BR38" s="103"/>
      <c r="BS38" s="103"/>
      <c r="BT38" s="103"/>
      <c r="BU38" s="103"/>
      <c r="BV38" s="103"/>
      <c r="BW38" s="103"/>
      <c r="BX38" s="103"/>
      <c r="BY38" s="103"/>
      <c r="BZ38" s="103"/>
      <c r="CA38" s="103"/>
      <c r="CB38" s="103"/>
      <c r="CC38" s="103"/>
      <c r="CD38" s="103"/>
      <c r="CE38" s="103"/>
      <c r="CF38" s="103"/>
      <c r="CG38" s="103"/>
      <c r="CH38" s="103"/>
      <c r="CI38" s="103"/>
      <c r="CJ38" s="103"/>
      <c r="CK38" s="103"/>
      <c r="CL38" s="103"/>
      <c r="CM38" s="103"/>
      <c r="CN38" s="103"/>
      <c r="CO38" s="103"/>
      <c r="CP38" s="103"/>
      <c r="CQ38" s="103"/>
      <c r="CR38" s="103"/>
      <c r="CS38" s="103"/>
    </row>
    <row r="39" spans="2:97" ht="13.5" customHeight="1">
      <c r="B39" s="714" t="s">
        <v>85</v>
      </c>
      <c r="C39" s="146"/>
      <c r="D39" s="146"/>
      <c r="E39" s="146"/>
      <c r="F39" s="146"/>
      <c r="G39" s="147"/>
      <c r="H39" s="146"/>
      <c r="I39" s="146"/>
      <c r="J39" s="146"/>
      <c r="K39" s="3"/>
      <c r="L39" s="694"/>
      <c r="M39" s="695"/>
      <c r="N39" s="695"/>
      <c r="O39" s="696"/>
      <c r="P39" s="695"/>
      <c r="Q39" s="695"/>
      <c r="R39" s="695"/>
      <c r="S39" s="696"/>
      <c r="T39" s="695"/>
      <c r="U39" s="695"/>
      <c r="V39" s="695"/>
      <c r="W39" s="696"/>
      <c r="X39" s="695"/>
      <c r="Y39" s="695"/>
      <c r="Z39" s="695"/>
      <c r="AA39" s="696"/>
      <c r="AB39" s="695"/>
      <c r="AC39" s="695"/>
      <c r="AD39" s="695"/>
      <c r="AE39" s="696"/>
      <c r="AF39" s="695"/>
      <c r="AG39" s="695"/>
      <c r="AH39" s="695"/>
      <c r="AI39" s="696"/>
      <c r="AJ39" s="695"/>
      <c r="AK39" s="695"/>
      <c r="AL39" s="695"/>
      <c r="AM39" s="696"/>
      <c r="AN39" s="695"/>
      <c r="AO39" s="695"/>
      <c r="AP39" s="695"/>
      <c r="AQ39" s="696"/>
      <c r="AR39" s="183"/>
      <c r="AS39" s="184"/>
    </row>
    <row r="40" spans="2:97" s="61" customFormat="1" ht="13.5" customHeight="1">
      <c r="B40" s="165" t="s">
        <v>84</v>
      </c>
      <c r="C40" s="86">
        <f>O40</f>
        <v>715</v>
      </c>
      <c r="D40" s="86">
        <f>S40</f>
        <v>707</v>
      </c>
      <c r="E40" s="86">
        <f>W40</f>
        <v>710</v>
      </c>
      <c r="F40" s="86">
        <f>AA40</f>
        <v>560</v>
      </c>
      <c r="G40" s="122">
        <f>AE40</f>
        <v>561</v>
      </c>
      <c r="H40" s="81">
        <f>AI40</f>
        <v>563</v>
      </c>
      <c r="I40" s="81">
        <f>AM40</f>
        <v>571</v>
      </c>
      <c r="J40" s="81">
        <f>AQ40</f>
        <v>579</v>
      </c>
      <c r="L40" s="290">
        <v>713</v>
      </c>
      <c r="M40" s="192">
        <v>714</v>
      </c>
      <c r="N40" s="192">
        <v>715</v>
      </c>
      <c r="O40" s="302">
        <v>715</v>
      </c>
      <c r="P40" s="192">
        <v>714</v>
      </c>
      <c r="Q40" s="192">
        <v>714</v>
      </c>
      <c r="R40" s="192">
        <v>714</v>
      </c>
      <c r="S40" s="302">
        <v>707</v>
      </c>
      <c r="T40" s="192">
        <v>708</v>
      </c>
      <c r="U40" s="192">
        <v>710</v>
      </c>
      <c r="V40" s="192">
        <v>709</v>
      </c>
      <c r="W40" s="302">
        <v>710</v>
      </c>
      <c r="X40" s="192">
        <v>710</v>
      </c>
      <c r="Y40" s="192">
        <v>708</v>
      </c>
      <c r="Z40" s="192">
        <v>706</v>
      </c>
      <c r="AA40" s="302">
        <v>560</v>
      </c>
      <c r="AB40" s="192">
        <v>560</v>
      </c>
      <c r="AC40" s="192">
        <v>560</v>
      </c>
      <c r="AD40" s="192">
        <v>560</v>
      </c>
      <c r="AE40" s="302">
        <v>561</v>
      </c>
      <c r="AF40" s="192">
        <v>562</v>
      </c>
      <c r="AG40" s="193">
        <v>561</v>
      </c>
      <c r="AH40" s="194">
        <v>561</v>
      </c>
      <c r="AI40" s="575">
        <f>AH40+2</f>
        <v>563</v>
      </c>
      <c r="AJ40" s="193">
        <f t="shared" ref="AJ40:AQ40" si="145">AI40+2</f>
        <v>565</v>
      </c>
      <c r="AK40" s="193">
        <f t="shared" si="145"/>
        <v>567</v>
      </c>
      <c r="AL40" s="193">
        <f t="shared" si="145"/>
        <v>569</v>
      </c>
      <c r="AM40" s="575">
        <f t="shared" si="145"/>
        <v>571</v>
      </c>
      <c r="AN40" s="193">
        <f t="shared" si="145"/>
        <v>573</v>
      </c>
      <c r="AO40" s="193">
        <f t="shared" si="145"/>
        <v>575</v>
      </c>
      <c r="AP40" s="193">
        <f t="shared" si="145"/>
        <v>577</v>
      </c>
      <c r="AQ40" s="575">
        <f t="shared" si="145"/>
        <v>579</v>
      </c>
      <c r="AR40" s="81"/>
      <c r="AS40" s="195"/>
      <c r="AT40" s="86"/>
      <c r="AU40" s="86"/>
      <c r="AV40" s="86"/>
      <c r="AW40" s="86"/>
      <c r="AX40" s="86"/>
      <c r="AY40" s="86"/>
      <c r="AZ40" s="86"/>
      <c r="BA40" s="86"/>
      <c r="BB40" s="86"/>
      <c r="BC40" s="86"/>
      <c r="BD40" s="86"/>
      <c r="BE40" s="86"/>
      <c r="BF40" s="86"/>
      <c r="BG40" s="86"/>
      <c r="BH40" s="864"/>
      <c r="BI40" s="864"/>
      <c r="BJ40" s="864"/>
      <c r="BK40" s="864"/>
      <c r="BL40" s="864"/>
      <c r="BM40" s="864"/>
      <c r="BN40" s="864"/>
      <c r="BO40" s="864"/>
      <c r="BP40" s="864"/>
      <c r="BQ40" s="864"/>
      <c r="BR40" s="864"/>
      <c r="BS40" s="864"/>
      <c r="BT40" s="864"/>
      <c r="BU40" s="864"/>
      <c r="BV40" s="864"/>
      <c r="BW40" s="864"/>
      <c r="BX40" s="864"/>
      <c r="BY40" s="864"/>
      <c r="BZ40" s="864"/>
      <c r="CA40" s="864"/>
      <c r="CB40" s="864"/>
      <c r="CC40" s="864"/>
      <c r="CD40" s="864"/>
      <c r="CE40" s="864"/>
      <c r="CF40" s="864"/>
      <c r="CG40" s="864"/>
      <c r="CH40" s="864"/>
      <c r="CI40" s="864"/>
      <c r="CJ40" s="864"/>
      <c r="CK40" s="864"/>
      <c r="CL40" s="864"/>
      <c r="CM40" s="864"/>
      <c r="CN40" s="864"/>
      <c r="CO40" s="864"/>
      <c r="CP40" s="864"/>
      <c r="CQ40" s="864"/>
      <c r="CR40" s="864"/>
      <c r="CS40" s="864"/>
    </row>
    <row r="41" spans="2:97" s="102" customFormat="1" ht="13.5" customHeight="1">
      <c r="B41" s="164" t="s">
        <v>319</v>
      </c>
      <c r="C41" s="103">
        <v>-3.5000000000000003E-2</v>
      </c>
      <c r="D41" s="103">
        <v>-8.9999999999999993E-3</v>
      </c>
      <c r="E41" s="103">
        <v>-6.0000000000000001E-3</v>
      </c>
      <c r="F41" s="103">
        <v>0.01</v>
      </c>
      <c r="G41" s="126">
        <v>-2.1000000000000001E-2</v>
      </c>
      <c r="H41" s="103">
        <f>AVERAGE(AF41:AI41)</f>
        <v>5.0000000000000088E-3</v>
      </c>
      <c r="I41" s="103">
        <f>AVERAGE(AJ41:AM41)</f>
        <v>1.4999999999999902E-2</v>
      </c>
      <c r="J41" s="103">
        <f>AVERAGE(AN41:AQ41)</f>
        <v>1.4999999999999902E-2</v>
      </c>
      <c r="L41" s="704">
        <v>-0.03</v>
      </c>
      <c r="M41" s="705">
        <v>-2.8333333333333335E-2</v>
      </c>
      <c r="N41" s="705">
        <v>-4.2333333333333334E-2</v>
      </c>
      <c r="O41" s="706">
        <v>-4.1000000000000002E-2</v>
      </c>
      <c r="P41" s="705">
        <v>-3.5333333333333335E-2</v>
      </c>
      <c r="Q41" s="705">
        <v>-8.6666666666666663E-3</v>
      </c>
      <c r="R41" s="705">
        <v>-5.000000000000001E-3</v>
      </c>
      <c r="S41" s="706">
        <v>1.2E-2</v>
      </c>
      <c r="T41" s="705">
        <v>-1.7999999999999999E-2</v>
      </c>
      <c r="U41" s="705">
        <v>-1.4999999999999999E-2</v>
      </c>
      <c r="V41" s="705">
        <v>1.6E-2</v>
      </c>
      <c r="W41" s="706">
        <v>-6.0000000000000001E-3</v>
      </c>
      <c r="X41" s="705">
        <v>0.01</v>
      </c>
      <c r="Y41" s="705">
        <v>0.01</v>
      </c>
      <c r="Z41" s="705">
        <v>1.6E-2</v>
      </c>
      <c r="AA41" s="706">
        <v>5.0000000000000001E-3</v>
      </c>
      <c r="AB41" s="705">
        <v>-6.0000000000000001E-3</v>
      </c>
      <c r="AC41" s="705">
        <v>-1.9E-2</v>
      </c>
      <c r="AD41" s="705">
        <v>-1.7999999999999999E-2</v>
      </c>
      <c r="AE41" s="706">
        <v>-4.1000000000000002E-2</v>
      </c>
      <c r="AF41" s="705">
        <v>-0.02</v>
      </c>
      <c r="AG41" s="705">
        <v>0</v>
      </c>
      <c r="AH41" s="204">
        <f t="shared" ref="AH41:AQ41" si="146">AH10</f>
        <v>2.0000000000000018E-2</v>
      </c>
      <c r="AI41" s="296">
        <f t="shared" si="146"/>
        <v>2.0000000000000018E-2</v>
      </c>
      <c r="AJ41" s="204">
        <f t="shared" si="146"/>
        <v>1.4999999999999902E-2</v>
      </c>
      <c r="AK41" s="204">
        <f t="shared" si="146"/>
        <v>1.4999999999999902E-2</v>
      </c>
      <c r="AL41" s="204">
        <f t="shared" si="146"/>
        <v>1.4999999999999902E-2</v>
      </c>
      <c r="AM41" s="296">
        <f t="shared" si="146"/>
        <v>1.4999999999999902E-2</v>
      </c>
      <c r="AN41" s="204">
        <f t="shared" si="146"/>
        <v>1.4999999999999902E-2</v>
      </c>
      <c r="AO41" s="204">
        <f t="shared" si="146"/>
        <v>1.4999999999999902E-2</v>
      </c>
      <c r="AP41" s="204">
        <f t="shared" si="146"/>
        <v>1.4999999999999902E-2</v>
      </c>
      <c r="AQ41" s="296">
        <f t="shared" si="146"/>
        <v>1.4999999999999902E-2</v>
      </c>
      <c r="AR41" s="49"/>
      <c r="AS41" s="48"/>
      <c r="AT41" s="103"/>
      <c r="AU41" s="103"/>
      <c r="AV41" s="103"/>
      <c r="AW41" s="103"/>
      <c r="AX41" s="103"/>
      <c r="AY41" s="103"/>
      <c r="AZ41" s="103"/>
      <c r="BA41" s="103"/>
      <c r="BB41" s="103"/>
      <c r="BC41" s="103"/>
      <c r="BD41" s="103"/>
      <c r="BE41" s="103"/>
      <c r="BF41" s="103"/>
      <c r="BG41" s="103"/>
      <c r="BH41" s="103"/>
      <c r="BI41" s="103"/>
      <c r="BJ41" s="103"/>
      <c r="BK41" s="103"/>
      <c r="BL41" s="103"/>
      <c r="BM41" s="103"/>
      <c r="BN41" s="103"/>
      <c r="BO41" s="103"/>
      <c r="BP41" s="103"/>
      <c r="BQ41" s="103"/>
      <c r="BR41" s="103"/>
      <c r="BS41" s="103"/>
      <c r="BT41" s="103"/>
      <c r="BU41" s="103"/>
      <c r="BV41" s="103"/>
      <c r="BW41" s="103"/>
      <c r="BX41" s="103"/>
      <c r="BY41" s="103"/>
      <c r="BZ41" s="103"/>
      <c r="CA41" s="103"/>
      <c r="CB41" s="103"/>
      <c r="CC41" s="103"/>
      <c r="CD41" s="103"/>
      <c r="CE41" s="103"/>
      <c r="CF41" s="103"/>
      <c r="CG41" s="103"/>
      <c r="CH41" s="103"/>
      <c r="CI41" s="103"/>
      <c r="CJ41" s="103"/>
      <c r="CK41" s="103"/>
      <c r="CL41" s="103"/>
      <c r="CM41" s="103"/>
      <c r="CN41" s="103"/>
      <c r="CO41" s="103"/>
      <c r="CP41" s="103"/>
      <c r="CQ41" s="103"/>
      <c r="CR41" s="103"/>
      <c r="CS41" s="103"/>
    </row>
    <row r="42" spans="2:97" s="38" customFormat="1" ht="13.5" customHeight="1">
      <c r="B42" s="714" t="s">
        <v>308</v>
      </c>
      <c r="C42" s="146"/>
      <c r="D42" s="146"/>
      <c r="E42" s="146"/>
      <c r="F42" s="146"/>
      <c r="G42" s="147"/>
      <c r="H42" s="146"/>
      <c r="I42" s="146"/>
      <c r="J42" s="146"/>
      <c r="L42" s="697"/>
      <c r="M42" s="698"/>
      <c r="N42" s="698"/>
      <c r="O42" s="699"/>
      <c r="P42" s="698"/>
      <c r="Q42" s="698"/>
      <c r="R42" s="698"/>
      <c r="S42" s="699"/>
      <c r="T42" s="698"/>
      <c r="U42" s="698"/>
      <c r="V42" s="698"/>
      <c r="W42" s="699"/>
      <c r="X42" s="698"/>
      <c r="Y42" s="698"/>
      <c r="Z42" s="698"/>
      <c r="AA42" s="699"/>
      <c r="AB42" s="698"/>
      <c r="AC42" s="698"/>
      <c r="AD42" s="698"/>
      <c r="AE42" s="699"/>
      <c r="AF42" s="698"/>
      <c r="AG42" s="700"/>
      <c r="AH42" s="701"/>
      <c r="AI42" s="702"/>
      <c r="AJ42" s="701"/>
      <c r="AK42" s="701"/>
      <c r="AL42" s="701"/>
      <c r="AM42" s="702"/>
      <c r="AN42" s="701"/>
      <c r="AO42" s="701"/>
      <c r="AP42" s="701"/>
      <c r="AQ42" s="702"/>
      <c r="AR42" s="171"/>
      <c r="AS42" s="176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16"/>
      <c r="BI42" s="716"/>
      <c r="BJ42" s="716"/>
      <c r="BK42" s="716"/>
      <c r="BL42" s="716"/>
      <c r="BM42" s="716"/>
      <c r="BN42" s="716"/>
      <c r="BO42" s="716"/>
      <c r="BP42" s="716"/>
      <c r="BQ42" s="716"/>
      <c r="BR42" s="716"/>
      <c r="BS42" s="716"/>
      <c r="BT42" s="716"/>
      <c r="BU42" s="716"/>
      <c r="BV42" s="716"/>
      <c r="BW42" s="716"/>
      <c r="BX42" s="716"/>
      <c r="BY42" s="716"/>
      <c r="BZ42" s="716"/>
      <c r="CA42" s="716"/>
      <c r="CB42" s="716"/>
      <c r="CC42" s="716"/>
      <c r="CD42" s="716"/>
      <c r="CE42" s="716"/>
      <c r="CF42" s="716"/>
      <c r="CG42" s="716"/>
      <c r="CH42" s="716"/>
      <c r="CI42" s="716"/>
      <c r="CJ42" s="716"/>
      <c r="CK42" s="716"/>
      <c r="CL42" s="716"/>
      <c r="CM42" s="716"/>
      <c r="CN42" s="716"/>
      <c r="CO42" s="716"/>
      <c r="CP42" s="716"/>
      <c r="CQ42" s="716"/>
      <c r="CR42" s="716"/>
      <c r="CS42" s="716"/>
    </row>
    <row r="43" spans="2:97" s="102" customFormat="1" ht="13.5" customHeight="1">
      <c r="B43" s="164" t="s">
        <v>91</v>
      </c>
      <c r="C43" s="103">
        <f t="shared" ref="C43:J43" si="147">C14/C7</f>
        <v>0.29920361546533364</v>
      </c>
      <c r="D43" s="103">
        <f t="shared" si="147"/>
        <v>0.30404149069774933</v>
      </c>
      <c r="E43" s="103">
        <f t="shared" si="147"/>
        <v>0.30815521879965885</v>
      </c>
      <c r="F43" s="103">
        <f t="shared" si="147"/>
        <v>0.31238547941999445</v>
      </c>
      <c r="G43" s="126">
        <f t="shared" si="147"/>
        <v>0.33499027512660401</v>
      </c>
      <c r="H43" s="103">
        <f t="shared" si="147"/>
        <v>0.34127736089855437</v>
      </c>
      <c r="I43" s="103">
        <f t="shared" si="147"/>
        <v>0.33630439838162079</v>
      </c>
      <c r="J43" s="103">
        <f t="shared" si="147"/>
        <v>0.33355519582512089</v>
      </c>
      <c r="L43" s="688">
        <f t="shared" ref="L43:AQ43" si="148">L14/L7</f>
        <v>0.29219986960976058</v>
      </c>
      <c r="M43" s="49">
        <f t="shared" si="148"/>
        <v>0.29024566490995585</v>
      </c>
      <c r="N43" s="49">
        <f t="shared" si="148"/>
        <v>0.31231693045742087</v>
      </c>
      <c r="O43" s="689">
        <f t="shared" si="148"/>
        <v>0.30186330632954861</v>
      </c>
      <c r="P43" s="49">
        <f t="shared" si="148"/>
        <v>0.29611989354430562</v>
      </c>
      <c r="Q43" s="49">
        <f t="shared" si="148"/>
        <v>0.2976434254254926</v>
      </c>
      <c r="R43" s="49">
        <f t="shared" si="148"/>
        <v>0.31498574408414498</v>
      </c>
      <c r="S43" s="689">
        <f t="shared" si="148"/>
        <v>0.30701695724862671</v>
      </c>
      <c r="T43" s="49">
        <f t="shared" si="148"/>
        <v>0.29871398580524522</v>
      </c>
      <c r="U43" s="49">
        <f t="shared" si="148"/>
        <v>0.30905362427397864</v>
      </c>
      <c r="V43" s="49">
        <f t="shared" si="148"/>
        <v>0.32137395847681399</v>
      </c>
      <c r="W43" s="689">
        <f t="shared" si="148"/>
        <v>0.3028331817918013</v>
      </c>
      <c r="X43" s="49">
        <f t="shared" si="148"/>
        <v>0.3022313188494965</v>
      </c>
      <c r="Y43" s="49">
        <f t="shared" si="148"/>
        <v>0.29756489812019238</v>
      </c>
      <c r="Z43" s="49">
        <f t="shared" si="148"/>
        <v>0.33191969031897267</v>
      </c>
      <c r="AA43" s="689">
        <f t="shared" si="148"/>
        <v>0.31651675582193811</v>
      </c>
      <c r="AB43" s="49">
        <f t="shared" si="148"/>
        <v>0.31721146520402244</v>
      </c>
      <c r="AC43" s="49">
        <f t="shared" si="148"/>
        <v>0.33394768490679499</v>
      </c>
      <c r="AD43" s="49">
        <f t="shared" si="148"/>
        <v>0.34619206660943397</v>
      </c>
      <c r="AE43" s="689">
        <f t="shared" si="148"/>
        <v>0.34232514531009189</v>
      </c>
      <c r="AF43" s="49">
        <f t="shared" si="148"/>
        <v>0.34768233228432832</v>
      </c>
      <c r="AG43" s="49">
        <f t="shared" si="148"/>
        <v>0.34814837044595159</v>
      </c>
      <c r="AH43" s="49">
        <f t="shared" si="148"/>
        <v>0.33494214011031015</v>
      </c>
      <c r="AI43" s="689">
        <f t="shared" si="148"/>
        <v>0.33472324440590617</v>
      </c>
      <c r="AJ43" s="49">
        <f t="shared" si="148"/>
        <v>0.33156793213700614</v>
      </c>
      <c r="AK43" s="49">
        <f t="shared" si="148"/>
        <v>0.33491413806939763</v>
      </c>
      <c r="AL43" s="49">
        <f t="shared" si="148"/>
        <v>0.3393591327111618</v>
      </c>
      <c r="AM43" s="689">
        <f t="shared" si="148"/>
        <v>0.3391549183011407</v>
      </c>
      <c r="AN43" s="49">
        <f t="shared" si="148"/>
        <v>0.32049657211161786</v>
      </c>
      <c r="AO43" s="49">
        <f t="shared" si="148"/>
        <v>0.32378818692954031</v>
      </c>
      <c r="AP43" s="49">
        <f t="shared" si="148"/>
        <v>0.3281600438072651</v>
      </c>
      <c r="AQ43" s="689">
        <f t="shared" si="148"/>
        <v>0.32795920505114068</v>
      </c>
      <c r="AR43" s="49"/>
      <c r="AS43" s="48"/>
      <c r="AT43" s="103"/>
      <c r="AU43" s="103"/>
      <c r="AV43" s="103"/>
      <c r="AW43" s="103"/>
      <c r="AX43" s="103"/>
      <c r="AY43" s="103"/>
      <c r="AZ43" s="103"/>
      <c r="BA43" s="103"/>
      <c r="BB43" s="103"/>
      <c r="BC43" s="103"/>
      <c r="BD43" s="103"/>
      <c r="BE43" s="103"/>
      <c r="BF43" s="103"/>
      <c r="BG43" s="103"/>
      <c r="BH43" s="103"/>
      <c r="BI43" s="103"/>
      <c r="BJ43" s="103"/>
      <c r="BK43" s="103"/>
      <c r="BL43" s="103"/>
      <c r="BM43" s="103"/>
      <c r="BN43" s="103"/>
      <c r="BO43" s="103"/>
      <c r="BP43" s="103"/>
      <c r="BQ43" s="103"/>
      <c r="BR43" s="103"/>
      <c r="BS43" s="103"/>
      <c r="BT43" s="103"/>
      <c r="BU43" s="103"/>
      <c r="BV43" s="103"/>
      <c r="BW43" s="103"/>
      <c r="BX43" s="103"/>
      <c r="BY43" s="103"/>
      <c r="BZ43" s="103"/>
      <c r="CA43" s="103"/>
      <c r="CB43" s="103"/>
      <c r="CC43" s="103"/>
      <c r="CD43" s="103"/>
      <c r="CE43" s="103"/>
      <c r="CF43" s="103"/>
      <c r="CG43" s="103"/>
      <c r="CH43" s="103"/>
      <c r="CI43" s="103"/>
      <c r="CJ43" s="103"/>
      <c r="CK43" s="103"/>
      <c r="CL43" s="103"/>
      <c r="CM43" s="103"/>
      <c r="CN43" s="103"/>
      <c r="CO43" s="103"/>
      <c r="CP43" s="103"/>
      <c r="CQ43" s="103"/>
      <c r="CR43" s="103"/>
      <c r="CS43" s="103"/>
    </row>
    <row r="44" spans="2:97" s="102" customFormat="1" ht="13.5" customHeight="1">
      <c r="B44" s="164" t="s">
        <v>92</v>
      </c>
      <c r="C44" s="103">
        <f t="shared" ref="C44:J44" si="149">C15/C7</f>
        <v>0.34566285461465224</v>
      </c>
      <c r="D44" s="103">
        <f t="shared" si="149"/>
        <v>0.33346711145407082</v>
      </c>
      <c r="E44" s="103">
        <f t="shared" si="149"/>
        <v>0.32341924295807634</v>
      </c>
      <c r="F44" s="103">
        <f t="shared" si="149"/>
        <v>0.30637893517524151</v>
      </c>
      <c r="G44" s="126">
        <f t="shared" si="149"/>
        <v>0.30202430917269324</v>
      </c>
      <c r="H44" s="103">
        <f t="shared" si="149"/>
        <v>0.3011508778081336</v>
      </c>
      <c r="I44" s="103">
        <f t="shared" si="149"/>
        <v>0.2927551703796859</v>
      </c>
      <c r="J44" s="103">
        <f t="shared" si="149"/>
        <v>0.28992159626985259</v>
      </c>
      <c r="L44" s="688">
        <f t="shared" ref="L44:AQ44" si="150">L15/L7</f>
        <v>0.34937831796591218</v>
      </c>
      <c r="M44" s="49">
        <f t="shared" si="150"/>
        <v>0.35262812259472232</v>
      </c>
      <c r="N44" s="49">
        <f t="shared" si="150"/>
        <v>0.33643616093136014</v>
      </c>
      <c r="O44" s="689">
        <f t="shared" si="150"/>
        <v>0.34433214203418466</v>
      </c>
      <c r="P44" s="49">
        <f t="shared" si="150"/>
        <v>0.34927260123228776</v>
      </c>
      <c r="Q44" s="49">
        <f t="shared" si="150"/>
        <v>0.33589340264623085</v>
      </c>
      <c r="R44" s="49">
        <f t="shared" si="150"/>
        <v>0.32964063892634993</v>
      </c>
      <c r="S44" s="689">
        <f t="shared" si="150"/>
        <v>0.31939336040124194</v>
      </c>
      <c r="T44" s="49">
        <f t="shared" si="150"/>
        <v>0.32914611913824965</v>
      </c>
      <c r="U44" s="49">
        <f t="shared" si="150"/>
        <v>0.32521826688114741</v>
      </c>
      <c r="V44" s="49">
        <f t="shared" si="150"/>
        <v>0.31184412346295809</v>
      </c>
      <c r="W44" s="689">
        <f t="shared" si="150"/>
        <v>0.32802373720763767</v>
      </c>
      <c r="X44" s="49">
        <f t="shared" si="150"/>
        <v>0.31105827647082462</v>
      </c>
      <c r="Y44" s="49">
        <f t="shared" si="150"/>
        <v>0.30790004703312046</v>
      </c>
      <c r="Z44" s="49">
        <f t="shared" si="150"/>
        <v>0.29985348988264632</v>
      </c>
      <c r="AA44" s="689">
        <f t="shared" si="150"/>
        <v>0.30701627966779416</v>
      </c>
      <c r="AB44" s="49">
        <f t="shared" si="150"/>
        <v>0.30873367349726361</v>
      </c>
      <c r="AC44" s="49">
        <f t="shared" si="150"/>
        <v>0.30263379434756471</v>
      </c>
      <c r="AD44" s="49">
        <f t="shared" si="150"/>
        <v>0.30112426940129128</v>
      </c>
      <c r="AE44" s="689">
        <f t="shared" si="150"/>
        <v>0.29556854009700617</v>
      </c>
      <c r="AF44" s="49">
        <f t="shared" si="150"/>
        <v>0.31938371212933708</v>
      </c>
      <c r="AG44" s="49">
        <f t="shared" si="150"/>
        <v>0.30820478962847364</v>
      </c>
      <c r="AH44" s="49">
        <f t="shared" si="150"/>
        <v>0.28884497783213575</v>
      </c>
      <c r="AI44" s="689">
        <f t="shared" si="150"/>
        <v>0.28904122915332553</v>
      </c>
      <c r="AJ44" s="49">
        <f t="shared" si="150"/>
        <v>0.2997573999396051</v>
      </c>
      <c r="AK44" s="49">
        <f t="shared" si="150"/>
        <v>0.29647316078373948</v>
      </c>
      <c r="AL44" s="49">
        <f t="shared" si="150"/>
        <v>0.29211048085756336</v>
      </c>
      <c r="AM44" s="689">
        <f t="shared" si="150"/>
        <v>0.2923109135192507</v>
      </c>
      <c r="AN44" s="49">
        <f t="shared" si="150"/>
        <v>0.29897137828753967</v>
      </c>
      <c r="AO44" s="49">
        <f t="shared" si="150"/>
        <v>0.29565492109363301</v>
      </c>
      <c r="AP44" s="49">
        <f t="shared" si="150"/>
        <v>0.29125006906966122</v>
      </c>
      <c r="AQ44" s="689">
        <f t="shared" si="150"/>
        <v>0.29145242358998275</v>
      </c>
      <c r="AR44" s="49"/>
      <c r="AS44" s="48"/>
      <c r="AT44" s="103"/>
      <c r="AU44" s="103"/>
      <c r="AV44" s="103"/>
      <c r="AW44" s="103"/>
      <c r="AX44" s="103"/>
      <c r="AY44" s="103"/>
      <c r="AZ44" s="103"/>
      <c r="BA44" s="103"/>
      <c r="BB44" s="103"/>
      <c r="BC44" s="103"/>
      <c r="BD44" s="103"/>
      <c r="BE44" s="103"/>
      <c r="BF44" s="103"/>
      <c r="BG44" s="103"/>
      <c r="BH44" s="103"/>
      <c r="BI44" s="103"/>
      <c r="BJ44" s="103"/>
      <c r="BK44" s="103"/>
      <c r="BL44" s="103"/>
      <c r="BM44" s="103"/>
      <c r="BN44" s="103"/>
      <c r="BO44" s="103"/>
      <c r="BP44" s="103"/>
      <c r="BQ44" s="103"/>
      <c r="BR44" s="103"/>
      <c r="BS44" s="103"/>
      <c r="BT44" s="103"/>
      <c r="BU44" s="103"/>
      <c r="BV44" s="103"/>
      <c r="BW44" s="103"/>
      <c r="BX44" s="103"/>
      <c r="BY44" s="103"/>
      <c r="BZ44" s="103"/>
      <c r="CA44" s="103"/>
      <c r="CB44" s="103"/>
      <c r="CC44" s="103"/>
      <c r="CD44" s="103"/>
      <c r="CE44" s="103"/>
      <c r="CF44" s="103"/>
      <c r="CG44" s="103"/>
      <c r="CH44" s="103"/>
      <c r="CI44" s="103"/>
      <c r="CJ44" s="103"/>
      <c r="CK44" s="103"/>
      <c r="CL44" s="103"/>
      <c r="CM44" s="103"/>
      <c r="CN44" s="103"/>
      <c r="CO44" s="103"/>
      <c r="CP44" s="103"/>
      <c r="CQ44" s="103"/>
      <c r="CR44" s="103"/>
      <c r="CS44" s="103"/>
    </row>
    <row r="45" spans="2:97" s="102" customFormat="1" ht="13.5" customHeight="1">
      <c r="B45" s="164" t="s">
        <v>93</v>
      </c>
      <c r="C45" s="103">
        <f t="shared" ref="C45:J45" si="151">C17/C7</f>
        <v>0.16013513983057717</v>
      </c>
      <c r="D45" s="103">
        <f t="shared" si="151"/>
        <v>0.16142467138885541</v>
      </c>
      <c r="E45" s="103">
        <f t="shared" si="151"/>
        <v>0.16247394090834635</v>
      </c>
      <c r="F45" s="103">
        <f t="shared" si="151"/>
        <v>0.14974736963725213</v>
      </c>
      <c r="G45" s="126">
        <f t="shared" si="151"/>
        <v>0.15253599407475205</v>
      </c>
      <c r="H45" s="103">
        <f t="shared" si="151"/>
        <v>0.1468971470576777</v>
      </c>
      <c r="I45" s="103">
        <f t="shared" si="151"/>
        <v>0.1437173738907751</v>
      </c>
      <c r="J45" s="103">
        <f t="shared" si="151"/>
        <v>0.1436362480158859</v>
      </c>
      <c r="L45" s="688">
        <f t="shared" ref="L45:AQ45" si="152">L17/L7</f>
        <v>0.16170950917388466</v>
      </c>
      <c r="M45" s="49">
        <f t="shared" si="152"/>
        <v>0.16647640209298878</v>
      </c>
      <c r="N45" s="49">
        <f t="shared" si="152"/>
        <v>0.15825118711655728</v>
      </c>
      <c r="O45" s="689">
        <f t="shared" si="152"/>
        <v>0.15435080220668965</v>
      </c>
      <c r="P45" s="49">
        <f t="shared" si="152"/>
        <v>0.16572863493356216</v>
      </c>
      <c r="Q45" s="49">
        <f t="shared" si="152"/>
        <v>0.16386441783400391</v>
      </c>
      <c r="R45" s="49">
        <f t="shared" si="152"/>
        <v>0.1606182074410748</v>
      </c>
      <c r="S45" s="689">
        <f t="shared" si="152"/>
        <v>0.15557917363267257</v>
      </c>
      <c r="T45" s="49">
        <f t="shared" si="152"/>
        <v>0.16590397201506807</v>
      </c>
      <c r="U45" s="49">
        <f t="shared" si="152"/>
        <v>0.16991048295001043</v>
      </c>
      <c r="V45" s="49">
        <f t="shared" si="152"/>
        <v>0.16320251016134421</v>
      </c>
      <c r="W45" s="689">
        <f t="shared" si="152"/>
        <v>0.15103451277785301</v>
      </c>
      <c r="X45" s="49">
        <f t="shared" si="152"/>
        <v>0.15974165303718452</v>
      </c>
      <c r="Y45" s="49">
        <f t="shared" si="152"/>
        <v>0.15588293304607731</v>
      </c>
      <c r="Z45" s="49">
        <f t="shared" si="152"/>
        <v>0.14158761042872414</v>
      </c>
      <c r="AA45" s="689">
        <f t="shared" si="152"/>
        <v>0.1428151589394055</v>
      </c>
      <c r="AB45" s="49">
        <f t="shared" si="152"/>
        <v>0.15475232888853813</v>
      </c>
      <c r="AC45" s="49">
        <f t="shared" si="152"/>
        <v>0.15632291040288637</v>
      </c>
      <c r="AD45" s="49">
        <f t="shared" si="152"/>
        <v>0.14429986005433185</v>
      </c>
      <c r="AE45" s="689">
        <f t="shared" si="152"/>
        <v>0.15502296466291429</v>
      </c>
      <c r="AF45" s="49">
        <f t="shared" si="152"/>
        <v>0.15170634397761851</v>
      </c>
      <c r="AG45" s="49">
        <f t="shared" si="152"/>
        <v>0.14996098673549005</v>
      </c>
      <c r="AH45" s="49">
        <f t="shared" si="152"/>
        <v>0.14305283830983268</v>
      </c>
      <c r="AI45" s="689">
        <f t="shared" si="152"/>
        <v>0.14312228108502287</v>
      </c>
      <c r="AJ45" s="49">
        <f t="shared" si="152"/>
        <v>0.14534882337503124</v>
      </c>
      <c r="AK45" s="49">
        <f t="shared" si="152"/>
        <v>0.14419624133165196</v>
      </c>
      <c r="AL45" s="49">
        <f t="shared" si="152"/>
        <v>0.14266518762171093</v>
      </c>
      <c r="AM45" s="689">
        <f t="shared" si="152"/>
        <v>0.14273552814071819</v>
      </c>
      <c r="AN45" s="49">
        <f t="shared" si="152"/>
        <v>0.14499366876040726</v>
      </c>
      <c r="AO45" s="49">
        <f t="shared" si="152"/>
        <v>0.14382607708914419</v>
      </c>
      <c r="AP45" s="49">
        <f t="shared" si="152"/>
        <v>0.14227530521553619</v>
      </c>
      <c r="AQ45" s="689">
        <f t="shared" si="152"/>
        <v>0.14234654613280293</v>
      </c>
      <c r="AR45" s="49"/>
      <c r="AS45" s="48"/>
      <c r="AT45" s="103"/>
      <c r="AU45" s="103"/>
      <c r="AV45" s="103"/>
      <c r="AW45" s="103"/>
      <c r="AX45" s="103"/>
      <c r="AY45" s="103"/>
      <c r="AZ45" s="103"/>
      <c r="BA45" s="103"/>
      <c r="BB45" s="103"/>
      <c r="BC45" s="103"/>
      <c r="BD45" s="103"/>
      <c r="BE45" s="103"/>
      <c r="BF45" s="103"/>
      <c r="BG45" s="103"/>
      <c r="BH45" s="103"/>
      <c r="BI45" s="103"/>
      <c r="BJ45" s="103"/>
      <c r="BK45" s="103"/>
      <c r="BL45" s="103"/>
      <c r="BM45" s="103"/>
      <c r="BN45" s="103"/>
      <c r="BO45" s="103"/>
      <c r="BP45" s="103"/>
      <c r="BQ45" s="103"/>
      <c r="BR45" s="103"/>
      <c r="BS45" s="103"/>
      <c r="BT45" s="103"/>
      <c r="BU45" s="103"/>
      <c r="BV45" s="103"/>
      <c r="BW45" s="103"/>
      <c r="BX45" s="103"/>
      <c r="BY45" s="103"/>
      <c r="BZ45" s="103"/>
      <c r="CA45" s="103"/>
      <c r="CB45" s="103"/>
      <c r="CC45" s="103"/>
      <c r="CD45" s="103"/>
      <c r="CE45" s="103"/>
      <c r="CF45" s="103"/>
      <c r="CG45" s="103"/>
      <c r="CH45" s="103"/>
      <c r="CI45" s="103"/>
      <c r="CJ45" s="103"/>
      <c r="CK45" s="103"/>
      <c r="CL45" s="103"/>
      <c r="CM45" s="103"/>
      <c r="CN45" s="103"/>
      <c r="CO45" s="103"/>
      <c r="CP45" s="103"/>
      <c r="CQ45" s="103"/>
      <c r="CR45" s="103"/>
      <c r="CS45" s="103"/>
    </row>
    <row r="46" spans="2:97" s="102" customFormat="1" ht="13.5" customHeight="1">
      <c r="B46" s="164" t="s">
        <v>88</v>
      </c>
      <c r="C46" s="103">
        <f t="shared" ref="C46:J46" si="153">C18/C7</f>
        <v>8.4735731443753889E-2</v>
      </c>
      <c r="D46" s="103">
        <f t="shared" si="153"/>
        <v>9.8793850102510211E-2</v>
      </c>
      <c r="E46" s="103">
        <f t="shared" si="153"/>
        <v>9.1115700855832246E-2</v>
      </c>
      <c r="F46" s="103">
        <f t="shared" si="153"/>
        <v>0.11696467322473661</v>
      </c>
      <c r="G46" s="126">
        <f t="shared" si="153"/>
        <v>0.11639137948683979</v>
      </c>
      <c r="H46" s="103">
        <f t="shared" si="153"/>
        <v>0.11166030003149335</v>
      </c>
      <c r="I46" s="103">
        <f t="shared" si="153"/>
        <v>0.10760871063159134</v>
      </c>
      <c r="J46" s="103">
        <f t="shared" si="153"/>
        <v>0.10693199354201169</v>
      </c>
      <c r="L46" s="688">
        <f t="shared" ref="L46:AQ46" si="154">L18/L7</f>
        <v>8.932197075533202E-2</v>
      </c>
      <c r="M46" s="49">
        <f t="shared" si="154"/>
        <v>8.335235979070113E-2</v>
      </c>
      <c r="N46" s="49">
        <f t="shared" si="154"/>
        <v>7.7820405143512558E-2</v>
      </c>
      <c r="O46" s="689">
        <f t="shared" si="154"/>
        <v>8.8328581691343569E-2</v>
      </c>
      <c r="P46" s="49">
        <f t="shared" si="154"/>
        <v>8.6684312328209306E-2</v>
      </c>
      <c r="Q46" s="49">
        <f t="shared" si="154"/>
        <v>0.1190779913966325</v>
      </c>
      <c r="R46" s="49">
        <f t="shared" si="154"/>
        <v>8.7402063491322804E-2</v>
      </c>
      <c r="S46" s="689">
        <f t="shared" si="154"/>
        <v>0.10218294721757822</v>
      </c>
      <c r="T46" s="49">
        <f t="shared" si="154"/>
        <v>8.8133786920794058E-2</v>
      </c>
      <c r="U46" s="49">
        <f t="shared" si="154"/>
        <v>9.3728894728440384E-2</v>
      </c>
      <c r="V46" s="49">
        <f t="shared" si="154"/>
        <v>8.5525716780400579E-2</v>
      </c>
      <c r="W46" s="689">
        <f t="shared" si="154"/>
        <v>9.7255808554680703E-2</v>
      </c>
      <c r="X46" s="49">
        <f t="shared" si="154"/>
        <v>0.10093340052745323</v>
      </c>
      <c r="Y46" s="49">
        <f t="shared" si="154"/>
        <v>0.1179317564594681</v>
      </c>
      <c r="Z46" s="49">
        <f t="shared" si="154"/>
        <v>0.11836735882745303</v>
      </c>
      <c r="AA46" s="689">
        <f t="shared" si="154"/>
        <v>0.1293556800809321</v>
      </c>
      <c r="AB46" s="49">
        <f t="shared" si="154"/>
        <v>0.10445015768753282</v>
      </c>
      <c r="AC46" s="49">
        <f t="shared" si="154"/>
        <v>0.11404990980156345</v>
      </c>
      <c r="AD46" s="49">
        <f t="shared" si="154"/>
        <v>0.12004751096633072</v>
      </c>
      <c r="AE46" s="689">
        <f t="shared" si="154"/>
        <v>0.12702108949630944</v>
      </c>
      <c r="AF46" s="49">
        <f t="shared" si="154"/>
        <v>0.11903806141428751</v>
      </c>
      <c r="AG46" s="49">
        <f t="shared" si="154"/>
        <v>0.10809675289598464</v>
      </c>
      <c r="AH46" s="49">
        <f t="shared" si="154"/>
        <v>0.10989683417026333</v>
      </c>
      <c r="AI46" s="689">
        <f t="shared" si="154"/>
        <v>0.10983267508448975</v>
      </c>
      <c r="AJ46" s="49">
        <f t="shared" si="154"/>
        <v>0.10620531322577961</v>
      </c>
      <c r="AK46" s="49">
        <f t="shared" si="154"/>
        <v>0.10719678165019189</v>
      </c>
      <c r="AL46" s="49">
        <f t="shared" si="154"/>
        <v>0.10851381709960352</v>
      </c>
      <c r="AM46" s="689">
        <f t="shared" si="154"/>
        <v>0.10845330912626393</v>
      </c>
      <c r="AN46" s="49">
        <f t="shared" si="154"/>
        <v>0.10348390963243237</v>
      </c>
      <c r="AO46" s="49">
        <f t="shared" si="154"/>
        <v>0.10444034110782868</v>
      </c>
      <c r="AP46" s="49">
        <f t="shared" si="154"/>
        <v>0.10571065423833739</v>
      </c>
      <c r="AQ46" s="689">
        <f t="shared" si="154"/>
        <v>0.10565229731674655</v>
      </c>
      <c r="AR46" s="49"/>
      <c r="AS46" s="48"/>
      <c r="AT46" s="103"/>
      <c r="AU46" s="103"/>
      <c r="AV46" s="103"/>
      <c r="AW46" s="103"/>
      <c r="AX46" s="103"/>
      <c r="AY46" s="103"/>
      <c r="AZ46" s="103"/>
      <c r="BA46" s="103"/>
      <c r="BB46" s="103"/>
      <c r="BC46" s="103"/>
      <c r="BD46" s="103"/>
      <c r="BE46" s="103"/>
      <c r="BF46" s="103"/>
      <c r="BG46" s="103"/>
      <c r="BH46" s="103"/>
      <c r="BI46" s="103"/>
      <c r="BJ46" s="103"/>
      <c r="BK46" s="103"/>
      <c r="BL46" s="103"/>
      <c r="BM46" s="103"/>
      <c r="BN46" s="103"/>
      <c r="BO46" s="103"/>
      <c r="BP46" s="103"/>
      <c r="BQ46" s="103"/>
      <c r="BR46" s="103"/>
      <c r="BS46" s="103"/>
      <c r="BT46" s="103"/>
      <c r="BU46" s="103"/>
      <c r="BV46" s="103"/>
      <c r="BW46" s="103"/>
      <c r="BX46" s="103"/>
      <c r="BY46" s="103"/>
      <c r="BZ46" s="103"/>
      <c r="CA46" s="103"/>
      <c r="CB46" s="103"/>
      <c r="CC46" s="103"/>
      <c r="CD46" s="103"/>
      <c r="CE46" s="103"/>
      <c r="CF46" s="103"/>
      <c r="CG46" s="103"/>
      <c r="CH46" s="103"/>
      <c r="CI46" s="103"/>
      <c r="CJ46" s="103"/>
      <c r="CK46" s="103"/>
      <c r="CL46" s="103"/>
      <c r="CM46" s="103"/>
      <c r="CN46" s="103"/>
      <c r="CO46" s="103"/>
      <c r="CP46" s="103"/>
      <c r="CQ46" s="103"/>
      <c r="CR46" s="103"/>
      <c r="CS46" s="103"/>
    </row>
    <row r="47" spans="2:97" s="102" customFormat="1" ht="13.5" customHeight="1">
      <c r="B47" s="164" t="s">
        <v>94</v>
      </c>
      <c r="C47" s="103">
        <f t="shared" ref="C47:J47" si="155">C20/C7</f>
        <v>4.8637830350172918E-2</v>
      </c>
      <c r="D47" s="103">
        <f t="shared" si="155"/>
        <v>4.9473256103800684E-2</v>
      </c>
      <c r="E47" s="103">
        <f t="shared" si="155"/>
        <v>4.9632105163583705E-2</v>
      </c>
      <c r="F47" s="103">
        <f t="shared" si="155"/>
        <v>4.9061838520982906E-2</v>
      </c>
      <c r="G47" s="126">
        <f t="shared" si="155"/>
        <v>5.9806465987029475E-2</v>
      </c>
      <c r="H47" s="103">
        <f t="shared" si="155"/>
        <v>6.0213072320180375E-2</v>
      </c>
      <c r="I47" s="103">
        <f t="shared" si="155"/>
        <v>6.4347822342102165E-2</v>
      </c>
      <c r="J47" s="103">
        <f t="shared" si="155"/>
        <v>6.4344485061772108E-2</v>
      </c>
      <c r="L47" s="703">
        <f t="shared" ref="L47:AQ47" si="156">L20/L7</f>
        <v>4.885675700847536E-2</v>
      </c>
      <c r="M47" s="635">
        <f t="shared" si="156"/>
        <v>4.8671639437256241E-2</v>
      </c>
      <c r="N47" s="635">
        <f t="shared" si="156"/>
        <v>4.9117892713977609E-2</v>
      </c>
      <c r="O47" s="636">
        <f t="shared" si="156"/>
        <v>4.7926823207290567E-2</v>
      </c>
      <c r="P47" s="635">
        <f t="shared" si="156"/>
        <v>5.0358003325528526E-2</v>
      </c>
      <c r="Q47" s="635">
        <f t="shared" si="156"/>
        <v>5.0167127846808261E-2</v>
      </c>
      <c r="R47" s="635">
        <f t="shared" si="156"/>
        <v>4.8010471448503726E-2</v>
      </c>
      <c r="S47" s="636">
        <f t="shared" si="156"/>
        <v>4.9407690470503945E-2</v>
      </c>
      <c r="T47" s="635">
        <f t="shared" si="156"/>
        <v>5.0273706646668033E-2</v>
      </c>
      <c r="U47" s="635">
        <f t="shared" si="156"/>
        <v>4.9704679691049525E-2</v>
      </c>
      <c r="V47" s="635">
        <f t="shared" si="156"/>
        <v>4.7413380523370519E-2</v>
      </c>
      <c r="W47" s="636">
        <f t="shared" si="156"/>
        <v>5.1229904625563441E-2</v>
      </c>
      <c r="X47" s="635">
        <f t="shared" si="156"/>
        <v>4.7161615255950848E-2</v>
      </c>
      <c r="Y47" s="635">
        <f t="shared" si="156"/>
        <v>4.9494014656127211E-2</v>
      </c>
      <c r="Z47" s="635">
        <f t="shared" si="156"/>
        <v>4.9583334546969164E-2</v>
      </c>
      <c r="AA47" s="636">
        <f t="shared" si="156"/>
        <v>4.989021609203198E-2</v>
      </c>
      <c r="AB47" s="635">
        <f t="shared" si="156"/>
        <v>5.2299445437685346E-2</v>
      </c>
      <c r="AC47" s="635">
        <f t="shared" si="156"/>
        <v>5.4963920625375827E-2</v>
      </c>
      <c r="AD47" s="635">
        <f t="shared" si="156"/>
        <v>6.4951254218950288E-2</v>
      </c>
      <c r="AE47" s="636">
        <f t="shared" si="156"/>
        <v>6.6957542183588625E-2</v>
      </c>
      <c r="AF47" s="635">
        <f t="shared" si="156"/>
        <v>6.1202852231255031E-2</v>
      </c>
      <c r="AG47" s="635">
        <f t="shared" si="156"/>
        <v>5.842986615449252E-2</v>
      </c>
      <c r="AH47" s="635">
        <f t="shared" si="156"/>
        <v>6.0606441028777068E-2</v>
      </c>
      <c r="AI47" s="636">
        <f t="shared" si="156"/>
        <v>6.0617763220384174E-2</v>
      </c>
      <c r="AJ47" s="635">
        <f t="shared" si="156"/>
        <v>6.4698671693555115E-2</v>
      </c>
      <c r="AK47" s="635">
        <f t="shared" si="156"/>
        <v>6.4450804587452046E-2</v>
      </c>
      <c r="AL47" s="635">
        <f t="shared" si="156"/>
        <v>6.4121545725099122E-2</v>
      </c>
      <c r="AM47" s="636">
        <f t="shared" si="156"/>
        <v>6.4136672718434026E-2</v>
      </c>
      <c r="AN47" s="635">
        <f t="shared" si="156"/>
        <v>6.4679503991576015E-2</v>
      </c>
      <c r="AO47" s="635">
        <f t="shared" si="156"/>
        <v>6.4431080231732815E-2</v>
      </c>
      <c r="AP47" s="635">
        <f t="shared" si="156"/>
        <v>6.4101128769263022E-2</v>
      </c>
      <c r="AQ47" s="636">
        <f t="shared" si="156"/>
        <v>6.4116286411234666E-2</v>
      </c>
      <c r="AR47" s="49"/>
      <c r="AS47" s="48"/>
      <c r="AT47" s="103"/>
      <c r="AU47" s="103"/>
      <c r="AV47" s="103"/>
      <c r="AW47" s="103"/>
      <c r="AX47" s="103"/>
      <c r="AY47" s="103"/>
      <c r="AZ47" s="103"/>
      <c r="BA47" s="103"/>
      <c r="BB47" s="103"/>
      <c r="BC47" s="103"/>
      <c r="BD47" s="103"/>
      <c r="BE47" s="103"/>
      <c r="BF47" s="103"/>
      <c r="BG47" s="103"/>
      <c r="BH47" s="103"/>
      <c r="BI47" s="103"/>
      <c r="BJ47" s="103"/>
      <c r="BK47" s="103"/>
      <c r="BL47" s="103"/>
      <c r="BM47" s="103"/>
      <c r="BN47" s="103"/>
      <c r="BO47" s="103"/>
      <c r="BP47" s="103"/>
      <c r="BQ47" s="103"/>
      <c r="BR47" s="103"/>
      <c r="BS47" s="103"/>
      <c r="BT47" s="103"/>
      <c r="BU47" s="103"/>
      <c r="BV47" s="103"/>
      <c r="BW47" s="103"/>
      <c r="BX47" s="103"/>
      <c r="BY47" s="103"/>
      <c r="BZ47" s="103"/>
      <c r="CA47" s="103"/>
      <c r="CB47" s="103"/>
      <c r="CC47" s="103"/>
      <c r="CD47" s="103"/>
      <c r="CE47" s="103"/>
      <c r="CF47" s="103"/>
      <c r="CG47" s="103"/>
      <c r="CH47" s="103"/>
      <c r="CI47" s="103"/>
      <c r="CJ47" s="103"/>
      <c r="CK47" s="103"/>
      <c r="CL47" s="103"/>
      <c r="CM47" s="103"/>
      <c r="CN47" s="103"/>
      <c r="CO47" s="103"/>
      <c r="CP47" s="103"/>
      <c r="CQ47" s="103"/>
      <c r="CR47" s="103"/>
      <c r="CS47" s="103"/>
    </row>
    <row r="48" spans="2:97" s="38" customFormat="1" ht="13.5" customHeight="1">
      <c r="B48" s="37"/>
      <c r="C48" s="77"/>
      <c r="D48" s="77"/>
      <c r="E48" s="77"/>
      <c r="F48" s="77"/>
      <c r="G48" s="77"/>
      <c r="H48" s="77"/>
      <c r="I48" s="77"/>
      <c r="J48" s="77"/>
      <c r="K48" s="716"/>
      <c r="L48" s="196"/>
      <c r="M48" s="196"/>
      <c r="N48" s="196"/>
      <c r="O48" s="196"/>
      <c r="P48" s="196"/>
      <c r="Q48" s="196"/>
      <c r="R48" s="196"/>
      <c r="S48" s="196"/>
      <c r="T48" s="196"/>
      <c r="U48" s="196"/>
      <c r="V48" s="196"/>
      <c r="W48" s="196"/>
      <c r="X48" s="196"/>
      <c r="Y48" s="196"/>
      <c r="Z48" s="196"/>
      <c r="AA48" s="196"/>
      <c r="AB48" s="196"/>
      <c r="AC48" s="196"/>
      <c r="AD48" s="196"/>
      <c r="AE48" s="196"/>
      <c r="AF48" s="196"/>
      <c r="AG48" s="198"/>
      <c r="AH48" s="197"/>
      <c r="AI48" s="197"/>
      <c r="AJ48" s="197"/>
      <c r="AK48" s="197"/>
      <c r="AL48" s="197"/>
      <c r="AM48" s="197"/>
      <c r="AN48" s="197"/>
      <c r="AO48" s="197"/>
      <c r="AP48" s="197"/>
      <c r="AQ48" s="197"/>
      <c r="AR48" s="171"/>
      <c r="AS48" s="171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16"/>
      <c r="BI48" s="716"/>
      <c r="BJ48" s="716"/>
      <c r="BK48" s="716"/>
      <c r="BL48" s="716"/>
      <c r="BM48" s="716"/>
      <c r="BN48" s="716"/>
      <c r="BO48" s="716"/>
      <c r="BP48" s="716"/>
      <c r="BQ48" s="716"/>
      <c r="BR48" s="716"/>
      <c r="BS48" s="716"/>
      <c r="BT48" s="716"/>
      <c r="BU48" s="716"/>
      <c r="BV48" s="716"/>
      <c r="BW48" s="716"/>
      <c r="BX48" s="716"/>
      <c r="BY48" s="716"/>
      <c r="BZ48" s="716"/>
      <c r="CA48" s="716"/>
      <c r="CB48" s="716"/>
      <c r="CC48" s="716"/>
      <c r="CD48" s="716"/>
      <c r="CE48" s="716"/>
      <c r="CF48" s="716"/>
      <c r="CG48" s="716"/>
      <c r="CH48" s="716"/>
      <c r="CI48" s="716"/>
      <c r="CJ48" s="716"/>
      <c r="CK48" s="716"/>
      <c r="CL48" s="716"/>
      <c r="CM48" s="716"/>
      <c r="CN48" s="716"/>
      <c r="CO48" s="716"/>
      <c r="CP48" s="716"/>
      <c r="CQ48" s="716"/>
      <c r="CR48" s="716"/>
      <c r="CS48" s="716"/>
    </row>
    <row r="49" spans="2:45" ht="13.5" customHeight="1">
      <c r="B49" s="10"/>
      <c r="C49" s="78"/>
      <c r="D49" s="78"/>
      <c r="E49" s="78"/>
      <c r="F49" s="78"/>
      <c r="G49" s="12"/>
      <c r="H49" s="12"/>
      <c r="I49" s="12"/>
      <c r="J49" s="12"/>
      <c r="K49" s="4"/>
      <c r="L49" s="199"/>
      <c r="M49" s="199"/>
      <c r="N49" s="199"/>
      <c r="O49" s="199"/>
      <c r="P49" s="199"/>
      <c r="Q49" s="199"/>
      <c r="R49" s="199"/>
      <c r="S49" s="199"/>
      <c r="T49" s="199"/>
      <c r="U49" s="199"/>
      <c r="V49" s="199"/>
      <c r="W49" s="199"/>
      <c r="X49" s="199"/>
      <c r="Y49" s="199"/>
      <c r="Z49" s="199"/>
      <c r="AA49" s="199"/>
      <c r="AB49" s="199"/>
      <c r="AC49" s="199"/>
      <c r="AD49" s="199"/>
      <c r="AE49" s="199"/>
      <c r="AF49" s="199"/>
      <c r="AG49" s="199"/>
      <c r="AH49" s="199"/>
      <c r="AI49" s="199"/>
      <c r="AJ49" s="199"/>
      <c r="AK49" s="199"/>
      <c r="AL49" s="199"/>
      <c r="AM49" s="199"/>
      <c r="AN49" s="199"/>
      <c r="AO49" s="199"/>
      <c r="AP49" s="199"/>
      <c r="AQ49" s="199"/>
      <c r="AR49" s="183"/>
      <c r="AS49" s="183"/>
    </row>
    <row r="50" spans="2:45" ht="13.5" customHeight="1">
      <c r="B50" s="10"/>
      <c r="C50" s="10"/>
      <c r="D50" s="10"/>
      <c r="E50" s="10"/>
      <c r="F50" s="10"/>
      <c r="G50" s="78"/>
      <c r="H50" s="78"/>
      <c r="I50" s="78"/>
      <c r="J50" s="78"/>
      <c r="K50" s="717"/>
      <c r="L50" s="200"/>
      <c r="M50" s="200"/>
      <c r="N50" s="200"/>
      <c r="O50" s="200"/>
      <c r="P50" s="200"/>
      <c r="Q50" s="200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  <c r="AF50" s="200"/>
      <c r="AG50" s="200"/>
      <c r="AH50" s="200"/>
      <c r="AI50" s="200"/>
      <c r="AJ50" s="200"/>
      <c r="AK50" s="200"/>
      <c r="AL50" s="200"/>
      <c r="AM50" s="200"/>
      <c r="AN50" s="200"/>
      <c r="AO50" s="200"/>
      <c r="AP50" s="200"/>
      <c r="AQ50" s="200"/>
      <c r="AR50" s="183"/>
      <c r="AS50" s="183"/>
    </row>
    <row r="51" spans="2:45" ht="13.5" customHeight="1">
      <c r="B51" s="718"/>
      <c r="C51" s="34"/>
      <c r="D51" s="34"/>
      <c r="E51" s="34"/>
      <c r="F51" s="34"/>
      <c r="G51" s="34"/>
      <c r="H51" s="34"/>
      <c r="I51" s="34"/>
      <c r="J51" s="34"/>
      <c r="K51" s="717"/>
      <c r="L51" s="200"/>
      <c r="M51" s="200"/>
      <c r="N51" s="200"/>
      <c r="O51" s="200"/>
      <c r="P51" s="200"/>
      <c r="Q51" s="200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  <c r="AG51" s="200"/>
      <c r="AH51" s="200"/>
      <c r="AI51" s="200"/>
      <c r="AJ51" s="200"/>
      <c r="AK51" s="200"/>
      <c r="AL51" s="200"/>
      <c r="AM51" s="200"/>
      <c r="AN51" s="200"/>
      <c r="AO51" s="200"/>
      <c r="AP51" s="200"/>
      <c r="AQ51" s="200"/>
      <c r="AR51" s="183"/>
      <c r="AS51" s="183"/>
    </row>
    <row r="52" spans="2:45" ht="13.5" customHeight="1">
      <c r="B52" s="10"/>
      <c r="C52" s="10"/>
      <c r="D52" s="10"/>
      <c r="E52" s="10"/>
      <c r="F52" s="10"/>
      <c r="G52" s="10"/>
      <c r="H52" s="10"/>
      <c r="I52" s="10"/>
      <c r="J52" s="10"/>
      <c r="K52" s="3"/>
      <c r="L52" s="183"/>
      <c r="M52" s="183"/>
      <c r="N52" s="183"/>
      <c r="O52" s="183"/>
      <c r="P52" s="183"/>
      <c r="Q52" s="183"/>
      <c r="R52" s="183"/>
      <c r="S52" s="183"/>
      <c r="T52" s="183"/>
      <c r="U52" s="183"/>
      <c r="V52" s="183"/>
      <c r="W52" s="183"/>
      <c r="X52" s="183"/>
      <c r="Y52" s="183"/>
      <c r="Z52" s="183"/>
      <c r="AA52" s="183"/>
      <c r="AB52" s="183"/>
      <c r="AC52" s="183"/>
      <c r="AD52" s="183"/>
      <c r="AE52" s="183"/>
      <c r="AF52" s="183"/>
      <c r="AG52" s="183"/>
      <c r="AH52" s="183"/>
      <c r="AI52" s="183"/>
      <c r="AJ52" s="183"/>
      <c r="AK52" s="183"/>
      <c r="AL52" s="183"/>
      <c r="AM52" s="183"/>
      <c r="AN52" s="183"/>
      <c r="AO52" s="183"/>
      <c r="AP52" s="183"/>
      <c r="AQ52" s="183"/>
      <c r="AR52" s="183"/>
      <c r="AS52" s="184"/>
    </row>
    <row r="53" spans="2:45" ht="13.5" customHeight="1">
      <c r="B53" s="10"/>
      <c r="C53" s="10"/>
      <c r="D53" s="10"/>
      <c r="E53" s="10"/>
      <c r="F53" s="10"/>
      <c r="G53" s="10"/>
      <c r="H53" s="10"/>
      <c r="I53" s="10"/>
      <c r="J53" s="10"/>
      <c r="K53" s="3"/>
      <c r="L53" s="183"/>
      <c r="M53" s="183"/>
      <c r="N53" s="183"/>
      <c r="O53" s="183"/>
      <c r="P53" s="183"/>
      <c r="Q53" s="183"/>
      <c r="R53" s="183"/>
      <c r="S53" s="183"/>
      <c r="T53" s="183"/>
      <c r="U53" s="183"/>
      <c r="V53" s="183"/>
      <c r="W53" s="183"/>
      <c r="X53" s="183"/>
      <c r="Y53" s="183"/>
      <c r="Z53" s="183"/>
      <c r="AA53" s="183"/>
      <c r="AB53" s="183"/>
      <c r="AC53" s="183"/>
      <c r="AD53" s="183"/>
      <c r="AE53" s="183"/>
      <c r="AF53" s="183"/>
      <c r="AG53" s="183"/>
      <c r="AH53" s="183"/>
      <c r="AI53" s="183"/>
      <c r="AJ53" s="183"/>
      <c r="AK53" s="183"/>
      <c r="AL53" s="183"/>
      <c r="AM53" s="183"/>
      <c r="AN53" s="183"/>
      <c r="AO53" s="183"/>
      <c r="AP53" s="183"/>
      <c r="AQ53" s="183"/>
      <c r="AR53" s="183"/>
      <c r="AS53" s="184"/>
    </row>
    <row r="54" spans="2:45" ht="13.5" customHeight="1">
      <c r="B54" s="10"/>
      <c r="C54" s="10"/>
      <c r="D54" s="10"/>
      <c r="E54" s="10"/>
      <c r="F54" s="10"/>
      <c r="G54" s="10"/>
      <c r="H54" s="10"/>
      <c r="I54" s="10"/>
      <c r="J54" s="10"/>
      <c r="K54" s="3"/>
      <c r="L54" s="183"/>
      <c r="M54" s="183"/>
      <c r="N54" s="183"/>
      <c r="O54" s="183"/>
      <c r="P54" s="183"/>
      <c r="Q54" s="183"/>
      <c r="R54" s="183"/>
      <c r="S54" s="183"/>
      <c r="T54" s="183"/>
      <c r="U54" s="183"/>
      <c r="V54" s="183"/>
      <c r="W54" s="183"/>
      <c r="X54" s="183"/>
      <c r="Y54" s="183"/>
      <c r="Z54" s="183"/>
      <c r="AA54" s="183"/>
      <c r="AB54" s="183"/>
      <c r="AC54" s="183"/>
      <c r="AD54" s="183"/>
      <c r="AE54" s="183"/>
      <c r="AF54" s="183"/>
      <c r="AG54" s="183"/>
      <c r="AH54" s="183"/>
      <c r="AI54" s="183"/>
      <c r="AJ54" s="183"/>
      <c r="AK54" s="183"/>
      <c r="AL54" s="183"/>
      <c r="AM54" s="183"/>
      <c r="AN54" s="183"/>
      <c r="AO54" s="183"/>
      <c r="AP54" s="183"/>
      <c r="AQ54" s="183"/>
      <c r="AR54" s="183"/>
      <c r="AS54" s="184"/>
    </row>
    <row r="55" spans="2:45" ht="13.5" customHeight="1">
      <c r="B55" s="10"/>
      <c r="C55" s="10"/>
      <c r="D55" s="10"/>
      <c r="E55" s="10"/>
      <c r="F55" s="10"/>
      <c r="G55" s="10"/>
      <c r="H55" s="10"/>
      <c r="I55" s="10"/>
      <c r="J55" s="10"/>
      <c r="K55" s="3"/>
      <c r="L55" s="183"/>
      <c r="M55" s="183"/>
      <c r="N55" s="183"/>
      <c r="O55" s="183"/>
      <c r="P55" s="183"/>
      <c r="Q55" s="183"/>
      <c r="R55" s="183"/>
      <c r="S55" s="183"/>
      <c r="T55" s="183"/>
      <c r="U55" s="183"/>
      <c r="V55" s="183"/>
      <c r="W55" s="183"/>
      <c r="X55" s="183"/>
      <c r="Y55" s="183"/>
      <c r="Z55" s="183"/>
      <c r="AA55" s="183"/>
      <c r="AB55" s="183"/>
      <c r="AC55" s="183"/>
      <c r="AD55" s="183"/>
      <c r="AE55" s="183"/>
      <c r="AF55" s="183"/>
      <c r="AG55" s="183"/>
      <c r="AH55" s="183"/>
      <c r="AI55" s="183"/>
      <c r="AJ55" s="183"/>
      <c r="AK55" s="183"/>
      <c r="AL55" s="183"/>
      <c r="AM55" s="183"/>
      <c r="AN55" s="183"/>
      <c r="AO55" s="183"/>
      <c r="AP55" s="183"/>
      <c r="AQ55" s="183"/>
      <c r="AR55" s="183"/>
      <c r="AS55" s="184"/>
    </row>
    <row r="56" spans="2:45" ht="13.5" customHeight="1">
      <c r="B56" s="10"/>
      <c r="C56" s="10"/>
      <c r="D56" s="10"/>
      <c r="E56" s="10"/>
      <c r="F56" s="10"/>
      <c r="G56" s="10"/>
      <c r="H56" s="10"/>
      <c r="I56" s="10"/>
      <c r="J56" s="10"/>
      <c r="K56" s="3"/>
      <c r="L56" s="183"/>
      <c r="M56" s="183"/>
      <c r="N56" s="183"/>
      <c r="O56" s="183"/>
      <c r="P56" s="183"/>
      <c r="Q56" s="183"/>
      <c r="R56" s="183"/>
      <c r="S56" s="183"/>
      <c r="T56" s="183"/>
      <c r="U56" s="183"/>
      <c r="V56" s="183"/>
      <c r="W56" s="183"/>
      <c r="X56" s="183"/>
      <c r="Y56" s="183"/>
      <c r="Z56" s="183"/>
      <c r="AA56" s="183"/>
      <c r="AB56" s="183"/>
      <c r="AC56" s="183"/>
      <c r="AD56" s="183"/>
      <c r="AE56" s="183"/>
      <c r="AF56" s="183"/>
      <c r="AG56" s="183"/>
      <c r="AH56" s="183"/>
      <c r="AI56" s="183"/>
      <c r="AJ56" s="183"/>
      <c r="AK56" s="183"/>
      <c r="AL56" s="183"/>
      <c r="AM56" s="183"/>
      <c r="AN56" s="183"/>
      <c r="AO56" s="183"/>
      <c r="AP56" s="183"/>
      <c r="AQ56" s="183"/>
      <c r="AR56" s="183"/>
      <c r="AS56" s="184"/>
    </row>
    <row r="57" spans="2:45" ht="13.5" customHeight="1">
      <c r="B57" s="10"/>
      <c r="C57" s="10"/>
      <c r="D57" s="10"/>
      <c r="E57" s="10"/>
      <c r="F57" s="10"/>
      <c r="G57" s="10"/>
      <c r="H57" s="10"/>
      <c r="I57" s="10"/>
      <c r="J57" s="10"/>
      <c r="K57" s="3"/>
      <c r="L57" s="183"/>
      <c r="M57" s="183"/>
      <c r="N57" s="183"/>
      <c r="O57" s="183"/>
      <c r="P57" s="183"/>
      <c r="Q57" s="183"/>
      <c r="R57" s="183"/>
      <c r="S57" s="183"/>
      <c r="T57" s="183"/>
      <c r="U57" s="183"/>
      <c r="V57" s="183"/>
      <c r="W57" s="183"/>
      <c r="X57" s="183"/>
      <c r="Y57" s="183"/>
      <c r="Z57" s="183"/>
      <c r="AA57" s="183"/>
      <c r="AB57" s="183"/>
      <c r="AC57" s="183"/>
      <c r="AD57" s="183"/>
      <c r="AE57" s="183"/>
      <c r="AF57" s="183"/>
      <c r="AG57" s="183"/>
      <c r="AH57" s="183"/>
      <c r="AI57" s="183"/>
      <c r="AJ57" s="183"/>
      <c r="AK57" s="183"/>
      <c r="AL57" s="183"/>
      <c r="AM57" s="183"/>
      <c r="AN57" s="183"/>
      <c r="AO57" s="183"/>
      <c r="AP57" s="183"/>
      <c r="AQ57" s="183"/>
      <c r="AR57" s="183"/>
      <c r="AS57" s="184"/>
    </row>
    <row r="58" spans="2:45" ht="13.5" customHeight="1">
      <c r="B58" s="10"/>
      <c r="C58" s="10"/>
      <c r="D58" s="10"/>
      <c r="E58" s="10"/>
      <c r="F58" s="10"/>
      <c r="G58" s="10"/>
      <c r="H58" s="10"/>
      <c r="I58" s="10"/>
      <c r="J58" s="10"/>
      <c r="K58" s="3"/>
      <c r="L58" s="183"/>
      <c r="M58" s="183"/>
      <c r="N58" s="183"/>
      <c r="O58" s="183"/>
      <c r="P58" s="183"/>
      <c r="Q58" s="183"/>
      <c r="R58" s="183"/>
      <c r="S58" s="183"/>
      <c r="T58" s="183"/>
      <c r="U58" s="183"/>
      <c r="V58" s="183"/>
      <c r="W58" s="183"/>
      <c r="X58" s="183"/>
      <c r="Y58" s="183"/>
      <c r="Z58" s="183"/>
      <c r="AA58" s="183"/>
      <c r="AB58" s="183"/>
      <c r="AC58" s="183"/>
      <c r="AD58" s="183"/>
      <c r="AE58" s="183"/>
      <c r="AF58" s="183"/>
      <c r="AG58" s="183"/>
      <c r="AH58" s="183"/>
      <c r="AI58" s="183"/>
      <c r="AJ58" s="183"/>
      <c r="AK58" s="183"/>
      <c r="AL58" s="183"/>
      <c r="AM58" s="183"/>
      <c r="AN58" s="183"/>
      <c r="AO58" s="183"/>
      <c r="AP58" s="183"/>
      <c r="AQ58" s="183"/>
      <c r="AR58" s="183"/>
      <c r="AS58" s="184"/>
    </row>
    <row r="59" spans="2:45" ht="13.5" customHeight="1">
      <c r="B59" s="10"/>
      <c r="C59" s="10"/>
      <c r="D59" s="10"/>
      <c r="E59" s="10"/>
      <c r="F59" s="10"/>
      <c r="G59" s="10"/>
      <c r="H59" s="10"/>
      <c r="I59" s="10"/>
      <c r="J59" s="10"/>
      <c r="K59" s="3"/>
      <c r="L59" s="183"/>
      <c r="M59" s="183"/>
      <c r="N59" s="183"/>
      <c r="O59" s="183"/>
      <c r="P59" s="183"/>
      <c r="Q59" s="183"/>
      <c r="R59" s="183"/>
      <c r="S59" s="183"/>
      <c r="T59" s="183"/>
      <c r="U59" s="183"/>
      <c r="V59" s="183"/>
      <c r="W59" s="183"/>
      <c r="X59" s="183"/>
      <c r="Y59" s="183"/>
      <c r="Z59" s="183"/>
      <c r="AA59" s="183"/>
      <c r="AB59" s="183"/>
      <c r="AC59" s="183"/>
      <c r="AD59" s="183"/>
      <c r="AE59" s="183"/>
      <c r="AF59" s="183"/>
      <c r="AG59" s="183"/>
      <c r="AH59" s="183"/>
      <c r="AI59" s="183"/>
      <c r="AJ59" s="183"/>
      <c r="AK59" s="183"/>
      <c r="AL59" s="183"/>
      <c r="AM59" s="183"/>
      <c r="AN59" s="183"/>
      <c r="AO59" s="183"/>
      <c r="AP59" s="183"/>
      <c r="AQ59" s="183"/>
      <c r="AR59" s="183"/>
      <c r="AS59" s="184"/>
    </row>
    <row r="60" spans="2:45" ht="13.5" customHeight="1">
      <c r="K60" s="3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</row>
    <row r="61" spans="2:45" ht="13.5" customHeight="1">
      <c r="K61" s="3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</row>
    <row r="62" spans="2:45" ht="13.5" customHeight="1">
      <c r="K62" s="3"/>
    </row>
    <row r="63" spans="2:45" ht="13.5" customHeight="1">
      <c r="K63" s="3"/>
    </row>
  </sheetData>
  <sortState xmlns:xlrd2="http://schemas.microsoft.com/office/spreadsheetml/2017/richdata2" ref="B39:DQ40">
    <sortCondition ref="B39"/>
  </sortState>
  <pageMargins left="0.7" right="0.7" top="0.75" bottom="0.75" header="0.3" footer="0.3"/>
  <pageSetup scale="8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>
    <pageSetUpPr fitToPage="1"/>
  </sheetPr>
  <dimension ref="B1:AT64"/>
  <sheetViews>
    <sheetView showGridLines="0" view="pageBreakPreview" zoomScaleNormal="100" zoomScaleSheetLayoutView="100" workbookViewId="0">
      <pane xSplit="2" ySplit="7" topLeftCell="C8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9.83203125" defaultRowHeight="13.5" customHeight="1"/>
  <cols>
    <col min="1" max="1" width="5.83203125" style="3" customWidth="1"/>
    <col min="2" max="2" width="41.5" style="3" customWidth="1"/>
    <col min="3" max="10" width="11.83203125" style="3" customWidth="1"/>
    <col min="11" max="11" width="9.83203125" style="2"/>
    <col min="12" max="43" width="11.83203125" style="10" customWidth="1"/>
    <col min="44" max="46" width="9.83203125" style="10"/>
    <col min="47" max="16384" width="9.83203125" style="3"/>
  </cols>
  <sheetData>
    <row r="1" spans="2:43" ht="13.5" customHeight="1">
      <c r="L1" s="33">
        <v>40025</v>
      </c>
      <c r="M1" s="33">
        <f>EOMONTH(L1,3)</f>
        <v>40117</v>
      </c>
      <c r="N1" s="33">
        <f t="shared" ref="N1:AQ1" si="0">EOMONTH(M1,3)</f>
        <v>40209</v>
      </c>
      <c r="O1" s="33">
        <f t="shared" si="0"/>
        <v>40298</v>
      </c>
      <c r="P1" s="33">
        <f t="shared" si="0"/>
        <v>40390</v>
      </c>
      <c r="Q1" s="33">
        <f t="shared" si="0"/>
        <v>40482</v>
      </c>
      <c r="R1" s="33">
        <f t="shared" si="0"/>
        <v>40574</v>
      </c>
      <c r="S1" s="33">
        <f t="shared" si="0"/>
        <v>40663</v>
      </c>
      <c r="T1" s="33">
        <f t="shared" si="0"/>
        <v>40755</v>
      </c>
      <c r="U1" s="33">
        <f t="shared" si="0"/>
        <v>40847</v>
      </c>
      <c r="V1" s="33">
        <f t="shared" si="0"/>
        <v>40939</v>
      </c>
      <c r="W1" s="33">
        <f t="shared" si="0"/>
        <v>41029</v>
      </c>
      <c r="X1" s="33">
        <f t="shared" si="0"/>
        <v>41121</v>
      </c>
      <c r="Y1" s="33">
        <f t="shared" si="0"/>
        <v>41213</v>
      </c>
      <c r="Z1" s="33">
        <f t="shared" si="0"/>
        <v>41305</v>
      </c>
      <c r="AA1" s="33">
        <f t="shared" si="0"/>
        <v>41394</v>
      </c>
      <c r="AB1" s="33">
        <f t="shared" si="0"/>
        <v>41486</v>
      </c>
      <c r="AC1" s="33">
        <f t="shared" si="0"/>
        <v>41578</v>
      </c>
      <c r="AD1" s="33">
        <f t="shared" si="0"/>
        <v>41670</v>
      </c>
      <c r="AE1" s="33">
        <f t="shared" si="0"/>
        <v>41759</v>
      </c>
      <c r="AF1" s="33">
        <f t="shared" si="0"/>
        <v>41851</v>
      </c>
      <c r="AG1" s="33">
        <f t="shared" si="0"/>
        <v>41943</v>
      </c>
      <c r="AH1" s="33">
        <f t="shared" si="0"/>
        <v>42035</v>
      </c>
      <c r="AI1" s="33">
        <f t="shared" si="0"/>
        <v>42124</v>
      </c>
      <c r="AJ1" s="33">
        <f t="shared" si="0"/>
        <v>42216</v>
      </c>
      <c r="AK1" s="33">
        <f t="shared" si="0"/>
        <v>42308</v>
      </c>
      <c r="AL1" s="33">
        <f t="shared" si="0"/>
        <v>42400</v>
      </c>
      <c r="AM1" s="33">
        <f t="shared" si="0"/>
        <v>42490</v>
      </c>
      <c r="AN1" s="33">
        <f t="shared" si="0"/>
        <v>42582</v>
      </c>
      <c r="AO1" s="33">
        <f t="shared" si="0"/>
        <v>42674</v>
      </c>
      <c r="AP1" s="33">
        <f t="shared" si="0"/>
        <v>42766</v>
      </c>
      <c r="AQ1" s="33">
        <f t="shared" si="0"/>
        <v>42855</v>
      </c>
    </row>
    <row r="2" spans="2:43" ht="13.5" customHeight="1">
      <c r="B2" s="437" t="s">
        <v>45</v>
      </c>
    </row>
    <row r="3" spans="2:43" ht="13.5" customHeight="1">
      <c r="B3" s="3" t="s">
        <v>7</v>
      </c>
    </row>
    <row r="4" spans="2:43" ht="13.5" customHeight="1">
      <c r="B4" s="3" t="s">
        <v>8</v>
      </c>
    </row>
    <row r="5" spans="2:43" ht="13.5" customHeight="1">
      <c r="B5" s="10"/>
      <c r="C5" s="6" t="s">
        <v>12</v>
      </c>
      <c r="D5" s="5"/>
      <c r="E5" s="764"/>
      <c r="F5" s="5"/>
      <c r="G5" s="5"/>
      <c r="H5" s="5"/>
      <c r="I5" s="5"/>
      <c r="J5" s="5"/>
    </row>
    <row r="6" spans="2:43" ht="13.5" customHeight="1">
      <c r="B6" s="91"/>
      <c r="C6" s="20">
        <v>2010</v>
      </c>
      <c r="D6" s="20">
        <f t="shared" ref="D6:J6" si="1">C6+1</f>
        <v>2011</v>
      </c>
      <c r="E6" s="20">
        <f t="shared" si="1"/>
        <v>2012</v>
      </c>
      <c r="F6" s="35">
        <f t="shared" si="1"/>
        <v>2013</v>
      </c>
      <c r="G6" s="116">
        <f t="shared" si="1"/>
        <v>2014</v>
      </c>
      <c r="H6" s="15">
        <f t="shared" si="1"/>
        <v>2015</v>
      </c>
      <c r="I6" s="15">
        <f t="shared" si="1"/>
        <v>2016</v>
      </c>
      <c r="J6" s="15">
        <f t="shared" si="1"/>
        <v>2017</v>
      </c>
      <c r="L6" s="32">
        <v>2010</v>
      </c>
      <c r="M6" s="30"/>
      <c r="N6" s="30"/>
      <c r="O6" s="31"/>
      <c r="P6" s="32">
        <f>L6+1</f>
        <v>2011</v>
      </c>
      <c r="Q6" s="30"/>
      <c r="R6" s="30"/>
      <c r="S6" s="31"/>
      <c r="T6" s="32">
        <f>P6+1</f>
        <v>2012</v>
      </c>
      <c r="U6" s="30"/>
      <c r="V6" s="30"/>
      <c r="W6" s="31"/>
      <c r="X6" s="32">
        <f>T6+1</f>
        <v>2013</v>
      </c>
      <c r="Y6" s="30"/>
      <c r="Z6" s="30"/>
      <c r="AA6" s="31"/>
      <c r="AB6" s="32">
        <f>X6+1</f>
        <v>2014</v>
      </c>
      <c r="AC6" s="30"/>
      <c r="AD6" s="30"/>
      <c r="AE6" s="31"/>
      <c r="AF6" s="32">
        <f>AB6+1</f>
        <v>2015</v>
      </c>
      <c r="AG6" s="30"/>
      <c r="AH6" s="30"/>
      <c r="AI6" s="31"/>
      <c r="AJ6" s="32">
        <f>AF6+1</f>
        <v>2016</v>
      </c>
      <c r="AK6" s="30"/>
      <c r="AL6" s="30"/>
      <c r="AM6" s="31"/>
      <c r="AN6" s="32">
        <f>AJ6+1</f>
        <v>2017</v>
      </c>
      <c r="AO6" s="30"/>
      <c r="AP6" s="30"/>
      <c r="AQ6" s="31"/>
    </row>
    <row r="7" spans="2:43" ht="13.5" customHeight="1">
      <c r="B7" s="42" t="s">
        <v>39</v>
      </c>
      <c r="C7" s="82"/>
      <c r="D7" s="82"/>
      <c r="E7" s="82"/>
      <c r="F7" s="82"/>
      <c r="G7" s="117"/>
      <c r="H7" s="76"/>
      <c r="I7" s="76"/>
      <c r="J7" s="76"/>
      <c r="L7" s="44">
        <v>1</v>
      </c>
      <c r="M7" s="44">
        <f>L7+1</f>
        <v>2</v>
      </c>
      <c r="N7" s="44">
        <f>M7+1</f>
        <v>3</v>
      </c>
      <c r="O7" s="44">
        <f>N7+1</f>
        <v>4</v>
      </c>
      <c r="P7" s="44">
        <v>1</v>
      </c>
      <c r="Q7" s="44">
        <f>P7+1</f>
        <v>2</v>
      </c>
      <c r="R7" s="44">
        <f>Q7+1</f>
        <v>3</v>
      </c>
      <c r="S7" s="44">
        <f>R7+1</f>
        <v>4</v>
      </c>
      <c r="T7" s="44">
        <v>1</v>
      </c>
      <c r="U7" s="44">
        <f>T7+1</f>
        <v>2</v>
      </c>
      <c r="V7" s="44">
        <f>U7+1</f>
        <v>3</v>
      </c>
      <c r="W7" s="44">
        <f>V7+1</f>
        <v>4</v>
      </c>
      <c r="X7" s="44">
        <v>1</v>
      </c>
      <c r="Y7" s="44">
        <f>X7+1</f>
        <v>2</v>
      </c>
      <c r="Z7" s="44">
        <f>Y7+1</f>
        <v>3</v>
      </c>
      <c r="AA7" s="44">
        <f>Z7+1</f>
        <v>4</v>
      </c>
      <c r="AB7" s="44">
        <v>1</v>
      </c>
      <c r="AC7" s="44">
        <f>AB7+1</f>
        <v>2</v>
      </c>
      <c r="AD7" s="44">
        <f>AC7+1</f>
        <v>3</v>
      </c>
      <c r="AE7" s="44">
        <f>AD7+1</f>
        <v>4</v>
      </c>
      <c r="AF7" s="44">
        <v>1</v>
      </c>
      <c r="AG7" s="44">
        <f>AF7+1</f>
        <v>2</v>
      </c>
      <c r="AH7" s="44">
        <f>AG7+1</f>
        <v>3</v>
      </c>
      <c r="AI7" s="44">
        <f>AH7+1</f>
        <v>4</v>
      </c>
      <c r="AJ7" s="44">
        <v>1</v>
      </c>
      <c r="AK7" s="44">
        <f>AJ7+1</f>
        <v>2</v>
      </c>
      <c r="AL7" s="44">
        <f>AK7+1</f>
        <v>3</v>
      </c>
      <c r="AM7" s="44">
        <f>AL7+1</f>
        <v>4</v>
      </c>
      <c r="AN7" s="44">
        <v>1</v>
      </c>
      <c r="AO7" s="44">
        <f>AN7+1</f>
        <v>2</v>
      </c>
      <c r="AP7" s="44">
        <f>AO7+1</f>
        <v>3</v>
      </c>
      <c r="AQ7" s="44">
        <f>AP7+1</f>
        <v>4</v>
      </c>
    </row>
    <row r="8" spans="2:43" s="10" customFormat="1" ht="13.5" customHeight="1">
      <c r="B8" s="92" t="s">
        <v>54</v>
      </c>
      <c r="C8" s="85">
        <f t="shared" ref="C8:C14" si="2">O8</f>
        <v>17.803000000000015</v>
      </c>
      <c r="D8" s="85">
        <f t="shared" ref="D8:D14" si="3">S8</f>
        <v>57.73</v>
      </c>
      <c r="E8" s="85">
        <f t="shared" ref="E8:E14" si="4">W8</f>
        <v>35.945999999999998</v>
      </c>
      <c r="F8" s="85">
        <f t="shared" ref="F8:F14" si="5">AA8</f>
        <v>9.01</v>
      </c>
      <c r="G8" s="124">
        <f t="shared" ref="G8:G14" si="6">AE8</f>
        <v>7.8259999999999996</v>
      </c>
      <c r="H8" s="85">
        <f t="shared" ref="H8:H14" ca="1" si="7">AI8</f>
        <v>5</v>
      </c>
      <c r="I8" s="85">
        <f t="shared" ref="I8:I14" ca="1" si="8">AM8</f>
        <v>5</v>
      </c>
      <c r="J8" s="85">
        <f t="shared" ref="J8:J14" ca="1" si="9">AQ8</f>
        <v>5</v>
      </c>
      <c r="K8" s="17"/>
      <c r="L8" s="971">
        <v>21.902000000000015</v>
      </c>
      <c r="M8" s="56">
        <v>11.498000000000015</v>
      </c>
      <c r="N8" s="56">
        <v>19.782000000000014</v>
      </c>
      <c r="O8" s="972">
        <v>17.803000000000015</v>
      </c>
      <c r="P8" s="971">
        <v>11.465000000000014</v>
      </c>
      <c r="Q8" s="56">
        <v>17.452000000000016</v>
      </c>
      <c r="R8" s="56">
        <v>37.569518896398542</v>
      </c>
      <c r="S8" s="972">
        <v>57.73</v>
      </c>
      <c r="T8" s="971">
        <v>59.936999999999998</v>
      </c>
      <c r="U8" s="56">
        <v>38.231000000000002</v>
      </c>
      <c r="V8" s="56">
        <v>47.942999999999998</v>
      </c>
      <c r="W8" s="972">
        <v>35.945999999999998</v>
      </c>
      <c r="X8" s="971">
        <v>1.1259999999999999</v>
      </c>
      <c r="Y8" s="56">
        <v>4.82</v>
      </c>
      <c r="Z8" s="56">
        <v>4.4329999999999998</v>
      </c>
      <c r="AA8" s="972">
        <v>9.01</v>
      </c>
      <c r="AB8" s="971">
        <v>6.0990000000000002</v>
      </c>
      <c r="AC8" s="56">
        <v>4.9340000000000002</v>
      </c>
      <c r="AD8" s="56">
        <v>5.4089999999999998</v>
      </c>
      <c r="AE8" s="972">
        <v>7.8259999999999996</v>
      </c>
      <c r="AF8" s="971">
        <v>3.625</v>
      </c>
      <c r="AG8" s="56">
        <v>3.7370000000000001</v>
      </c>
      <c r="AH8" s="107">
        <f ca="1">CF!AH27</f>
        <v>5</v>
      </c>
      <c r="AI8" s="411">
        <f ca="1">CF!AI27</f>
        <v>5</v>
      </c>
      <c r="AJ8" s="998">
        <f ca="1">CF!AJ27</f>
        <v>5</v>
      </c>
      <c r="AK8" s="107">
        <f ca="1">CF!AK27</f>
        <v>5</v>
      </c>
      <c r="AL8" s="107">
        <f ca="1">CF!AL27</f>
        <v>5</v>
      </c>
      <c r="AM8" s="411">
        <f ca="1">CF!AM27</f>
        <v>5</v>
      </c>
      <c r="AN8" s="998">
        <f ca="1">CF!AN27</f>
        <v>5</v>
      </c>
      <c r="AO8" s="107">
        <f ca="1">CF!AO27</f>
        <v>5</v>
      </c>
      <c r="AP8" s="107">
        <f ca="1">CF!AP27</f>
        <v>5</v>
      </c>
      <c r="AQ8" s="411">
        <f ca="1">CF!AQ27</f>
        <v>5</v>
      </c>
    </row>
    <row r="9" spans="2:43" s="10" customFormat="1" ht="13.5" customHeight="1">
      <c r="B9" s="92" t="s">
        <v>6</v>
      </c>
      <c r="C9" s="85">
        <f t="shared" si="2"/>
        <v>19.856999999999999</v>
      </c>
      <c r="D9" s="85">
        <f t="shared" si="3"/>
        <v>26.042999999999999</v>
      </c>
      <c r="E9" s="85">
        <f t="shared" si="4"/>
        <v>29.85</v>
      </c>
      <c r="F9" s="85">
        <f t="shared" si="5"/>
        <v>33.957999999999998</v>
      </c>
      <c r="G9" s="124">
        <f t="shared" si="6"/>
        <v>33.442999999999998</v>
      </c>
      <c r="H9" s="85">
        <f t="shared" si="7"/>
        <v>31.440406333333328</v>
      </c>
      <c r="I9" s="85">
        <f t="shared" si="8"/>
        <v>31.957938863333332</v>
      </c>
      <c r="J9" s="85">
        <f t="shared" si="9"/>
        <v>32.484152909983329</v>
      </c>
      <c r="K9" s="17"/>
      <c r="L9" s="971">
        <v>22.725000000000001</v>
      </c>
      <c r="M9" s="56">
        <v>27.161000000000001</v>
      </c>
      <c r="N9" s="56">
        <v>23.946000000000002</v>
      </c>
      <c r="O9" s="972">
        <v>19.856999999999999</v>
      </c>
      <c r="P9" s="971">
        <v>24.116</v>
      </c>
      <c r="Q9" s="56">
        <v>24.917999999999999</v>
      </c>
      <c r="R9" s="56">
        <v>24.900007860928543</v>
      </c>
      <c r="S9" s="972">
        <v>26.042999999999999</v>
      </c>
      <c r="T9" s="971">
        <v>21.823</v>
      </c>
      <c r="U9" s="56">
        <v>28.5</v>
      </c>
      <c r="V9" s="56">
        <v>27.978000000000002</v>
      </c>
      <c r="W9" s="972">
        <v>29.85</v>
      </c>
      <c r="X9" s="971">
        <v>33.302</v>
      </c>
      <c r="Y9" s="56">
        <v>40.087000000000003</v>
      </c>
      <c r="Z9" s="56">
        <v>38.664999999999999</v>
      </c>
      <c r="AA9" s="972">
        <v>33.957999999999998</v>
      </c>
      <c r="AB9" s="971">
        <v>33.841999999999999</v>
      </c>
      <c r="AC9" s="56">
        <v>37.670999999999999</v>
      </c>
      <c r="AD9" s="56">
        <v>36.033999999999999</v>
      </c>
      <c r="AE9" s="972">
        <v>33.442999999999998</v>
      </c>
      <c r="AF9" s="971">
        <v>28.846</v>
      </c>
      <c r="AG9" s="56">
        <v>30.58</v>
      </c>
      <c r="AH9" s="985">
        <f>WC!AH7</f>
        <v>32.766049333333335</v>
      </c>
      <c r="AI9" s="986">
        <f>WC!AI7</f>
        <v>31.440406333333328</v>
      </c>
      <c r="AJ9" s="995">
        <f>WC!AJ7</f>
        <v>31.32411169444444</v>
      </c>
      <c r="AK9" s="985">
        <f>WC!AK7</f>
        <v>31.987303888888881</v>
      </c>
      <c r="AL9" s="985">
        <f>WC!AL7</f>
        <v>33.305526596666674</v>
      </c>
      <c r="AM9" s="986">
        <f>WC!AM7</f>
        <v>31.957938863333332</v>
      </c>
      <c r="AN9" s="995">
        <f>WC!AN7</f>
        <v>31.835488219861109</v>
      </c>
      <c r="AO9" s="985">
        <f>WC!AO7</f>
        <v>32.511489397222221</v>
      </c>
      <c r="AP9" s="985">
        <f>WC!AP7</f>
        <v>33.854055749416666</v>
      </c>
      <c r="AQ9" s="986">
        <f>WC!AQ7</f>
        <v>32.484152909983329</v>
      </c>
    </row>
    <row r="10" spans="2:43" s="10" customFormat="1" ht="13.5" customHeight="1">
      <c r="B10" s="93" t="s">
        <v>29</v>
      </c>
      <c r="C10" s="85">
        <f t="shared" si="2"/>
        <v>25.92</v>
      </c>
      <c r="D10" s="85">
        <f t="shared" si="3"/>
        <v>23.526</v>
      </c>
      <c r="E10" s="85">
        <f t="shared" si="4"/>
        <v>23.388000000000002</v>
      </c>
      <c r="F10" s="85">
        <f t="shared" si="5"/>
        <v>22.491</v>
      </c>
      <c r="G10" s="124">
        <f t="shared" si="6"/>
        <v>25.242999999999999</v>
      </c>
      <c r="H10" s="85">
        <f t="shared" si="7"/>
        <v>24.761964266666666</v>
      </c>
      <c r="I10" s="85">
        <f t="shared" si="8"/>
        <v>25.502805045333332</v>
      </c>
      <c r="J10" s="85">
        <f t="shared" si="9"/>
        <v>25.06700462380666</v>
      </c>
      <c r="K10" s="17"/>
      <c r="L10" s="971">
        <v>27.033999999999999</v>
      </c>
      <c r="M10" s="56">
        <v>29.206</v>
      </c>
      <c r="N10" s="56">
        <v>26.093</v>
      </c>
      <c r="O10" s="972">
        <v>25.92</v>
      </c>
      <c r="P10" s="971">
        <v>23.731000000000002</v>
      </c>
      <c r="Q10" s="56">
        <v>26.045999999999999</v>
      </c>
      <c r="R10" s="56">
        <v>26.084499461259288</v>
      </c>
      <c r="S10" s="972">
        <v>23.526</v>
      </c>
      <c r="T10" s="971">
        <v>22.638999999999999</v>
      </c>
      <c r="U10" s="56">
        <v>25.887</v>
      </c>
      <c r="V10" s="56">
        <v>24.201000000000001</v>
      </c>
      <c r="W10" s="972">
        <v>23.388000000000002</v>
      </c>
      <c r="X10" s="971">
        <v>21.463999999999999</v>
      </c>
      <c r="Y10" s="56">
        <v>26.172000000000001</v>
      </c>
      <c r="Z10" s="56">
        <v>23.895</v>
      </c>
      <c r="AA10" s="972">
        <v>22.491</v>
      </c>
      <c r="AB10" s="971">
        <v>22.974</v>
      </c>
      <c r="AC10" s="56">
        <v>21.815000000000001</v>
      </c>
      <c r="AD10" s="56">
        <v>24.132999999999999</v>
      </c>
      <c r="AE10" s="972">
        <v>25.242999999999999</v>
      </c>
      <c r="AF10" s="971">
        <v>23.454999999999998</v>
      </c>
      <c r="AG10" s="56">
        <v>27.97</v>
      </c>
      <c r="AH10" s="985">
        <f>WC!AH9</f>
        <v>25.822895733333336</v>
      </c>
      <c r="AI10" s="986">
        <f>WC!AI9</f>
        <v>24.761964266666666</v>
      </c>
      <c r="AJ10" s="995">
        <f>WC!AJ9</f>
        <v>24.437813977777775</v>
      </c>
      <c r="AK10" s="985">
        <f>WC!AK9</f>
        <v>25.207059555555556</v>
      </c>
      <c r="AL10" s="985">
        <f>WC!AL9</f>
        <v>26.594199106666672</v>
      </c>
      <c r="AM10" s="986">
        <f>WC!AM9</f>
        <v>25.502805045333332</v>
      </c>
      <c r="AN10" s="995">
        <f>WC!AN9</f>
        <v>24.00744669638889</v>
      </c>
      <c r="AO10" s="985">
        <f>WC!AO9</f>
        <v>24.769026367777773</v>
      </c>
      <c r="AP10" s="985">
        <f>WC!AP9</f>
        <v>26.140113924193333</v>
      </c>
      <c r="AQ10" s="986">
        <f>WC!AQ9</f>
        <v>25.06700462380666</v>
      </c>
    </row>
    <row r="11" spans="2:43" s="10" customFormat="1" ht="13.5" customHeight="1">
      <c r="B11" s="93" t="s">
        <v>21</v>
      </c>
      <c r="C11" s="85">
        <f t="shared" si="2"/>
        <v>11.175000000000001</v>
      </c>
      <c r="D11" s="85">
        <f t="shared" si="3"/>
        <v>10.86</v>
      </c>
      <c r="E11" s="85">
        <f t="shared" si="4"/>
        <v>11.738</v>
      </c>
      <c r="F11" s="85">
        <f t="shared" si="5"/>
        <v>13.089</v>
      </c>
      <c r="G11" s="124">
        <f t="shared" si="6"/>
        <v>18.655999999999999</v>
      </c>
      <c r="H11" s="85">
        <f t="shared" si="7"/>
        <v>18.64231152</v>
      </c>
      <c r="I11" s="85">
        <f t="shared" si="8"/>
        <v>18.9491778672</v>
      </c>
      <c r="J11" s="85">
        <f t="shared" si="9"/>
        <v>19.261191843095997</v>
      </c>
      <c r="K11" s="17"/>
      <c r="L11" s="971">
        <v>11.211</v>
      </c>
      <c r="M11" s="56">
        <v>11.211</v>
      </c>
      <c r="N11" s="56">
        <v>11.211</v>
      </c>
      <c r="O11" s="972">
        <v>11.175000000000001</v>
      </c>
      <c r="P11" s="971">
        <v>11.175000000000001</v>
      </c>
      <c r="Q11" s="56">
        <v>11.175000000000001</v>
      </c>
      <c r="R11" s="56">
        <v>11.175000000000001</v>
      </c>
      <c r="S11" s="972">
        <v>10.86</v>
      </c>
      <c r="T11" s="971">
        <v>10.86</v>
      </c>
      <c r="U11" s="56">
        <v>10.86</v>
      </c>
      <c r="V11" s="56">
        <v>10.86</v>
      </c>
      <c r="W11" s="972">
        <v>11.738</v>
      </c>
      <c r="X11" s="971">
        <v>11.738</v>
      </c>
      <c r="Y11" s="56">
        <v>11.738</v>
      </c>
      <c r="Z11" s="56">
        <v>37.500999999999998</v>
      </c>
      <c r="AA11" s="972">
        <v>13.089</v>
      </c>
      <c r="AB11" s="971">
        <v>13.089</v>
      </c>
      <c r="AC11" s="56">
        <v>13.089</v>
      </c>
      <c r="AD11" s="56">
        <v>18.512</v>
      </c>
      <c r="AE11" s="972">
        <v>18.655999999999999</v>
      </c>
      <c r="AF11" s="971">
        <v>18.655999999999999</v>
      </c>
      <c r="AG11" s="56">
        <v>18.649999999999999</v>
      </c>
      <c r="AH11" s="985">
        <f>WC!AH16*WC!AH28</f>
        <v>19.42833984</v>
      </c>
      <c r="AI11" s="986">
        <f>WC!AI16*WC!AI28</f>
        <v>18.64231152</v>
      </c>
      <c r="AJ11" s="995">
        <f>WC!AJ16*WC!AJ28</f>
        <v>18.573355639999999</v>
      </c>
      <c r="AK11" s="985">
        <f>WC!AK16*WC!AK28</f>
        <v>18.966589599999995</v>
      </c>
      <c r="AL11" s="985">
        <f>WC!AL16*WC!AL28</f>
        <v>19.748218123200001</v>
      </c>
      <c r="AM11" s="986">
        <f>WC!AM16*WC!AM28</f>
        <v>18.9491778672</v>
      </c>
      <c r="AN11" s="995">
        <f>WC!AN16*WC!AN28</f>
        <v>18.8765718386</v>
      </c>
      <c r="AO11" s="985">
        <f>WC!AO16*WC!AO28</f>
        <v>19.277400771999996</v>
      </c>
      <c r="AP11" s="985">
        <f>WC!AP16*WC!AP28</f>
        <v>20.07346364436</v>
      </c>
      <c r="AQ11" s="986">
        <f>WC!AQ16*WC!AQ28</f>
        <v>19.261191843095997</v>
      </c>
    </row>
    <row r="12" spans="2:43" s="10" customFormat="1" ht="13.5" customHeight="1">
      <c r="B12" s="94" t="s">
        <v>89</v>
      </c>
      <c r="C12" s="85">
        <f t="shared" si="2"/>
        <v>0</v>
      </c>
      <c r="D12" s="85">
        <f t="shared" si="3"/>
        <v>0</v>
      </c>
      <c r="E12" s="85">
        <f t="shared" si="4"/>
        <v>0</v>
      </c>
      <c r="F12" s="85">
        <f t="shared" si="5"/>
        <v>63.9</v>
      </c>
      <c r="G12" s="124">
        <f t="shared" si="6"/>
        <v>25.824000000000002</v>
      </c>
      <c r="H12" s="85">
        <f t="shared" si="7"/>
        <v>24.967381499999998</v>
      </c>
      <c r="I12" s="85">
        <f t="shared" si="8"/>
        <v>25.378363214999997</v>
      </c>
      <c r="J12" s="85">
        <f t="shared" si="9"/>
        <v>25.796239075574995</v>
      </c>
      <c r="K12" s="17"/>
      <c r="L12" s="971">
        <v>0</v>
      </c>
      <c r="M12" s="56">
        <v>0</v>
      </c>
      <c r="N12" s="56">
        <v>0</v>
      </c>
      <c r="O12" s="972">
        <v>0</v>
      </c>
      <c r="P12" s="971">
        <v>0</v>
      </c>
      <c r="Q12" s="56">
        <v>0</v>
      </c>
      <c r="R12" s="56">
        <v>0</v>
      </c>
      <c r="S12" s="972">
        <v>0</v>
      </c>
      <c r="T12" s="971">
        <v>0</v>
      </c>
      <c r="U12" s="56">
        <v>5.2460000000000004</v>
      </c>
      <c r="V12" s="56">
        <v>0</v>
      </c>
      <c r="W12" s="972">
        <v>0</v>
      </c>
      <c r="X12" s="971">
        <v>0</v>
      </c>
      <c r="Y12" s="56">
        <v>10.247999999999999</v>
      </c>
      <c r="Z12" s="56">
        <v>21.995999999999999</v>
      </c>
      <c r="AA12" s="972">
        <v>63.9</v>
      </c>
      <c r="AB12" s="971">
        <v>44.372</v>
      </c>
      <c r="AC12" s="56">
        <v>55.539000000000001</v>
      </c>
      <c r="AD12" s="56">
        <v>55.079000000000001</v>
      </c>
      <c r="AE12" s="972">
        <v>25.824000000000002</v>
      </c>
      <c r="AF12" s="971">
        <v>22.106000000000002</v>
      </c>
      <c r="AG12" s="56">
        <v>25.132999999999999</v>
      </c>
      <c r="AH12" s="985">
        <f>WC!AH17*WC!AH28</f>
        <v>26.020098000000001</v>
      </c>
      <c r="AI12" s="986">
        <f>WC!AI17*WC!AI28</f>
        <v>24.967381499999998</v>
      </c>
      <c r="AJ12" s="995">
        <f>WC!AJ17*WC!AJ28</f>
        <v>24.875029874999999</v>
      </c>
      <c r="AK12" s="985">
        <f>WC!AK17*WC!AK28</f>
        <v>25.401682499999996</v>
      </c>
      <c r="AL12" s="985">
        <f>WC!AL17*WC!AL28</f>
        <v>26.448506415000001</v>
      </c>
      <c r="AM12" s="986">
        <f>WC!AM17*WC!AM28</f>
        <v>25.378363214999997</v>
      </c>
      <c r="AN12" s="995">
        <f>WC!AN17*WC!AN28</f>
        <v>25.281122998124996</v>
      </c>
      <c r="AO12" s="985">
        <f>WC!AO17*WC!AO28</f>
        <v>25.817947462499998</v>
      </c>
      <c r="AP12" s="985">
        <f>WC!AP17*WC!AP28</f>
        <v>26.884103095124999</v>
      </c>
      <c r="AQ12" s="986">
        <f>WC!AQ17*WC!AQ28</f>
        <v>25.796239075574995</v>
      </c>
    </row>
    <row r="13" spans="2:43" s="10" customFormat="1" ht="13.5" customHeight="1">
      <c r="B13" s="95" t="s">
        <v>31</v>
      </c>
      <c r="C13" s="85">
        <f t="shared" si="2"/>
        <v>2.169</v>
      </c>
      <c r="D13" s="85">
        <f t="shared" si="3"/>
        <v>1.446</v>
      </c>
      <c r="E13" s="85">
        <f t="shared" si="4"/>
        <v>2.7250000000000001</v>
      </c>
      <c r="F13" s="85">
        <f t="shared" si="5"/>
        <v>5.2320000000000002</v>
      </c>
      <c r="G13" s="124">
        <f t="shared" si="6"/>
        <v>4.2809999999999997</v>
      </c>
      <c r="H13" s="85">
        <f t="shared" si="7"/>
        <v>4.9934762999999993</v>
      </c>
      <c r="I13" s="85">
        <f t="shared" si="8"/>
        <v>5.0756726429999999</v>
      </c>
      <c r="J13" s="85">
        <f t="shared" si="9"/>
        <v>5.1592478151149992</v>
      </c>
      <c r="K13" s="17"/>
      <c r="L13" s="971">
        <v>3.6859999999999999</v>
      </c>
      <c r="M13" s="56">
        <v>3.3210000000000002</v>
      </c>
      <c r="N13" s="56">
        <v>2.6469999999999998</v>
      </c>
      <c r="O13" s="972">
        <v>2.169</v>
      </c>
      <c r="P13" s="971">
        <v>4.6079999999999997</v>
      </c>
      <c r="Q13" s="56">
        <v>3.4350000000000001</v>
      </c>
      <c r="R13" s="56">
        <v>2.1364123201011811</v>
      </c>
      <c r="S13" s="972">
        <v>1.446</v>
      </c>
      <c r="T13" s="971">
        <v>3.9009999999999998</v>
      </c>
      <c r="U13" s="56">
        <v>3.2530000000000001</v>
      </c>
      <c r="V13" s="56">
        <v>3.0659999999999998</v>
      </c>
      <c r="W13" s="972">
        <v>2.7250000000000001</v>
      </c>
      <c r="X13" s="971">
        <v>4.1890000000000001</v>
      </c>
      <c r="Y13" s="56">
        <v>5.6539999999999999</v>
      </c>
      <c r="Z13" s="56">
        <v>4.91</v>
      </c>
      <c r="AA13" s="972">
        <v>5.2320000000000002</v>
      </c>
      <c r="AB13" s="971">
        <v>6.1269999999999998</v>
      </c>
      <c r="AC13" s="56">
        <v>5.8339999999999996</v>
      </c>
      <c r="AD13" s="56">
        <v>4.117</v>
      </c>
      <c r="AE13" s="972">
        <v>4.2809999999999997</v>
      </c>
      <c r="AF13" s="971">
        <v>6.23</v>
      </c>
      <c r="AG13" s="56">
        <v>5.5990000000000002</v>
      </c>
      <c r="AH13" s="985">
        <f>WC!AH18*WC!AH28</f>
        <v>5.2040195999999996</v>
      </c>
      <c r="AI13" s="986">
        <f>WC!AI18*WC!AI28</f>
        <v>4.9934762999999993</v>
      </c>
      <c r="AJ13" s="995">
        <f>WC!AJ18*WC!AJ28</f>
        <v>4.9750059749999993</v>
      </c>
      <c r="AK13" s="985">
        <f>WC!AK18*WC!AK28</f>
        <v>5.0803364999999987</v>
      </c>
      <c r="AL13" s="985">
        <f>WC!AL18*WC!AL28</f>
        <v>5.2897012830000003</v>
      </c>
      <c r="AM13" s="986">
        <f>WC!AM18*WC!AM28</f>
        <v>5.0756726429999999</v>
      </c>
      <c r="AN13" s="995">
        <f>WC!AN18*WC!AN28</f>
        <v>5.0562245996249997</v>
      </c>
      <c r="AO13" s="985">
        <f>WC!AO18*WC!AO28</f>
        <v>5.163589492499999</v>
      </c>
      <c r="AP13" s="985">
        <f>WC!AP18*WC!AP28</f>
        <v>5.3768206190249996</v>
      </c>
      <c r="AQ13" s="986">
        <f>WC!AQ18*WC!AQ28</f>
        <v>5.1592478151149992</v>
      </c>
    </row>
    <row r="14" spans="2:43" s="10" customFormat="1" ht="13.5" customHeight="1">
      <c r="B14" s="93" t="s">
        <v>143</v>
      </c>
      <c r="C14" s="156">
        <f t="shared" si="2"/>
        <v>0</v>
      </c>
      <c r="D14" s="156">
        <f t="shared" si="3"/>
        <v>0</v>
      </c>
      <c r="E14" s="156">
        <f t="shared" si="4"/>
        <v>0</v>
      </c>
      <c r="F14" s="156">
        <f t="shared" si="5"/>
        <v>0</v>
      </c>
      <c r="G14" s="157">
        <f t="shared" si="6"/>
        <v>3.024</v>
      </c>
      <c r="H14" s="156">
        <f t="shared" si="7"/>
        <v>5.2</v>
      </c>
      <c r="I14" s="156">
        <f t="shared" si="8"/>
        <v>5.2</v>
      </c>
      <c r="J14" s="156">
        <f t="shared" si="9"/>
        <v>5.2</v>
      </c>
      <c r="K14" s="17"/>
      <c r="L14" s="973">
        <v>0</v>
      </c>
      <c r="M14" s="217">
        <v>0</v>
      </c>
      <c r="N14" s="217">
        <v>0</v>
      </c>
      <c r="O14" s="974">
        <v>0</v>
      </c>
      <c r="P14" s="973">
        <v>0</v>
      </c>
      <c r="Q14" s="217">
        <v>4.5019999999999998</v>
      </c>
      <c r="R14" s="217">
        <v>0</v>
      </c>
      <c r="S14" s="974">
        <v>0</v>
      </c>
      <c r="T14" s="973">
        <v>0</v>
      </c>
      <c r="U14" s="217">
        <v>0</v>
      </c>
      <c r="V14" s="217">
        <v>0</v>
      </c>
      <c r="W14" s="974">
        <v>0</v>
      </c>
      <c r="X14" s="973">
        <v>0</v>
      </c>
      <c r="Y14" s="217">
        <v>0</v>
      </c>
      <c r="Z14" s="217">
        <v>128.85499999999999</v>
      </c>
      <c r="AA14" s="974">
        <v>0</v>
      </c>
      <c r="AB14" s="973">
        <v>3.36</v>
      </c>
      <c r="AC14" s="217">
        <v>5.6970000000000001</v>
      </c>
      <c r="AD14" s="217">
        <v>4.431</v>
      </c>
      <c r="AE14" s="974">
        <v>3.024</v>
      </c>
      <c r="AF14" s="973">
        <v>5.1529999999999996</v>
      </c>
      <c r="AG14" s="217">
        <v>5.2210000000000001</v>
      </c>
      <c r="AH14" s="987">
        <v>5.2</v>
      </c>
      <c r="AI14" s="988">
        <f>AH14</f>
        <v>5.2</v>
      </c>
      <c r="AJ14" s="996">
        <f t="shared" ref="AJ14:AQ14" si="10">AI14</f>
        <v>5.2</v>
      </c>
      <c r="AK14" s="997">
        <f t="shared" si="10"/>
        <v>5.2</v>
      </c>
      <c r="AL14" s="997">
        <f t="shared" si="10"/>
        <v>5.2</v>
      </c>
      <c r="AM14" s="988">
        <f t="shared" si="10"/>
        <v>5.2</v>
      </c>
      <c r="AN14" s="996">
        <f t="shared" si="10"/>
        <v>5.2</v>
      </c>
      <c r="AO14" s="997">
        <f t="shared" si="10"/>
        <v>5.2</v>
      </c>
      <c r="AP14" s="997">
        <f t="shared" si="10"/>
        <v>5.2</v>
      </c>
      <c r="AQ14" s="988">
        <f t="shared" si="10"/>
        <v>5.2</v>
      </c>
    </row>
    <row r="15" spans="2:43" s="13" customFormat="1" ht="13.5" customHeight="1">
      <c r="B15" s="758" t="s">
        <v>5</v>
      </c>
      <c r="C15" s="99">
        <f t="shared" ref="C15:J15" si="11">SUM(C7:C14)</f>
        <v>76.924000000000007</v>
      </c>
      <c r="D15" s="99">
        <f t="shared" si="11"/>
        <v>119.60499999999999</v>
      </c>
      <c r="E15" s="99">
        <f t="shared" si="11"/>
        <v>103.64699999999999</v>
      </c>
      <c r="F15" s="99">
        <f t="shared" si="11"/>
        <v>147.68</v>
      </c>
      <c r="G15" s="123">
        <f t="shared" si="11"/>
        <v>118.29700000000001</v>
      </c>
      <c r="H15" s="99">
        <f t="shared" ca="1" si="11"/>
        <v>115.00553991999999</v>
      </c>
      <c r="I15" s="99">
        <f t="shared" ca="1" si="11"/>
        <v>117.06395763386666</v>
      </c>
      <c r="J15" s="99">
        <f t="shared" ca="1" si="11"/>
        <v>117.96783626757599</v>
      </c>
      <c r="K15" s="8"/>
      <c r="L15" s="1002">
        <v>86.558000000000021</v>
      </c>
      <c r="M15" s="1003">
        <v>82.39700000000002</v>
      </c>
      <c r="N15" s="1003">
        <v>83.679000000000016</v>
      </c>
      <c r="O15" s="1004">
        <v>76.924000000000021</v>
      </c>
      <c r="P15" s="1002">
        <v>75.095000000000013</v>
      </c>
      <c r="Q15" s="1003">
        <v>87.52800000000002</v>
      </c>
      <c r="R15" s="1003">
        <v>101.86543853868756</v>
      </c>
      <c r="S15" s="1004">
        <v>119.605</v>
      </c>
      <c r="T15" s="1002">
        <v>119.16</v>
      </c>
      <c r="U15" s="1003">
        <v>111.977</v>
      </c>
      <c r="V15" s="1003">
        <v>114.048</v>
      </c>
      <c r="W15" s="1004">
        <v>103.64700000000001</v>
      </c>
      <c r="X15" s="1002">
        <v>71.819000000000003</v>
      </c>
      <c r="Y15" s="1003">
        <v>98.718999999999994</v>
      </c>
      <c r="Z15" s="1003">
        <v>260.255</v>
      </c>
      <c r="AA15" s="1004">
        <v>147.68</v>
      </c>
      <c r="AB15" s="1002">
        <v>129.863</v>
      </c>
      <c r="AC15" s="1003">
        <v>144.57900000000001</v>
      </c>
      <c r="AD15" s="1003">
        <v>147.715</v>
      </c>
      <c r="AE15" s="1004">
        <v>118.297</v>
      </c>
      <c r="AF15" s="1002">
        <v>108.071</v>
      </c>
      <c r="AG15" s="1003">
        <f>SUM(AG8:AG14)</f>
        <v>116.89</v>
      </c>
      <c r="AH15" s="1005">
        <f ca="1">SUM(AH8:AH14)</f>
        <v>119.44140250666668</v>
      </c>
      <c r="AI15" s="1006">
        <f t="shared" ref="AI15:AQ15" ca="1" si="12">SUM(AI8:AI14)</f>
        <v>115.00553991999999</v>
      </c>
      <c r="AJ15" s="1007">
        <f t="shared" ca="1" si="12"/>
        <v>114.38531716222222</v>
      </c>
      <c r="AK15" s="1005">
        <f t="shared" ca="1" si="12"/>
        <v>116.84297204444442</v>
      </c>
      <c r="AL15" s="1005">
        <f t="shared" ca="1" si="12"/>
        <v>121.58615152453335</v>
      </c>
      <c r="AM15" s="1006">
        <f t="shared" ca="1" si="12"/>
        <v>117.06395763386666</v>
      </c>
      <c r="AN15" s="1007">
        <f t="shared" ca="1" si="12"/>
        <v>115.25685435259999</v>
      </c>
      <c r="AO15" s="1005">
        <f t="shared" ca="1" si="12"/>
        <v>117.73945349199998</v>
      </c>
      <c r="AP15" s="1005">
        <f t="shared" ca="1" si="12"/>
        <v>122.52855703212001</v>
      </c>
      <c r="AQ15" s="1006">
        <f t="shared" ca="1" si="12"/>
        <v>117.96783626757599</v>
      </c>
    </row>
    <row r="16" spans="2:43" ht="13.5" customHeight="1">
      <c r="B16" s="96" t="s">
        <v>103</v>
      </c>
      <c r="C16" s="85">
        <f>O16</f>
        <v>961.97400000000005</v>
      </c>
      <c r="D16" s="85">
        <f>S16</f>
        <v>900.87800000000004</v>
      </c>
      <c r="E16" s="85">
        <f>W16</f>
        <v>883.29499999999996</v>
      </c>
      <c r="F16" s="85">
        <f>AA16</f>
        <v>788.38599999999997</v>
      </c>
      <c r="G16" s="124">
        <f>AE16</f>
        <v>875.45799999999997</v>
      </c>
      <c r="H16" s="85">
        <f>AI16</f>
        <v>849.91996860000006</v>
      </c>
      <c r="I16" s="85">
        <f>AM16</f>
        <v>862.31805986199993</v>
      </c>
      <c r="J16" s="85">
        <f>AQ16</f>
        <v>873.30593789542991</v>
      </c>
      <c r="L16" s="971">
        <v>997.85599999999999</v>
      </c>
      <c r="M16" s="56">
        <v>990.19</v>
      </c>
      <c r="N16" s="56">
        <v>980.32100000000003</v>
      </c>
      <c r="O16" s="972">
        <v>961.97400000000005</v>
      </c>
      <c r="P16" s="971">
        <v>949.76800000000003</v>
      </c>
      <c r="Q16" s="56">
        <v>927.57</v>
      </c>
      <c r="R16" s="56">
        <v>918.99300000000005</v>
      </c>
      <c r="S16" s="972">
        <v>900.87800000000004</v>
      </c>
      <c r="T16" s="971">
        <v>889.66700000000003</v>
      </c>
      <c r="U16" s="56">
        <v>872.21799999999996</v>
      </c>
      <c r="V16" s="56">
        <v>882.17899999999997</v>
      </c>
      <c r="W16" s="972">
        <v>883.29499999999996</v>
      </c>
      <c r="X16" s="971">
        <v>876.95799999999997</v>
      </c>
      <c r="Y16" s="56">
        <v>909.75199999999995</v>
      </c>
      <c r="Z16" s="56">
        <v>762.09199999999998</v>
      </c>
      <c r="AA16" s="972">
        <v>788.38599999999997</v>
      </c>
      <c r="AB16" s="971">
        <v>820.34</v>
      </c>
      <c r="AC16" s="56">
        <v>856.01700000000005</v>
      </c>
      <c r="AD16" s="56">
        <v>866.12</v>
      </c>
      <c r="AE16" s="972">
        <v>875.45799999999997</v>
      </c>
      <c r="AF16" s="971">
        <v>868.97199999999998</v>
      </c>
      <c r="AG16" s="56">
        <v>871.12599999999998</v>
      </c>
      <c r="AH16" s="107">
        <f>AG16-CF!AH16-CF!AH9</f>
        <v>860.09952620000001</v>
      </c>
      <c r="AI16" s="411">
        <f>AH16-CF!AI16-CF!AI9</f>
        <v>849.91996860000006</v>
      </c>
      <c r="AJ16" s="998">
        <f>AI16-CF!AJ16-CF!AJ9</f>
        <v>853.46155005000003</v>
      </c>
      <c r="AK16" s="107">
        <f>AJ16-CF!AK16-CF!AK9</f>
        <v>856.63276504999999</v>
      </c>
      <c r="AL16" s="107">
        <f>AK16-CF!AL16-CF!AL9</f>
        <v>859.02051020399995</v>
      </c>
      <c r="AM16" s="411">
        <f>AL16-CF!AM16-CF!AM9</f>
        <v>862.31805986199993</v>
      </c>
      <c r="AN16" s="998">
        <f>AM16-CF!AN16-CF!AN9</f>
        <v>865.5157865837499</v>
      </c>
      <c r="AO16" s="107">
        <f>AN16-CF!AO16-CF!AO9</f>
        <v>868.3360766587499</v>
      </c>
      <c r="AP16" s="107">
        <f>AO16-CF!AP16-CF!AP9</f>
        <v>870.35872526745993</v>
      </c>
      <c r="AQ16" s="411">
        <f>AP16-CF!AQ16-CF!AQ9</f>
        <v>873.30593789542991</v>
      </c>
    </row>
    <row r="17" spans="2:43" ht="13.5" customHeight="1">
      <c r="B17" s="95" t="s">
        <v>104</v>
      </c>
      <c r="C17" s="85">
        <f>O17</f>
        <v>43.084000000000003</v>
      </c>
      <c r="D17" s="85">
        <f>S17</f>
        <v>33.140999999999998</v>
      </c>
      <c r="E17" s="85">
        <f>W17</f>
        <v>38.957999999999998</v>
      </c>
      <c r="F17" s="85">
        <f>AA17</f>
        <v>23.061</v>
      </c>
      <c r="G17" s="124">
        <f>AE17</f>
        <v>22.904</v>
      </c>
      <c r="H17" s="85">
        <f>AI17</f>
        <v>19.489999999999998</v>
      </c>
      <c r="I17" s="85">
        <f>AM17</f>
        <v>19.489999999999998</v>
      </c>
      <c r="J17" s="85">
        <f>AQ17</f>
        <v>19.489999999999998</v>
      </c>
      <c r="L17" s="971">
        <v>43.698999999999998</v>
      </c>
      <c r="M17" s="56">
        <v>43.494</v>
      </c>
      <c r="N17" s="56">
        <v>43.287999999999997</v>
      </c>
      <c r="O17" s="972">
        <v>43.084000000000003</v>
      </c>
      <c r="P17" s="971">
        <v>42.878</v>
      </c>
      <c r="Q17" s="56">
        <v>42.673999999999999</v>
      </c>
      <c r="R17" s="56">
        <v>42.473999999999997</v>
      </c>
      <c r="S17" s="972">
        <v>33.140999999999998</v>
      </c>
      <c r="T17" s="971">
        <v>31.951000000000001</v>
      </c>
      <c r="U17" s="56">
        <v>36.286999999999999</v>
      </c>
      <c r="V17" s="56">
        <v>36.994</v>
      </c>
      <c r="W17" s="972">
        <v>38.957999999999998</v>
      </c>
      <c r="X17" s="971">
        <v>41.238999999999997</v>
      </c>
      <c r="Y17" s="56">
        <v>59.475999999999999</v>
      </c>
      <c r="Z17" s="56">
        <v>62.353000000000002</v>
      </c>
      <c r="AA17" s="972">
        <v>23.061</v>
      </c>
      <c r="AB17" s="971">
        <v>23.021000000000001</v>
      </c>
      <c r="AC17" s="56">
        <v>22.981999999999999</v>
      </c>
      <c r="AD17" s="56">
        <v>19.634</v>
      </c>
      <c r="AE17" s="972">
        <v>22.904</v>
      </c>
      <c r="AF17" s="971">
        <v>22.864999999999998</v>
      </c>
      <c r="AG17" s="56">
        <v>22.826000000000001</v>
      </c>
      <c r="AH17" s="56">
        <v>19.489999999999998</v>
      </c>
      <c r="AI17" s="411">
        <f>AH17</f>
        <v>19.489999999999998</v>
      </c>
      <c r="AJ17" s="998">
        <f t="shared" ref="AJ17:AQ18" si="13">AI17</f>
        <v>19.489999999999998</v>
      </c>
      <c r="AK17" s="107">
        <f t="shared" si="13"/>
        <v>19.489999999999998</v>
      </c>
      <c r="AL17" s="107">
        <f t="shared" si="13"/>
        <v>19.489999999999998</v>
      </c>
      <c r="AM17" s="411">
        <f t="shared" si="13"/>
        <v>19.489999999999998</v>
      </c>
      <c r="AN17" s="998">
        <f t="shared" si="13"/>
        <v>19.489999999999998</v>
      </c>
      <c r="AO17" s="107">
        <f t="shared" si="13"/>
        <v>19.489999999999998</v>
      </c>
      <c r="AP17" s="107">
        <f t="shared" si="13"/>
        <v>19.489999999999998</v>
      </c>
      <c r="AQ17" s="411">
        <f t="shared" si="13"/>
        <v>19.489999999999998</v>
      </c>
    </row>
    <row r="18" spans="2:43" ht="13.5" customHeight="1">
      <c r="B18" s="954" t="s">
        <v>55</v>
      </c>
      <c r="C18" s="156">
        <f>O18</f>
        <v>27.175000000000001</v>
      </c>
      <c r="D18" s="156">
        <f>S18</f>
        <v>40.697000000000003</v>
      </c>
      <c r="E18" s="156">
        <f>W18</f>
        <v>39.877000000000002</v>
      </c>
      <c r="F18" s="156">
        <f>AA18</f>
        <v>60.868000000000002</v>
      </c>
      <c r="G18" s="157">
        <f>AE18</f>
        <v>51.656999999999996</v>
      </c>
      <c r="H18" s="156">
        <f>AI18</f>
        <v>55.2</v>
      </c>
      <c r="I18" s="156">
        <f>AM18</f>
        <v>55.2</v>
      </c>
      <c r="J18" s="156">
        <f>AQ18</f>
        <v>55.2</v>
      </c>
      <c r="K18" s="3"/>
      <c r="L18" s="973">
        <v>23.524999999999999</v>
      </c>
      <c r="M18" s="217">
        <v>26.492000000000001</v>
      </c>
      <c r="N18" s="217">
        <v>27.030999999999999</v>
      </c>
      <c r="O18" s="974">
        <v>27.175000000000001</v>
      </c>
      <c r="P18" s="973">
        <v>27.209</v>
      </c>
      <c r="Q18" s="217">
        <v>29.233000000000001</v>
      </c>
      <c r="R18" s="217">
        <v>29.211892198351556</v>
      </c>
      <c r="S18" s="974">
        <v>40.697000000000003</v>
      </c>
      <c r="T18" s="973">
        <v>40.491999999999997</v>
      </c>
      <c r="U18" s="217">
        <v>40.286999999999999</v>
      </c>
      <c r="V18" s="217">
        <v>40.082000000000001</v>
      </c>
      <c r="W18" s="974">
        <v>39.877000000000002</v>
      </c>
      <c r="X18" s="973">
        <v>36.57</v>
      </c>
      <c r="Y18" s="217">
        <v>43.542999999999999</v>
      </c>
      <c r="Z18" s="217">
        <v>0</v>
      </c>
      <c r="AA18" s="974">
        <v>60.868000000000002</v>
      </c>
      <c r="AB18" s="973">
        <v>50.3</v>
      </c>
      <c r="AC18" s="217">
        <v>52.186999999999998</v>
      </c>
      <c r="AD18" s="217">
        <v>59.081000000000003</v>
      </c>
      <c r="AE18" s="974">
        <v>51.656999999999996</v>
      </c>
      <c r="AF18" s="973">
        <v>54.548999999999999</v>
      </c>
      <c r="AG18" s="217">
        <v>55.183999999999997</v>
      </c>
      <c r="AH18" s="989">
        <v>55.2</v>
      </c>
      <c r="AI18" s="988">
        <f>AH18</f>
        <v>55.2</v>
      </c>
      <c r="AJ18" s="996">
        <f t="shared" si="13"/>
        <v>55.2</v>
      </c>
      <c r="AK18" s="997">
        <f t="shared" si="13"/>
        <v>55.2</v>
      </c>
      <c r="AL18" s="997">
        <f t="shared" si="13"/>
        <v>55.2</v>
      </c>
      <c r="AM18" s="988">
        <f t="shared" si="13"/>
        <v>55.2</v>
      </c>
      <c r="AN18" s="996">
        <f t="shared" si="13"/>
        <v>55.2</v>
      </c>
      <c r="AO18" s="997">
        <f t="shared" si="13"/>
        <v>55.2</v>
      </c>
      <c r="AP18" s="997">
        <f t="shared" si="13"/>
        <v>55.2</v>
      </c>
      <c r="AQ18" s="988">
        <f t="shared" si="13"/>
        <v>55.2</v>
      </c>
    </row>
    <row r="19" spans="2:43" s="13" customFormat="1" ht="13.5" customHeight="1">
      <c r="B19" s="758" t="s">
        <v>4</v>
      </c>
      <c r="C19" s="99">
        <f t="shared" ref="C19:J19" si="14">SUM(C15:C18)</f>
        <v>1109.1570000000002</v>
      </c>
      <c r="D19" s="99">
        <f t="shared" si="14"/>
        <v>1094.3209999999999</v>
      </c>
      <c r="E19" s="99">
        <f t="shared" si="14"/>
        <v>1065.777</v>
      </c>
      <c r="F19" s="99">
        <f t="shared" si="14"/>
        <v>1019.9950000000001</v>
      </c>
      <c r="G19" s="123">
        <f t="shared" si="14"/>
        <v>1068.316</v>
      </c>
      <c r="H19" s="99">
        <f t="shared" ca="1" si="14"/>
        <v>1039.61550852</v>
      </c>
      <c r="I19" s="99">
        <f t="shared" ca="1" si="14"/>
        <v>1054.0720174958667</v>
      </c>
      <c r="J19" s="99">
        <f t="shared" ca="1" si="14"/>
        <v>1065.9637741630058</v>
      </c>
      <c r="L19" s="1002">
        <v>1151.6379999999999</v>
      </c>
      <c r="M19" s="1003">
        <v>1142.5730000000001</v>
      </c>
      <c r="N19" s="1003">
        <v>1134.319</v>
      </c>
      <c r="O19" s="1004">
        <v>1109.1569999999999</v>
      </c>
      <c r="P19" s="1002">
        <v>1094.95</v>
      </c>
      <c r="Q19" s="1003">
        <v>1087.0050000000001</v>
      </c>
      <c r="R19" s="1003">
        <v>1092.544330737039</v>
      </c>
      <c r="S19" s="1004">
        <v>1094.3209999999999</v>
      </c>
      <c r="T19" s="1002">
        <v>1081.27</v>
      </c>
      <c r="U19" s="1003">
        <v>1060.769</v>
      </c>
      <c r="V19" s="1003">
        <v>1073.3030000000001</v>
      </c>
      <c r="W19" s="1004">
        <v>1065.777</v>
      </c>
      <c r="X19" s="1002">
        <v>1026.586</v>
      </c>
      <c r="Y19" s="1003">
        <v>1111.49</v>
      </c>
      <c r="Z19" s="1003">
        <v>1084.7</v>
      </c>
      <c r="AA19" s="1004">
        <v>1019.995</v>
      </c>
      <c r="AB19" s="1002">
        <v>1023.524</v>
      </c>
      <c r="AC19" s="1003">
        <v>1075.7650000000001</v>
      </c>
      <c r="AD19" s="1003">
        <v>1092.55</v>
      </c>
      <c r="AE19" s="1004">
        <v>1068.316</v>
      </c>
      <c r="AF19" s="1002">
        <v>1054.4570000000001</v>
      </c>
      <c r="AG19" s="1003">
        <f t="shared" ref="AG19:AQ19" si="15">SUM(AG16:AG18)+AG15</f>
        <v>1066.0260000000001</v>
      </c>
      <c r="AH19" s="1005">
        <f t="shared" ca="1" si="15"/>
        <v>1054.2309287066666</v>
      </c>
      <c r="AI19" s="1006">
        <f t="shared" ca="1" si="15"/>
        <v>1039.61550852</v>
      </c>
      <c r="AJ19" s="1007">
        <f t="shared" ca="1" si="15"/>
        <v>1042.5368672122222</v>
      </c>
      <c r="AK19" s="1005">
        <f t="shared" ca="1" si="15"/>
        <v>1048.1657370944445</v>
      </c>
      <c r="AL19" s="1005">
        <f t="shared" ca="1" si="15"/>
        <v>1055.2966617285333</v>
      </c>
      <c r="AM19" s="1006">
        <f t="shared" ca="1" si="15"/>
        <v>1054.0720174958667</v>
      </c>
      <c r="AN19" s="1007">
        <f t="shared" ca="1" si="15"/>
        <v>1055.46264093635</v>
      </c>
      <c r="AO19" s="1005">
        <f t="shared" ca="1" si="15"/>
        <v>1060.76553015075</v>
      </c>
      <c r="AP19" s="1005">
        <f t="shared" ca="1" si="15"/>
        <v>1067.57728229958</v>
      </c>
      <c r="AQ19" s="1006">
        <f t="shared" ca="1" si="15"/>
        <v>1065.9637741630058</v>
      </c>
    </row>
    <row r="20" spans="2:43" s="13" customFormat="1" ht="13.5" customHeight="1">
      <c r="B20" s="42" t="s">
        <v>40</v>
      </c>
      <c r="C20" s="100"/>
      <c r="D20" s="100"/>
      <c r="E20" s="100"/>
      <c r="F20" s="100"/>
      <c r="G20" s="125"/>
      <c r="H20" s="101"/>
      <c r="I20" s="101"/>
      <c r="J20" s="101"/>
      <c r="L20" s="971"/>
      <c r="M20" s="56"/>
      <c r="N20" s="56"/>
      <c r="O20" s="972"/>
      <c r="P20" s="971"/>
      <c r="Q20" s="56"/>
      <c r="R20" s="56"/>
      <c r="S20" s="972"/>
      <c r="T20" s="971"/>
      <c r="U20" s="56"/>
      <c r="V20" s="56"/>
      <c r="W20" s="972"/>
      <c r="X20" s="971"/>
      <c r="Y20" s="56"/>
      <c r="Z20" s="56"/>
      <c r="AA20" s="972"/>
      <c r="AB20" s="971"/>
      <c r="AC20" s="56"/>
      <c r="AD20" s="56"/>
      <c r="AE20" s="972"/>
      <c r="AF20" s="971"/>
      <c r="AG20" s="56"/>
      <c r="AH20" s="990"/>
      <c r="AI20" s="991"/>
      <c r="AJ20" s="999"/>
      <c r="AK20" s="990"/>
      <c r="AL20" s="990"/>
      <c r="AM20" s="991"/>
      <c r="AN20" s="999"/>
      <c r="AO20" s="990"/>
      <c r="AP20" s="990"/>
      <c r="AQ20" s="991"/>
    </row>
    <row r="21" spans="2:43" s="10" customFormat="1" ht="13.5" customHeight="1">
      <c r="B21" s="954" t="s">
        <v>56</v>
      </c>
      <c r="C21" s="85">
        <f t="shared" ref="C21:C29" si="16">O21</f>
        <v>14</v>
      </c>
      <c r="D21" s="85">
        <f t="shared" ref="D21:D29" si="17">S21</f>
        <v>0</v>
      </c>
      <c r="E21" s="85">
        <f t="shared" ref="E21:E29" si="18">W21</f>
        <v>0</v>
      </c>
      <c r="F21" s="85">
        <f t="shared" ref="F21:F29" si="19">AA21</f>
        <v>201.43299999999999</v>
      </c>
      <c r="G21" s="124">
        <f t="shared" ref="G21:G29" si="20">AE21</f>
        <v>458.89800000000002</v>
      </c>
      <c r="H21" s="85">
        <f t="shared" ref="H21:H29" si="21">AI21</f>
        <v>0</v>
      </c>
      <c r="I21" s="85">
        <f t="shared" ref="I21:I29" si="22">AM21</f>
        <v>0</v>
      </c>
      <c r="J21" s="85">
        <f t="shared" ref="J21:J29" si="23">AQ21</f>
        <v>0</v>
      </c>
      <c r="L21" s="968">
        <v>67</v>
      </c>
      <c r="M21" s="969">
        <v>64</v>
      </c>
      <c r="N21" s="969">
        <v>24.754000000000001</v>
      </c>
      <c r="O21" s="970">
        <v>14</v>
      </c>
      <c r="P21" s="968">
        <v>32</v>
      </c>
      <c r="Q21" s="969">
        <v>23</v>
      </c>
      <c r="R21" s="969">
        <v>23</v>
      </c>
      <c r="S21" s="970">
        <v>0</v>
      </c>
      <c r="T21" s="968">
        <v>0</v>
      </c>
      <c r="U21" s="969">
        <v>0</v>
      </c>
      <c r="V21" s="969">
        <v>0</v>
      </c>
      <c r="W21" s="970">
        <v>0</v>
      </c>
      <c r="X21" s="968">
        <v>28.844000000000001</v>
      </c>
      <c r="Y21" s="969">
        <v>99.759</v>
      </c>
      <c r="Z21" s="969">
        <v>189.03100000000001</v>
      </c>
      <c r="AA21" s="970">
        <v>201.43299999999999</v>
      </c>
      <c r="AB21" s="968">
        <v>214.67699999999999</v>
      </c>
      <c r="AC21" s="969">
        <v>318.22699999999998</v>
      </c>
      <c r="AD21" s="969">
        <v>372.82900000000001</v>
      </c>
      <c r="AE21" s="970">
        <v>458.89800000000002</v>
      </c>
      <c r="AF21" s="968">
        <v>458.83600000000001</v>
      </c>
      <c r="AG21" s="969">
        <v>0</v>
      </c>
      <c r="AH21" s="1008">
        <v>0</v>
      </c>
      <c r="AI21" s="845">
        <f>AH21</f>
        <v>0</v>
      </c>
      <c r="AJ21" s="843">
        <f t="shared" ref="AJ21:AQ22" si="24">AI21</f>
        <v>0</v>
      </c>
      <c r="AK21" s="844">
        <f t="shared" si="24"/>
        <v>0</v>
      </c>
      <c r="AL21" s="844">
        <f t="shared" si="24"/>
        <v>0</v>
      </c>
      <c r="AM21" s="845">
        <f t="shared" si="24"/>
        <v>0</v>
      </c>
      <c r="AN21" s="843">
        <f t="shared" si="24"/>
        <v>0</v>
      </c>
      <c r="AO21" s="844">
        <f t="shared" si="24"/>
        <v>0</v>
      </c>
      <c r="AP21" s="844">
        <f t="shared" si="24"/>
        <v>0</v>
      </c>
      <c r="AQ21" s="845">
        <f t="shared" si="24"/>
        <v>0</v>
      </c>
    </row>
    <row r="22" spans="2:43" s="10" customFormat="1" ht="13.5" customHeight="1">
      <c r="B22" s="954" t="s">
        <v>57</v>
      </c>
      <c r="C22" s="85">
        <f t="shared" si="16"/>
        <v>26.905000000000001</v>
      </c>
      <c r="D22" s="85">
        <f t="shared" si="17"/>
        <v>13.571</v>
      </c>
      <c r="E22" s="85">
        <f t="shared" si="18"/>
        <v>38.570999999999998</v>
      </c>
      <c r="F22" s="85">
        <f t="shared" si="19"/>
        <v>0</v>
      </c>
      <c r="G22" s="124">
        <f t="shared" si="20"/>
        <v>0</v>
      </c>
      <c r="H22" s="85">
        <f t="shared" si="21"/>
        <v>0.4</v>
      </c>
      <c r="I22" s="85">
        <f t="shared" si="22"/>
        <v>0.4</v>
      </c>
      <c r="J22" s="85">
        <f t="shared" si="23"/>
        <v>0.4</v>
      </c>
      <c r="L22" s="971">
        <v>26.904</v>
      </c>
      <c r="M22" s="56">
        <v>26.905000000000001</v>
      </c>
      <c r="N22" s="56">
        <v>26.905000000000001</v>
      </c>
      <c r="O22" s="972">
        <v>26.905000000000001</v>
      </c>
      <c r="P22" s="971">
        <v>13.571</v>
      </c>
      <c r="Q22" s="56">
        <v>13.571</v>
      </c>
      <c r="R22" s="56">
        <v>13.571</v>
      </c>
      <c r="S22" s="972">
        <v>13.571</v>
      </c>
      <c r="T22" s="971">
        <v>38.570999999999998</v>
      </c>
      <c r="U22" s="56">
        <v>38.570999999999998</v>
      </c>
      <c r="V22" s="56">
        <v>38.570999999999998</v>
      </c>
      <c r="W22" s="972">
        <v>38.570999999999998</v>
      </c>
      <c r="X22" s="971">
        <v>48.570999999999998</v>
      </c>
      <c r="Y22" s="56">
        <v>48.570999999999998</v>
      </c>
      <c r="Z22" s="56">
        <v>49.042000000000002</v>
      </c>
      <c r="AA22" s="972">
        <v>0</v>
      </c>
      <c r="AB22" s="971">
        <v>0</v>
      </c>
      <c r="AC22" s="56">
        <v>0</v>
      </c>
      <c r="AD22" s="56">
        <v>0</v>
      </c>
      <c r="AE22" s="972">
        <v>0</v>
      </c>
      <c r="AF22" s="971">
        <v>0.36899999999999999</v>
      </c>
      <c r="AG22" s="56">
        <v>0.36899999999999999</v>
      </c>
      <c r="AH22" s="992">
        <v>0.4</v>
      </c>
      <c r="AI22" s="411">
        <f>AH22</f>
        <v>0.4</v>
      </c>
      <c r="AJ22" s="998">
        <f t="shared" si="24"/>
        <v>0.4</v>
      </c>
      <c r="AK22" s="107">
        <f t="shared" si="24"/>
        <v>0.4</v>
      </c>
      <c r="AL22" s="107">
        <f t="shared" si="24"/>
        <v>0.4</v>
      </c>
      <c r="AM22" s="411">
        <f t="shared" si="24"/>
        <v>0.4</v>
      </c>
      <c r="AN22" s="998">
        <f t="shared" si="24"/>
        <v>0.4</v>
      </c>
      <c r="AO22" s="107">
        <f t="shared" si="24"/>
        <v>0.4</v>
      </c>
      <c r="AP22" s="107">
        <f t="shared" si="24"/>
        <v>0.4</v>
      </c>
      <c r="AQ22" s="411">
        <f t="shared" si="24"/>
        <v>0.4</v>
      </c>
    </row>
    <row r="23" spans="2:43" s="10" customFormat="1" ht="13.5" customHeight="1">
      <c r="B23" s="954" t="s">
        <v>3</v>
      </c>
      <c r="C23" s="85">
        <f t="shared" si="16"/>
        <v>29.321999999999999</v>
      </c>
      <c r="D23" s="85">
        <f t="shared" si="17"/>
        <v>30.417999999999999</v>
      </c>
      <c r="E23" s="85">
        <f t="shared" si="18"/>
        <v>26.085000000000001</v>
      </c>
      <c r="F23" s="85">
        <f t="shared" si="19"/>
        <v>23.058</v>
      </c>
      <c r="G23" s="124">
        <f t="shared" si="20"/>
        <v>29.064</v>
      </c>
      <c r="H23" s="85">
        <f t="shared" si="21"/>
        <v>27.238160693333334</v>
      </c>
      <c r="I23" s="85">
        <f t="shared" si="22"/>
        <v>28.053085549866669</v>
      </c>
      <c r="J23" s="85">
        <f t="shared" si="23"/>
        <v>27.573705086187328</v>
      </c>
      <c r="L23" s="971">
        <v>24.117999999999999</v>
      </c>
      <c r="M23" s="56">
        <v>25.652000000000001</v>
      </c>
      <c r="N23" s="56">
        <v>42.725000000000001</v>
      </c>
      <c r="O23" s="972">
        <v>29.321999999999999</v>
      </c>
      <c r="P23" s="971">
        <v>31.95</v>
      </c>
      <c r="Q23" s="56">
        <v>33.383000000000003</v>
      </c>
      <c r="R23" s="56">
        <v>33.284979492823929</v>
      </c>
      <c r="S23" s="972">
        <v>30.417999999999999</v>
      </c>
      <c r="T23" s="971">
        <v>29.32</v>
      </c>
      <c r="U23" s="56">
        <v>33.969000000000001</v>
      </c>
      <c r="V23" s="56">
        <v>33.128</v>
      </c>
      <c r="W23" s="972">
        <v>26.085000000000001</v>
      </c>
      <c r="X23" s="971">
        <v>19.459</v>
      </c>
      <c r="Y23" s="56">
        <v>23.984000000000002</v>
      </c>
      <c r="Z23" s="56">
        <v>19.327999999999999</v>
      </c>
      <c r="AA23" s="972">
        <v>23.058</v>
      </c>
      <c r="AB23" s="971">
        <v>23.314</v>
      </c>
      <c r="AC23" s="56">
        <v>21.864999999999998</v>
      </c>
      <c r="AD23" s="56">
        <v>22.567</v>
      </c>
      <c r="AE23" s="972">
        <v>29.064</v>
      </c>
      <c r="AF23" s="971">
        <v>28.64</v>
      </c>
      <c r="AG23" s="56">
        <v>32.901000000000003</v>
      </c>
      <c r="AH23" s="985">
        <f>WC!AH11</f>
        <v>28.40518530666667</v>
      </c>
      <c r="AI23" s="986">
        <f>WC!AI11</f>
        <v>27.238160693333334</v>
      </c>
      <c r="AJ23" s="995">
        <f>WC!AJ11</f>
        <v>26.881595375555552</v>
      </c>
      <c r="AK23" s="985">
        <f>WC!AK11</f>
        <v>27.727765511111112</v>
      </c>
      <c r="AL23" s="985">
        <f>WC!AL11</f>
        <v>29.253619017333339</v>
      </c>
      <c r="AM23" s="986">
        <f>WC!AM11</f>
        <v>28.053085549866669</v>
      </c>
      <c r="AN23" s="995">
        <f>WC!AN11</f>
        <v>26.408191366027772</v>
      </c>
      <c r="AO23" s="985">
        <f>WC!AO11</f>
        <v>27.245929004555553</v>
      </c>
      <c r="AP23" s="985">
        <f>WC!AP11</f>
        <v>28.754125316612665</v>
      </c>
      <c r="AQ23" s="986">
        <f>WC!AQ11</f>
        <v>27.573705086187328</v>
      </c>
    </row>
    <row r="24" spans="2:43" s="10" customFormat="1" ht="13.5" customHeight="1">
      <c r="B24" s="954" t="s">
        <v>105</v>
      </c>
      <c r="C24" s="85">
        <f t="shared" si="16"/>
        <v>8.7080000000000002</v>
      </c>
      <c r="D24" s="85">
        <f t="shared" si="17"/>
        <v>10.792999999999999</v>
      </c>
      <c r="E24" s="85">
        <f t="shared" si="18"/>
        <v>12.468999999999999</v>
      </c>
      <c r="F24" s="85">
        <f t="shared" si="19"/>
        <v>0</v>
      </c>
      <c r="G24" s="124">
        <f t="shared" si="20"/>
        <v>0</v>
      </c>
      <c r="H24" s="85">
        <f t="shared" si="21"/>
        <v>0</v>
      </c>
      <c r="I24" s="85">
        <f t="shared" si="22"/>
        <v>0</v>
      </c>
      <c r="J24" s="85">
        <f t="shared" si="23"/>
        <v>0</v>
      </c>
      <c r="L24" s="971">
        <v>11.759</v>
      </c>
      <c r="M24" s="56">
        <v>7.3129999999999997</v>
      </c>
      <c r="N24" s="56">
        <v>3.1869999999999998</v>
      </c>
      <c r="O24" s="972">
        <v>8.7080000000000002</v>
      </c>
      <c r="P24" s="971">
        <v>7.6420000000000003</v>
      </c>
      <c r="Q24" s="56">
        <v>0</v>
      </c>
      <c r="R24" s="56">
        <v>0</v>
      </c>
      <c r="S24" s="972">
        <v>10.792999999999999</v>
      </c>
      <c r="T24" s="971">
        <v>4.8380000000000001</v>
      </c>
      <c r="U24" s="56">
        <v>0</v>
      </c>
      <c r="V24" s="56">
        <v>4.0629999999999997</v>
      </c>
      <c r="W24" s="972">
        <v>12.468999999999999</v>
      </c>
      <c r="X24" s="971">
        <v>8.4809999999999999</v>
      </c>
      <c r="Y24" s="56">
        <v>0</v>
      </c>
      <c r="Z24" s="56">
        <v>0</v>
      </c>
      <c r="AA24" s="972">
        <v>0</v>
      </c>
      <c r="AB24" s="971">
        <v>0</v>
      </c>
      <c r="AC24" s="56">
        <v>0</v>
      </c>
      <c r="AD24" s="56">
        <v>0</v>
      </c>
      <c r="AE24" s="972">
        <v>0</v>
      </c>
      <c r="AF24" s="971">
        <v>0</v>
      </c>
      <c r="AG24" s="56">
        <v>0</v>
      </c>
      <c r="AH24" s="903">
        <v>0</v>
      </c>
      <c r="AI24" s="411">
        <f>AH24</f>
        <v>0</v>
      </c>
      <c r="AJ24" s="998">
        <f t="shared" ref="AJ24:AQ24" si="25">AI24</f>
        <v>0</v>
      </c>
      <c r="AK24" s="107">
        <f t="shared" si="25"/>
        <v>0</v>
      </c>
      <c r="AL24" s="107">
        <f t="shared" si="25"/>
        <v>0</v>
      </c>
      <c r="AM24" s="411">
        <f t="shared" si="25"/>
        <v>0</v>
      </c>
      <c r="AN24" s="998">
        <f t="shared" si="25"/>
        <v>0</v>
      </c>
      <c r="AO24" s="107">
        <f t="shared" si="25"/>
        <v>0</v>
      </c>
      <c r="AP24" s="107">
        <f t="shared" si="25"/>
        <v>0</v>
      </c>
      <c r="AQ24" s="411">
        <f t="shared" si="25"/>
        <v>0</v>
      </c>
    </row>
    <row r="25" spans="2:43" s="10" customFormat="1" ht="13.5" customHeight="1">
      <c r="B25" s="953" t="s">
        <v>58</v>
      </c>
      <c r="C25" s="85">
        <f t="shared" si="16"/>
        <v>0</v>
      </c>
      <c r="D25" s="85">
        <f t="shared" si="17"/>
        <v>20.518999999999998</v>
      </c>
      <c r="E25" s="85">
        <f t="shared" si="18"/>
        <v>21.251000000000001</v>
      </c>
      <c r="F25" s="85">
        <f t="shared" si="19"/>
        <v>16.346</v>
      </c>
      <c r="G25" s="124">
        <f t="shared" si="20"/>
        <v>17.843</v>
      </c>
      <c r="H25" s="85">
        <f t="shared" si="21"/>
        <v>19.973905199999997</v>
      </c>
      <c r="I25" s="85">
        <f t="shared" si="22"/>
        <v>20.302690571999999</v>
      </c>
      <c r="J25" s="85">
        <f t="shared" si="23"/>
        <v>20.636991260459997</v>
      </c>
      <c r="L25" s="971">
        <v>0</v>
      </c>
      <c r="M25" s="56">
        <v>0</v>
      </c>
      <c r="N25" s="56">
        <v>0</v>
      </c>
      <c r="O25" s="972">
        <v>0</v>
      </c>
      <c r="P25" s="971">
        <v>0</v>
      </c>
      <c r="Q25" s="56">
        <v>0</v>
      </c>
      <c r="R25" s="56">
        <v>0</v>
      </c>
      <c r="S25" s="972">
        <v>20.518999999999998</v>
      </c>
      <c r="T25" s="971">
        <v>19.071999999999999</v>
      </c>
      <c r="U25" s="56">
        <v>20.190999999999999</v>
      </c>
      <c r="V25" s="56">
        <v>21.109000000000002</v>
      </c>
      <c r="W25" s="972">
        <v>21.251000000000001</v>
      </c>
      <c r="X25" s="971">
        <v>23.936</v>
      </c>
      <c r="Y25" s="56">
        <v>24.280999999999999</v>
      </c>
      <c r="Z25" s="56">
        <v>16.640999999999998</v>
      </c>
      <c r="AA25" s="972">
        <v>16.346</v>
      </c>
      <c r="AB25" s="971">
        <v>17.904</v>
      </c>
      <c r="AC25" s="56">
        <v>20.106000000000002</v>
      </c>
      <c r="AD25" s="56">
        <v>16.667999999999999</v>
      </c>
      <c r="AE25" s="972">
        <v>17.843</v>
      </c>
      <c r="AF25" s="971">
        <v>17.437999999999999</v>
      </c>
      <c r="AG25" s="56">
        <v>15.111000000000001</v>
      </c>
      <c r="AH25" s="985">
        <f>WC!AH19*WC!AH$28</f>
        <v>20.816078399999999</v>
      </c>
      <c r="AI25" s="986">
        <f>WC!AI19*WC!AI28</f>
        <v>19.973905199999997</v>
      </c>
      <c r="AJ25" s="995">
        <f>WC!AJ19*WC!AJ28</f>
        <v>19.900023899999997</v>
      </c>
      <c r="AK25" s="985">
        <f>WC!AK19*WC!AK28</f>
        <v>20.321345999999995</v>
      </c>
      <c r="AL25" s="985">
        <f>WC!AL19*WC!AL28</f>
        <v>21.158805132000001</v>
      </c>
      <c r="AM25" s="986">
        <f>WC!AM19*WC!AM28</f>
        <v>20.302690571999999</v>
      </c>
      <c r="AN25" s="995">
        <f>WC!AN19*WC!AN28</f>
        <v>20.224898398499999</v>
      </c>
      <c r="AO25" s="985">
        <f>WC!AO19*WC!AO28</f>
        <v>20.654357969999996</v>
      </c>
      <c r="AP25" s="985">
        <f>WC!AP19*WC!AP28</f>
        <v>21.507282476099999</v>
      </c>
      <c r="AQ25" s="986">
        <f>WC!AQ19*WC!AQ28</f>
        <v>20.636991260459997</v>
      </c>
    </row>
    <row r="26" spans="2:43" s="10" customFormat="1" ht="13.5" customHeight="1">
      <c r="B26" s="954" t="s">
        <v>59</v>
      </c>
      <c r="C26" s="85">
        <f t="shared" si="16"/>
        <v>39.545000000000002</v>
      </c>
      <c r="D26" s="85">
        <f t="shared" si="17"/>
        <v>36.024000000000001</v>
      </c>
      <c r="E26" s="85">
        <f t="shared" si="18"/>
        <v>33.505000000000003</v>
      </c>
      <c r="F26" s="85">
        <f t="shared" si="19"/>
        <v>30.219000000000001</v>
      </c>
      <c r="G26" s="124">
        <f t="shared" si="20"/>
        <v>27.414999999999999</v>
      </c>
      <c r="H26" s="85">
        <f t="shared" si="21"/>
        <v>23.302889400000002</v>
      </c>
      <c r="I26" s="85">
        <f t="shared" si="22"/>
        <v>23.686472334000001</v>
      </c>
      <c r="J26" s="85">
        <f t="shared" si="23"/>
        <v>24.076489803869997</v>
      </c>
      <c r="L26" s="971">
        <v>21.818000000000001</v>
      </c>
      <c r="M26" s="56">
        <v>23.89</v>
      </c>
      <c r="N26" s="56">
        <v>28.556000000000001</v>
      </c>
      <c r="O26" s="972">
        <v>39.545000000000002</v>
      </c>
      <c r="P26" s="971">
        <v>27.446999999999999</v>
      </c>
      <c r="Q26" s="56">
        <v>32.701000000000001</v>
      </c>
      <c r="R26" s="56">
        <v>32.677388115427576</v>
      </c>
      <c r="S26" s="972">
        <v>36.024000000000001</v>
      </c>
      <c r="T26" s="971">
        <v>29.309000000000001</v>
      </c>
      <c r="U26" s="56">
        <v>28.795000000000002</v>
      </c>
      <c r="V26" s="56">
        <v>32.829000000000001</v>
      </c>
      <c r="W26" s="972">
        <v>33.505000000000003</v>
      </c>
      <c r="X26" s="971">
        <v>24.588999999999999</v>
      </c>
      <c r="Y26" s="56">
        <v>26.122</v>
      </c>
      <c r="Z26" s="56">
        <v>24.803999999999998</v>
      </c>
      <c r="AA26" s="972">
        <v>30.219000000000001</v>
      </c>
      <c r="AB26" s="971">
        <v>23.195</v>
      </c>
      <c r="AC26" s="56">
        <v>27.728999999999999</v>
      </c>
      <c r="AD26" s="56">
        <v>24.803000000000001</v>
      </c>
      <c r="AE26" s="972">
        <v>27.414999999999999</v>
      </c>
      <c r="AF26" s="971">
        <v>25.652999999999999</v>
      </c>
      <c r="AG26" s="56">
        <v>19.974</v>
      </c>
      <c r="AH26" s="985">
        <f>WC!AH20*WC!AH$28</f>
        <v>24.285424800000001</v>
      </c>
      <c r="AI26" s="986">
        <f>WC!AI20*WC!AI$28</f>
        <v>23.302889400000002</v>
      </c>
      <c r="AJ26" s="995">
        <f>WC!AJ20*WC!AJ$28</f>
        <v>23.21669455</v>
      </c>
      <c r="AK26" s="985">
        <f>WC!AK20*WC!AK$28</f>
        <v>23.708236999999997</v>
      </c>
      <c r="AL26" s="985">
        <f>WC!AL20*WC!AL$28</f>
        <v>24.685272654000006</v>
      </c>
      <c r="AM26" s="986">
        <f>WC!AM20*WC!AM$28</f>
        <v>23.686472334000001</v>
      </c>
      <c r="AN26" s="995">
        <f>WC!AN20*WC!AN$28</f>
        <v>23.59571479825</v>
      </c>
      <c r="AO26" s="985">
        <f>WC!AO20*WC!AO$28</f>
        <v>24.096750964999998</v>
      </c>
      <c r="AP26" s="985">
        <f>WC!AP20*WC!AP$28</f>
        <v>25.091829555450001</v>
      </c>
      <c r="AQ26" s="986">
        <f>WC!AQ20*WC!AQ$28</f>
        <v>24.076489803869997</v>
      </c>
    </row>
    <row r="27" spans="2:43" s="10" customFormat="1" ht="13.5" customHeight="1">
      <c r="B27" s="954" t="s">
        <v>60</v>
      </c>
      <c r="C27" s="85">
        <f t="shared" si="16"/>
        <v>24.164999999999999</v>
      </c>
      <c r="D27" s="85">
        <f t="shared" si="17"/>
        <v>26.058</v>
      </c>
      <c r="E27" s="85">
        <f t="shared" si="18"/>
        <v>26.079000000000001</v>
      </c>
      <c r="F27" s="85">
        <f t="shared" si="19"/>
        <v>21.071999999999999</v>
      </c>
      <c r="G27" s="124">
        <f t="shared" si="20"/>
        <v>19.873999999999999</v>
      </c>
      <c r="H27" s="85">
        <f t="shared" si="21"/>
        <v>19.973905199999997</v>
      </c>
      <c r="I27" s="85">
        <f t="shared" si="22"/>
        <v>20.302690571999999</v>
      </c>
      <c r="J27" s="85">
        <f t="shared" si="23"/>
        <v>20.636991260459997</v>
      </c>
      <c r="L27" s="971">
        <v>23.478999999999999</v>
      </c>
      <c r="M27" s="56">
        <v>24.552</v>
      </c>
      <c r="N27" s="56">
        <v>25.841000000000001</v>
      </c>
      <c r="O27" s="972">
        <v>24.164999999999999</v>
      </c>
      <c r="P27" s="971">
        <v>24.28</v>
      </c>
      <c r="Q27" s="56">
        <v>24.629000000000001</v>
      </c>
      <c r="R27" s="56">
        <v>0</v>
      </c>
      <c r="S27" s="972">
        <v>26.058</v>
      </c>
      <c r="T27" s="971">
        <v>27.088000000000001</v>
      </c>
      <c r="U27" s="56">
        <v>27.202000000000002</v>
      </c>
      <c r="V27" s="56">
        <v>26.963000000000001</v>
      </c>
      <c r="W27" s="972">
        <v>26.079000000000001</v>
      </c>
      <c r="X27" s="971">
        <v>26.44</v>
      </c>
      <c r="Y27" s="56">
        <v>25.382999999999999</v>
      </c>
      <c r="Z27" s="56">
        <v>20.879000000000001</v>
      </c>
      <c r="AA27" s="972">
        <v>21.071999999999999</v>
      </c>
      <c r="AB27" s="971">
        <v>21.657</v>
      </c>
      <c r="AC27" s="56">
        <v>21.506</v>
      </c>
      <c r="AD27" s="56">
        <v>22.256</v>
      </c>
      <c r="AE27" s="972">
        <v>19.873999999999999</v>
      </c>
      <c r="AF27" s="971">
        <v>19.367000000000001</v>
      </c>
      <c r="AG27" s="56">
        <v>20.619</v>
      </c>
      <c r="AH27" s="985">
        <f>WC!AH21*WC!AH$28</f>
        <v>20.816078399999999</v>
      </c>
      <c r="AI27" s="986">
        <f>WC!AI21*WC!AI$28</f>
        <v>19.973905199999997</v>
      </c>
      <c r="AJ27" s="995">
        <f>WC!AJ21*WC!AJ$28</f>
        <v>19.900023899999997</v>
      </c>
      <c r="AK27" s="985">
        <f>WC!AK21*WC!AK$28</f>
        <v>20.321345999999995</v>
      </c>
      <c r="AL27" s="985">
        <f>WC!AL21*WC!AL$28</f>
        <v>21.158805132000001</v>
      </c>
      <c r="AM27" s="986">
        <f>WC!AM21*WC!AM$28</f>
        <v>20.302690571999999</v>
      </c>
      <c r="AN27" s="995">
        <f>WC!AN21*WC!AN$28</f>
        <v>20.224898398499999</v>
      </c>
      <c r="AO27" s="985">
        <f>WC!AO21*WC!AO$28</f>
        <v>20.654357969999996</v>
      </c>
      <c r="AP27" s="985">
        <f>WC!AP21*WC!AP$28</f>
        <v>21.507282476099999</v>
      </c>
      <c r="AQ27" s="986">
        <f>WC!AQ21*WC!AQ$28</f>
        <v>20.636991260459997</v>
      </c>
    </row>
    <row r="28" spans="2:43" s="10" customFormat="1" ht="13.5" customHeight="1">
      <c r="B28" s="953" t="s">
        <v>61</v>
      </c>
      <c r="C28" s="85">
        <f t="shared" si="16"/>
        <v>0</v>
      </c>
      <c r="D28" s="85">
        <f t="shared" si="17"/>
        <v>0</v>
      </c>
      <c r="E28" s="85">
        <f t="shared" si="18"/>
        <v>21.452999999999999</v>
      </c>
      <c r="F28" s="85">
        <f t="shared" si="19"/>
        <v>12.914999999999999</v>
      </c>
      <c r="G28" s="124">
        <f t="shared" si="20"/>
        <v>12.967000000000001</v>
      </c>
      <c r="H28" s="85">
        <f t="shared" si="21"/>
        <v>11.31854628</v>
      </c>
      <c r="I28" s="85">
        <f t="shared" si="22"/>
        <v>11.5048579908</v>
      </c>
      <c r="J28" s="85">
        <f t="shared" si="23"/>
        <v>11.694295047593998</v>
      </c>
      <c r="L28" s="971">
        <v>0</v>
      </c>
      <c r="M28" s="56">
        <v>0</v>
      </c>
      <c r="N28" s="56">
        <v>0</v>
      </c>
      <c r="O28" s="972">
        <v>0</v>
      </c>
      <c r="P28" s="971">
        <v>0</v>
      </c>
      <c r="Q28" s="56">
        <v>0</v>
      </c>
      <c r="R28" s="56">
        <v>0</v>
      </c>
      <c r="S28" s="972">
        <v>0</v>
      </c>
      <c r="T28" s="971">
        <v>14.186</v>
      </c>
      <c r="U28" s="56">
        <v>13.006</v>
      </c>
      <c r="V28" s="56">
        <v>21.1</v>
      </c>
      <c r="W28" s="972">
        <v>21.452999999999999</v>
      </c>
      <c r="X28" s="971">
        <v>14.224</v>
      </c>
      <c r="Y28" s="56">
        <v>13.435</v>
      </c>
      <c r="Z28" s="56">
        <v>17.725999999999999</v>
      </c>
      <c r="AA28" s="972">
        <v>12.914999999999999</v>
      </c>
      <c r="AB28" s="971">
        <v>11.802</v>
      </c>
      <c r="AC28" s="56">
        <v>11.023999999999999</v>
      </c>
      <c r="AD28" s="56">
        <v>17.167000000000002</v>
      </c>
      <c r="AE28" s="972">
        <v>12.967000000000001</v>
      </c>
      <c r="AF28" s="971">
        <v>11.736000000000001</v>
      </c>
      <c r="AG28" s="56">
        <v>11.192</v>
      </c>
      <c r="AH28" s="985">
        <f>WC!AH22*WC!AH$28</f>
        <v>11.795777760000002</v>
      </c>
      <c r="AI28" s="986">
        <f>WC!AI22*WC!AI$28</f>
        <v>11.31854628</v>
      </c>
      <c r="AJ28" s="995">
        <f>WC!AJ22*WC!AJ$28</f>
        <v>11.27668021</v>
      </c>
      <c r="AK28" s="985">
        <f>WC!AK22*WC!AK$28</f>
        <v>11.515429399999999</v>
      </c>
      <c r="AL28" s="985">
        <f>WC!AL22*WC!AL$28</f>
        <v>11.989989574800003</v>
      </c>
      <c r="AM28" s="986">
        <f>WC!AM22*WC!AM$28</f>
        <v>11.5048579908</v>
      </c>
      <c r="AN28" s="995">
        <f>WC!AN22*WC!AN$28</f>
        <v>11.46077575915</v>
      </c>
      <c r="AO28" s="985">
        <f>WC!AO22*WC!AO$28</f>
        <v>11.704136182999999</v>
      </c>
      <c r="AP28" s="985">
        <f>WC!AP22*WC!AP$28</f>
        <v>12.187460069790001</v>
      </c>
      <c r="AQ28" s="986">
        <f>WC!AQ22*WC!AQ$28</f>
        <v>11.694295047593998</v>
      </c>
    </row>
    <row r="29" spans="2:43" s="10" customFormat="1" ht="13.5" customHeight="1">
      <c r="B29" s="954" t="s">
        <v>62</v>
      </c>
      <c r="C29" s="156">
        <f t="shared" si="16"/>
        <v>50.811</v>
      </c>
      <c r="D29" s="156">
        <f t="shared" si="17"/>
        <v>33.728999999999999</v>
      </c>
      <c r="E29" s="156">
        <f t="shared" si="18"/>
        <v>15.476000000000001</v>
      </c>
      <c r="F29" s="156">
        <f t="shared" si="19"/>
        <v>35.841000000000001</v>
      </c>
      <c r="G29" s="157">
        <f t="shared" si="20"/>
        <v>35.779000000000003</v>
      </c>
      <c r="H29" s="156">
        <f t="shared" si="21"/>
        <v>30.959553059999998</v>
      </c>
      <c r="I29" s="156">
        <f t="shared" si="22"/>
        <v>31.469170386599998</v>
      </c>
      <c r="J29" s="156">
        <f t="shared" si="23"/>
        <v>31.987336453712995</v>
      </c>
      <c r="L29" s="973">
        <v>56.168999999999997</v>
      </c>
      <c r="M29" s="217">
        <v>61.286999999999999</v>
      </c>
      <c r="N29" s="217">
        <v>67.016999999999996</v>
      </c>
      <c r="O29" s="974">
        <v>50.811</v>
      </c>
      <c r="P29" s="973">
        <v>51.158999999999999</v>
      </c>
      <c r="Q29" s="217">
        <v>54.689</v>
      </c>
      <c r="R29" s="217">
        <v>79.260728128787619</v>
      </c>
      <c r="S29" s="974">
        <v>33.728999999999999</v>
      </c>
      <c r="T29" s="973">
        <v>16.707999999999998</v>
      </c>
      <c r="U29" s="217">
        <v>18.37</v>
      </c>
      <c r="V29" s="217">
        <v>19.423999999999999</v>
      </c>
      <c r="W29" s="974">
        <v>15.476000000000001</v>
      </c>
      <c r="X29" s="973">
        <v>25.308</v>
      </c>
      <c r="Y29" s="217">
        <v>34.548999999999999</v>
      </c>
      <c r="Z29" s="217">
        <v>35.25</v>
      </c>
      <c r="AA29" s="974">
        <v>35.841000000000001</v>
      </c>
      <c r="AB29" s="973">
        <v>40.082000000000001</v>
      </c>
      <c r="AC29" s="217">
        <v>38.868000000000002</v>
      </c>
      <c r="AD29" s="217">
        <v>35.524999999999999</v>
      </c>
      <c r="AE29" s="974">
        <v>35.779000000000003</v>
      </c>
      <c r="AF29" s="973">
        <v>29.991</v>
      </c>
      <c r="AG29" s="217">
        <f>31.055+8.43</f>
        <v>39.484999999999999</v>
      </c>
      <c r="AH29" s="993">
        <f>WC!AH23*WC!AH$28</f>
        <v>32.264921520000001</v>
      </c>
      <c r="AI29" s="994">
        <f>WC!AI23*WC!AI$28</f>
        <v>30.959553059999998</v>
      </c>
      <c r="AJ29" s="1000">
        <f>WC!AJ23*WC!AJ$28</f>
        <v>30.845037044999998</v>
      </c>
      <c r="AK29" s="993">
        <f>WC!AK23*WC!AK$28</f>
        <v>31.498086299999994</v>
      </c>
      <c r="AL29" s="993">
        <f>WC!AL23*WC!AL$28</f>
        <v>32.796147954600002</v>
      </c>
      <c r="AM29" s="994">
        <f>WC!AM23*WC!AM$28</f>
        <v>31.469170386599998</v>
      </c>
      <c r="AN29" s="1000">
        <f>WC!AN23*WC!AN$28</f>
        <v>31.348592517674998</v>
      </c>
      <c r="AO29" s="993">
        <f>WC!AO23*WC!AO$28</f>
        <v>32.014254853499999</v>
      </c>
      <c r="AP29" s="993">
        <f>WC!AP23*WC!AP$28</f>
        <v>33.336287837954998</v>
      </c>
      <c r="AQ29" s="994">
        <f>WC!AQ23*WC!AQ$28</f>
        <v>31.987336453712995</v>
      </c>
    </row>
    <row r="30" spans="2:43" s="13" customFormat="1" ht="13.5" customHeight="1">
      <c r="B30" s="758" t="s">
        <v>2</v>
      </c>
      <c r="C30" s="99">
        <f t="shared" ref="C30:J30" si="26">SUM(C21:C29)</f>
        <v>193.45600000000002</v>
      </c>
      <c r="D30" s="99">
        <f t="shared" si="26"/>
        <v>171.11199999999997</v>
      </c>
      <c r="E30" s="99">
        <f t="shared" si="26"/>
        <v>194.88900000000001</v>
      </c>
      <c r="F30" s="99">
        <f t="shared" si="26"/>
        <v>340.88400000000001</v>
      </c>
      <c r="G30" s="123">
        <f t="shared" si="26"/>
        <v>601.84</v>
      </c>
      <c r="H30" s="99">
        <f t="shared" si="26"/>
        <v>133.16695983333332</v>
      </c>
      <c r="I30" s="99">
        <f t="shared" si="26"/>
        <v>135.71896740526665</v>
      </c>
      <c r="J30" s="99">
        <f t="shared" si="26"/>
        <v>137.00580891228429</v>
      </c>
      <c r="L30" s="1002">
        <v>231.24700000000001</v>
      </c>
      <c r="M30" s="1003">
        <v>233.59899999999999</v>
      </c>
      <c r="N30" s="1003">
        <v>218.98500000000001</v>
      </c>
      <c r="O30" s="1004">
        <v>193.45599999999999</v>
      </c>
      <c r="P30" s="1002">
        <v>188.04900000000001</v>
      </c>
      <c r="Q30" s="1003">
        <v>181.97300000000001</v>
      </c>
      <c r="R30" s="1003">
        <v>181.7940957370391</v>
      </c>
      <c r="S30" s="1004">
        <v>171.11199999999999</v>
      </c>
      <c r="T30" s="1002">
        <v>179.09200000000001</v>
      </c>
      <c r="U30" s="1003">
        <v>180.10400000000001</v>
      </c>
      <c r="V30" s="1003">
        <v>197.18700000000001</v>
      </c>
      <c r="W30" s="1004">
        <v>194.88900000000001</v>
      </c>
      <c r="X30" s="1002">
        <v>219.852</v>
      </c>
      <c r="Y30" s="1003">
        <v>296.084</v>
      </c>
      <c r="Z30" s="1003">
        <v>372.70100000000002</v>
      </c>
      <c r="AA30" s="1004">
        <v>340.88400000000001</v>
      </c>
      <c r="AB30" s="1002">
        <v>352.63099999999997</v>
      </c>
      <c r="AC30" s="1003">
        <v>459.32499999999999</v>
      </c>
      <c r="AD30" s="1003">
        <v>511.815</v>
      </c>
      <c r="AE30" s="1004">
        <v>601.84</v>
      </c>
      <c r="AF30" s="1002">
        <v>592.03</v>
      </c>
      <c r="AG30" s="1003">
        <f t="shared" ref="AG30:AQ30" si="27">SUM(AG21:AG29)</f>
        <v>139.65100000000001</v>
      </c>
      <c r="AH30" s="1015">
        <f t="shared" si="27"/>
        <v>138.78346618666666</v>
      </c>
      <c r="AI30" s="1016">
        <f t="shared" si="27"/>
        <v>133.16695983333332</v>
      </c>
      <c r="AJ30" s="1017">
        <f t="shared" si="27"/>
        <v>132.42005498055553</v>
      </c>
      <c r="AK30" s="1015">
        <f t="shared" si="27"/>
        <v>135.49221021111109</v>
      </c>
      <c r="AL30" s="1015">
        <f t="shared" si="27"/>
        <v>141.44263946473336</v>
      </c>
      <c r="AM30" s="1016">
        <f t="shared" si="27"/>
        <v>135.71896740526665</v>
      </c>
      <c r="AN30" s="1017">
        <f t="shared" si="27"/>
        <v>133.66307123810276</v>
      </c>
      <c r="AO30" s="1015">
        <f t="shared" si="27"/>
        <v>136.76978694605555</v>
      </c>
      <c r="AP30" s="1015">
        <f t="shared" si="27"/>
        <v>142.78426773200766</v>
      </c>
      <c r="AQ30" s="1016">
        <f t="shared" si="27"/>
        <v>137.00580891228429</v>
      </c>
    </row>
    <row r="31" spans="2:43" ht="13.5" customHeight="1">
      <c r="B31" s="954" t="s">
        <v>63</v>
      </c>
      <c r="C31" s="85">
        <f t="shared" ref="C31:C35" si="28">O31</f>
        <v>149.28700000000001</v>
      </c>
      <c r="D31" s="85">
        <f t="shared" ref="D31:D35" si="29">S31</f>
        <v>135.71600000000001</v>
      </c>
      <c r="E31" s="85">
        <f t="shared" ref="E31:E35" si="30">W31</f>
        <v>97.144999999999996</v>
      </c>
      <c r="F31" s="85">
        <f t="shared" ref="F31:F35" si="31">AA31</f>
        <v>0.81599999999999995</v>
      </c>
      <c r="G31" s="124">
        <f t="shared" ref="G31:G35" si="32">AE31</f>
        <v>0.83499999999999996</v>
      </c>
      <c r="H31" s="85">
        <f t="shared" ref="H31:H35" ca="1" si="33">AI31</f>
        <v>464.17899103752592</v>
      </c>
      <c r="I31" s="85">
        <f t="shared" ref="I31:I35" ca="1" si="34">AM31</f>
        <v>483.16743188856663</v>
      </c>
      <c r="J31" s="85">
        <f t="shared" ref="J31:J35" ca="1" si="35">AQ31</f>
        <v>487.20973728694088</v>
      </c>
      <c r="K31" s="3"/>
      <c r="L31" s="968">
        <v>176.19200000000001</v>
      </c>
      <c r="M31" s="969">
        <v>149.28700000000001</v>
      </c>
      <c r="N31" s="969">
        <v>149.28700000000001</v>
      </c>
      <c r="O31" s="970">
        <v>149.28700000000001</v>
      </c>
      <c r="P31" s="968">
        <v>135.71600000000001</v>
      </c>
      <c r="Q31" s="969">
        <v>135.71600000000001</v>
      </c>
      <c r="R31" s="969">
        <v>135.71600000000001</v>
      </c>
      <c r="S31" s="970">
        <v>135.71600000000001</v>
      </c>
      <c r="T31" s="968">
        <v>97.144999999999996</v>
      </c>
      <c r="U31" s="969">
        <v>97.144999999999996</v>
      </c>
      <c r="V31" s="969">
        <v>97.144999999999996</v>
      </c>
      <c r="W31" s="970">
        <v>97.144999999999996</v>
      </c>
      <c r="X31" s="968">
        <v>48.573999999999998</v>
      </c>
      <c r="Y31" s="969">
        <v>49.38</v>
      </c>
      <c r="Z31" s="969">
        <v>0.81100000000000005</v>
      </c>
      <c r="AA31" s="970">
        <v>0.81599999999999995</v>
      </c>
      <c r="AB31" s="968">
        <v>0.82099999999999995</v>
      </c>
      <c r="AC31" s="969">
        <v>0.82599999999999996</v>
      </c>
      <c r="AD31" s="969">
        <v>0.83099999999999996</v>
      </c>
      <c r="AE31" s="970">
        <v>0.83499999999999996</v>
      </c>
      <c r="AF31" s="968">
        <v>3.7</v>
      </c>
      <c r="AG31" s="969">
        <v>468.34399999999999</v>
      </c>
      <c r="AH31" s="1012">
        <f ca="1">Debt!I19</f>
        <v>471.79647525775704</v>
      </c>
      <c r="AI31" s="1013">
        <f ca="1">Debt!J19</f>
        <v>464.17899103752592</v>
      </c>
      <c r="AJ31" s="1014">
        <f ca="1">Debt!K19</f>
        <v>470.61066475344751</v>
      </c>
      <c r="AK31" s="1012">
        <f ca="1">Debt!L19</f>
        <v>473.95073496758249</v>
      </c>
      <c r="AL31" s="1012">
        <f ca="1">Debt!M19</f>
        <v>473.88702382672903</v>
      </c>
      <c r="AM31" s="1013">
        <f ca="1">Debt!N19</f>
        <v>483.16743188856663</v>
      </c>
      <c r="AN31" s="1014">
        <f ca="1">Debt!O19</f>
        <v>486.15146996524123</v>
      </c>
      <c r="AO31" s="1012">
        <f ca="1">Debt!P19</f>
        <v>485.73778923955933</v>
      </c>
      <c r="AP31" s="1012">
        <f ca="1">Debt!Q19</f>
        <v>481.64938399677425</v>
      </c>
      <c r="AQ31" s="1013">
        <f ca="1">Debt!R19</f>
        <v>487.20973728694088</v>
      </c>
    </row>
    <row r="32" spans="2:43" ht="13.5" customHeight="1">
      <c r="B32" s="954" t="s">
        <v>64</v>
      </c>
      <c r="C32" s="85">
        <f t="shared" si="28"/>
        <v>26.396000000000001</v>
      </c>
      <c r="D32" s="85">
        <f t="shared" si="29"/>
        <v>29.684999999999999</v>
      </c>
      <c r="E32" s="85">
        <f t="shared" si="30"/>
        <v>30.687999999999999</v>
      </c>
      <c r="F32" s="85">
        <f t="shared" si="31"/>
        <v>32.14</v>
      </c>
      <c r="G32" s="124">
        <f t="shared" si="32"/>
        <v>35.731000000000002</v>
      </c>
      <c r="H32" s="85">
        <f t="shared" si="33"/>
        <v>30.959553059999998</v>
      </c>
      <c r="I32" s="85">
        <f t="shared" si="34"/>
        <v>31.469170386599998</v>
      </c>
      <c r="J32" s="85">
        <f t="shared" si="35"/>
        <v>31.987336453712995</v>
      </c>
      <c r="K32" s="3"/>
      <c r="L32" s="971">
        <v>22.234999999999999</v>
      </c>
      <c r="M32" s="56">
        <v>24.428999999999998</v>
      </c>
      <c r="N32" s="56">
        <v>24.628</v>
      </c>
      <c r="O32" s="972">
        <v>26.396000000000001</v>
      </c>
      <c r="P32" s="971">
        <v>26.013000000000002</v>
      </c>
      <c r="Q32" s="56">
        <v>28.155999999999999</v>
      </c>
      <c r="R32" s="56">
        <v>28.155999999999999</v>
      </c>
      <c r="S32" s="972">
        <v>29.684999999999999</v>
      </c>
      <c r="T32" s="971">
        <v>30.63</v>
      </c>
      <c r="U32" s="56">
        <v>27.876999999999999</v>
      </c>
      <c r="V32" s="56">
        <v>28.443999999999999</v>
      </c>
      <c r="W32" s="972">
        <v>30.687999999999999</v>
      </c>
      <c r="X32" s="971">
        <v>30.59</v>
      </c>
      <c r="Y32" s="56">
        <v>31.491</v>
      </c>
      <c r="Z32" s="56">
        <v>28.315999999999999</v>
      </c>
      <c r="AA32" s="972">
        <v>32.14</v>
      </c>
      <c r="AB32" s="971">
        <v>36.302</v>
      </c>
      <c r="AC32" s="56">
        <v>35.883000000000003</v>
      </c>
      <c r="AD32" s="56">
        <v>36.133000000000003</v>
      </c>
      <c r="AE32" s="972">
        <v>35.731000000000002</v>
      </c>
      <c r="AF32" s="971">
        <v>40.737000000000002</v>
      </c>
      <c r="AG32" s="56">
        <v>39.726999999999997</v>
      </c>
      <c r="AH32" s="985">
        <f>WC!AH24*WC!AH$28</f>
        <v>32.264921520000001</v>
      </c>
      <c r="AI32" s="986">
        <f>WC!AI24*WC!AI$28</f>
        <v>30.959553059999998</v>
      </c>
      <c r="AJ32" s="995">
        <f>WC!AJ24*WC!AJ$28</f>
        <v>30.845037044999998</v>
      </c>
      <c r="AK32" s="985">
        <f>WC!AK24*WC!AK$28</f>
        <v>31.498086299999994</v>
      </c>
      <c r="AL32" s="985">
        <f>WC!AL24*WC!AL$28</f>
        <v>32.796147954600002</v>
      </c>
      <c r="AM32" s="986">
        <f>WC!AM24*WC!AM$28</f>
        <v>31.469170386599998</v>
      </c>
      <c r="AN32" s="995">
        <f>WC!AN24*WC!AN$28</f>
        <v>31.348592517674998</v>
      </c>
      <c r="AO32" s="985">
        <f>WC!AO24*WC!AO$28</f>
        <v>32.014254853499999</v>
      </c>
      <c r="AP32" s="985">
        <f>WC!AP24*WC!AP$28</f>
        <v>33.336287837954998</v>
      </c>
      <c r="AQ32" s="986">
        <f>WC!AQ24*WC!AQ$28</f>
        <v>31.987336453712995</v>
      </c>
    </row>
    <row r="33" spans="2:46" ht="13.5" customHeight="1">
      <c r="B33" s="954" t="s">
        <v>21</v>
      </c>
      <c r="C33" s="85">
        <f t="shared" si="28"/>
        <v>67.537999999999997</v>
      </c>
      <c r="D33" s="85">
        <f t="shared" si="29"/>
        <v>56.777000000000001</v>
      </c>
      <c r="E33" s="85">
        <f t="shared" si="30"/>
        <v>51.738999999999997</v>
      </c>
      <c r="F33" s="85">
        <f t="shared" si="31"/>
        <v>38.600999999999999</v>
      </c>
      <c r="G33" s="124">
        <f t="shared" si="32"/>
        <v>32.829000000000001</v>
      </c>
      <c r="H33" s="85">
        <f t="shared" si="33"/>
        <v>25.300279919999998</v>
      </c>
      <c r="I33" s="85">
        <f t="shared" si="34"/>
        <v>25.716741391199999</v>
      </c>
      <c r="J33" s="85">
        <f t="shared" si="35"/>
        <v>26.140188929915993</v>
      </c>
      <c r="K33" s="3"/>
      <c r="L33" s="971">
        <v>70.849999999999994</v>
      </c>
      <c r="M33" s="56">
        <v>70.816999999999993</v>
      </c>
      <c r="N33" s="56">
        <v>78.126000000000005</v>
      </c>
      <c r="O33" s="972">
        <v>67.537999999999997</v>
      </c>
      <c r="P33" s="971">
        <v>67.447000000000003</v>
      </c>
      <c r="Q33" s="56">
        <v>67.447000000000003</v>
      </c>
      <c r="R33" s="56">
        <v>67.784234999999981</v>
      </c>
      <c r="S33" s="972">
        <v>56.777000000000001</v>
      </c>
      <c r="T33" s="971">
        <v>56.777000000000001</v>
      </c>
      <c r="U33" s="56">
        <v>56.777000000000001</v>
      </c>
      <c r="V33" s="56">
        <v>56.777000000000001</v>
      </c>
      <c r="W33" s="972">
        <v>51.738999999999997</v>
      </c>
      <c r="X33" s="971">
        <v>51.738999999999997</v>
      </c>
      <c r="Y33" s="56">
        <v>51.738999999999997</v>
      </c>
      <c r="Z33" s="56">
        <v>90.784000000000006</v>
      </c>
      <c r="AA33" s="972">
        <v>38.600999999999999</v>
      </c>
      <c r="AB33" s="971">
        <v>41.872999999999998</v>
      </c>
      <c r="AC33" s="56">
        <v>38.600999999999999</v>
      </c>
      <c r="AD33" s="56">
        <v>42.156999999999996</v>
      </c>
      <c r="AE33" s="972">
        <v>32.829000000000001</v>
      </c>
      <c r="AF33" s="971">
        <v>32.829000000000001</v>
      </c>
      <c r="AG33" s="56">
        <v>32.829000000000001</v>
      </c>
      <c r="AH33" s="985">
        <f>WC!AH25*WC!AH$28</f>
        <v>26.367032639999998</v>
      </c>
      <c r="AI33" s="986">
        <f>WC!AI25*WC!AI$28</f>
        <v>25.300279919999998</v>
      </c>
      <c r="AJ33" s="995">
        <f>WC!AJ25*WC!AJ$28</f>
        <v>25.206696939999997</v>
      </c>
      <c r="AK33" s="985">
        <f>WC!AK25*WC!AK$28</f>
        <v>25.740371599999996</v>
      </c>
      <c r="AL33" s="985">
        <f>WC!AL25*WC!AL$28</f>
        <v>26.801153167200003</v>
      </c>
      <c r="AM33" s="986">
        <f>WC!AM25*WC!AM$28</f>
        <v>25.716741391199999</v>
      </c>
      <c r="AN33" s="995">
        <f>WC!AN25*WC!AN$28</f>
        <v>25.618204638099996</v>
      </c>
      <c r="AO33" s="985">
        <f>WC!AO25*WC!AO$28</f>
        <v>26.162186761999997</v>
      </c>
      <c r="AP33" s="985">
        <f>WC!AP25*WC!AP$28</f>
        <v>27.242557803059999</v>
      </c>
      <c r="AQ33" s="986">
        <f>WC!AQ25*WC!AQ$28</f>
        <v>26.140188929915993</v>
      </c>
    </row>
    <row r="34" spans="2:46" ht="13.5" customHeight="1">
      <c r="B34" s="954" t="s">
        <v>65</v>
      </c>
      <c r="C34" s="85">
        <f t="shared" si="28"/>
        <v>24.273</v>
      </c>
      <c r="D34" s="85">
        <f t="shared" si="29"/>
        <v>24.478000000000002</v>
      </c>
      <c r="E34" s="85">
        <f t="shared" si="30"/>
        <v>25.097000000000001</v>
      </c>
      <c r="F34" s="85">
        <f t="shared" si="31"/>
        <v>6.391</v>
      </c>
      <c r="G34" s="124">
        <f t="shared" si="32"/>
        <v>6.5339999999999998</v>
      </c>
      <c r="H34" s="85">
        <f t="shared" si="33"/>
        <v>4.9934762999999993</v>
      </c>
      <c r="I34" s="85">
        <f t="shared" si="34"/>
        <v>5.0756726429999999</v>
      </c>
      <c r="J34" s="85">
        <f t="shared" si="35"/>
        <v>5.1592478151149992</v>
      </c>
      <c r="K34" s="3"/>
      <c r="L34" s="971">
        <v>23.870999999999999</v>
      </c>
      <c r="M34" s="56">
        <v>24.07</v>
      </c>
      <c r="N34" s="56">
        <v>24.19</v>
      </c>
      <c r="O34" s="972">
        <v>24.273</v>
      </c>
      <c r="P34" s="971">
        <v>24.34</v>
      </c>
      <c r="Q34" s="56">
        <v>24.405999999999999</v>
      </c>
      <c r="R34" s="56">
        <v>24.905999999999999</v>
      </c>
      <c r="S34" s="972">
        <v>24.478000000000002</v>
      </c>
      <c r="T34" s="971">
        <v>24.47</v>
      </c>
      <c r="U34" s="56">
        <v>24.460999999999999</v>
      </c>
      <c r="V34" s="56">
        <v>24.459</v>
      </c>
      <c r="W34" s="972">
        <v>25.097000000000001</v>
      </c>
      <c r="X34" s="971">
        <v>25.373000000000001</v>
      </c>
      <c r="Y34" s="56">
        <v>26.731999999999999</v>
      </c>
      <c r="Z34" s="56">
        <v>6.1790000000000003</v>
      </c>
      <c r="AA34" s="972">
        <v>6.391</v>
      </c>
      <c r="AB34" s="971">
        <v>6.3310000000000004</v>
      </c>
      <c r="AC34" s="56">
        <v>6.4560000000000004</v>
      </c>
      <c r="AD34" s="56">
        <v>6.3179999999999996</v>
      </c>
      <c r="AE34" s="972">
        <v>6.5339999999999998</v>
      </c>
      <c r="AF34" s="971">
        <v>6.5220000000000002</v>
      </c>
      <c r="AG34" s="56">
        <v>6.56</v>
      </c>
      <c r="AH34" s="985">
        <f>WC!AH26*WC!AH$28</f>
        <v>5.2040195999999996</v>
      </c>
      <c r="AI34" s="986">
        <f>WC!AI26*WC!AI$28</f>
        <v>4.9934762999999993</v>
      </c>
      <c r="AJ34" s="995">
        <f>WC!AJ26*WC!AJ$28</f>
        <v>4.9750059749999993</v>
      </c>
      <c r="AK34" s="985">
        <f>WC!AK26*WC!AK$28</f>
        <v>5.0803364999999987</v>
      </c>
      <c r="AL34" s="985">
        <f>WC!AL26*WC!AL$28</f>
        <v>5.2897012830000003</v>
      </c>
      <c r="AM34" s="986">
        <f>WC!AM26*WC!AM$28</f>
        <v>5.0756726429999999</v>
      </c>
      <c r="AN34" s="995">
        <f>WC!AN26*WC!AN$28</f>
        <v>5.0562245996249997</v>
      </c>
      <c r="AO34" s="985">
        <f>WC!AO26*WC!AO$28</f>
        <v>5.163589492499999</v>
      </c>
      <c r="AP34" s="985">
        <f>WC!AP26*WC!AP$28</f>
        <v>5.3768206190249996</v>
      </c>
      <c r="AQ34" s="986">
        <f>WC!AQ26*WC!AQ$28</f>
        <v>5.1592478151149992</v>
      </c>
    </row>
    <row r="35" spans="2:46" ht="13.5" customHeight="1">
      <c r="B35" s="954" t="s">
        <v>1</v>
      </c>
      <c r="C35" s="85">
        <f t="shared" si="28"/>
        <v>10.050000000000001</v>
      </c>
      <c r="D35" s="85">
        <f t="shared" si="29"/>
        <v>12.443</v>
      </c>
      <c r="E35" s="85">
        <f t="shared" si="30"/>
        <v>9.6329999999999991</v>
      </c>
      <c r="F35" s="85">
        <f t="shared" si="31"/>
        <v>9.4429999999999996</v>
      </c>
      <c r="G35" s="124">
        <f t="shared" si="32"/>
        <v>4.9589999999999996</v>
      </c>
      <c r="H35" s="85">
        <f t="shared" si="33"/>
        <v>3.6618826199999996</v>
      </c>
      <c r="I35" s="85">
        <f t="shared" si="34"/>
        <v>3.7221599381999995</v>
      </c>
      <c r="J35" s="85">
        <f t="shared" si="35"/>
        <v>3.7834483977509992</v>
      </c>
      <c r="K35" s="3"/>
      <c r="L35" s="971">
        <v>12.503</v>
      </c>
      <c r="M35" s="56">
        <v>12.945</v>
      </c>
      <c r="N35" s="56">
        <v>13.367000000000001</v>
      </c>
      <c r="O35" s="972">
        <v>10.050000000000001</v>
      </c>
      <c r="P35" s="971">
        <v>10.318</v>
      </c>
      <c r="Q35" s="56">
        <v>10.585000000000001</v>
      </c>
      <c r="R35" s="56">
        <v>0</v>
      </c>
      <c r="S35" s="972">
        <v>12.443</v>
      </c>
      <c r="T35" s="971">
        <v>12.446</v>
      </c>
      <c r="U35" s="56">
        <v>12.747999999999999</v>
      </c>
      <c r="V35" s="56">
        <v>11.019</v>
      </c>
      <c r="W35" s="972">
        <v>9.6329999999999991</v>
      </c>
      <c r="X35" s="971">
        <v>11.497999999999999</v>
      </c>
      <c r="Y35" s="56">
        <v>11.648999999999999</v>
      </c>
      <c r="Z35" s="56">
        <v>10.85</v>
      </c>
      <c r="AA35" s="972">
        <v>9.4429999999999996</v>
      </c>
      <c r="AB35" s="971">
        <v>9.8249999999999993</v>
      </c>
      <c r="AC35" s="56">
        <v>9.5150000000000006</v>
      </c>
      <c r="AD35" s="56">
        <v>9.6039999999999992</v>
      </c>
      <c r="AE35" s="972">
        <v>4.9589999999999996</v>
      </c>
      <c r="AF35" s="971">
        <v>4.8559999999999999</v>
      </c>
      <c r="AG35" s="56">
        <v>4.8949999999999996</v>
      </c>
      <c r="AH35" s="985">
        <f>WC!AH27*WC!AH$28</f>
        <v>3.8162810399999998</v>
      </c>
      <c r="AI35" s="986">
        <f>WC!AI27*WC!AI$28</f>
        <v>3.6618826199999996</v>
      </c>
      <c r="AJ35" s="995">
        <f>WC!AJ27*WC!AJ$28</f>
        <v>3.6483377149999994</v>
      </c>
      <c r="AK35" s="985">
        <f>WC!AK27*WC!AK$28</f>
        <v>3.7255800999999993</v>
      </c>
      <c r="AL35" s="985">
        <f>WC!AL27*WC!AL$28</f>
        <v>3.8791142742</v>
      </c>
      <c r="AM35" s="986">
        <f>WC!AM27*WC!AM$28</f>
        <v>3.7221599381999995</v>
      </c>
      <c r="AN35" s="995">
        <f>WC!AN27*WC!AN$28</f>
        <v>3.7078980397249994</v>
      </c>
      <c r="AO35" s="985">
        <f>WC!AO27*WC!AO$28</f>
        <v>3.7866322944999995</v>
      </c>
      <c r="AP35" s="985">
        <f>WC!AP27*WC!AP$28</f>
        <v>3.9430017872849996</v>
      </c>
      <c r="AQ35" s="986">
        <f>WC!AQ27*WC!AQ$28</f>
        <v>3.7834483977509992</v>
      </c>
    </row>
    <row r="36" spans="2:46" ht="13.5" customHeight="1">
      <c r="B36" s="758" t="s">
        <v>16</v>
      </c>
      <c r="C36" s="99">
        <f t="shared" ref="C36:J36" si="36">SUM(C31:C35)+C30</f>
        <v>471.00000000000006</v>
      </c>
      <c r="D36" s="99">
        <f t="shared" si="36"/>
        <v>430.21099999999996</v>
      </c>
      <c r="E36" s="99">
        <f t="shared" si="36"/>
        <v>409.19100000000003</v>
      </c>
      <c r="F36" s="99">
        <f t="shared" si="36"/>
        <v>428.27500000000003</v>
      </c>
      <c r="G36" s="123">
        <f t="shared" si="36"/>
        <v>682.72800000000007</v>
      </c>
      <c r="H36" s="99">
        <f t="shared" ca="1" si="36"/>
        <v>662.26114277085924</v>
      </c>
      <c r="I36" s="99">
        <f t="shared" ca="1" si="36"/>
        <v>684.87014365283324</v>
      </c>
      <c r="J36" s="99">
        <f t="shared" ca="1" si="36"/>
        <v>691.28576779572018</v>
      </c>
      <c r="K36" s="13"/>
      <c r="L36" s="1017">
        <f t="shared" ref="L36:AQ36" si="37">SUM(L31:L35)+L30</f>
        <v>536.89800000000002</v>
      </c>
      <c r="M36" s="1015">
        <f t="shared" si="37"/>
        <v>515.14699999999993</v>
      </c>
      <c r="N36" s="1015">
        <f t="shared" si="37"/>
        <v>508.58300000000008</v>
      </c>
      <c r="O36" s="1016">
        <f t="shared" si="37"/>
        <v>471</v>
      </c>
      <c r="P36" s="1017">
        <f t="shared" si="37"/>
        <v>451.88300000000004</v>
      </c>
      <c r="Q36" s="1015">
        <f t="shared" si="37"/>
        <v>448.28300000000002</v>
      </c>
      <c r="R36" s="1015">
        <f t="shared" si="37"/>
        <v>438.35633073703912</v>
      </c>
      <c r="S36" s="1016">
        <f t="shared" si="37"/>
        <v>430.21100000000001</v>
      </c>
      <c r="T36" s="1017">
        <f t="shared" si="37"/>
        <v>400.56</v>
      </c>
      <c r="U36" s="1015">
        <f t="shared" si="37"/>
        <v>399.11199999999997</v>
      </c>
      <c r="V36" s="1015">
        <f t="shared" si="37"/>
        <v>415.03100000000001</v>
      </c>
      <c r="W36" s="1016">
        <f t="shared" si="37"/>
        <v>409.19100000000003</v>
      </c>
      <c r="X36" s="1017">
        <f t="shared" si="37"/>
        <v>387.62599999999998</v>
      </c>
      <c r="Y36" s="1015">
        <f t="shared" si="37"/>
        <v>467.07500000000005</v>
      </c>
      <c r="Z36" s="1015">
        <f t="shared" si="37"/>
        <v>509.64100000000002</v>
      </c>
      <c r="AA36" s="1016">
        <f t="shared" si="37"/>
        <v>428.27500000000003</v>
      </c>
      <c r="AB36" s="1017">
        <f t="shared" si="37"/>
        <v>447.78299999999996</v>
      </c>
      <c r="AC36" s="1015">
        <f t="shared" si="37"/>
        <v>550.60599999999999</v>
      </c>
      <c r="AD36" s="1015">
        <f t="shared" si="37"/>
        <v>606.85799999999995</v>
      </c>
      <c r="AE36" s="1016">
        <f t="shared" si="37"/>
        <v>682.72800000000007</v>
      </c>
      <c r="AF36" s="1017">
        <f t="shared" si="37"/>
        <v>680.67399999999998</v>
      </c>
      <c r="AG36" s="1015">
        <f t="shared" si="37"/>
        <v>692.00599999999986</v>
      </c>
      <c r="AH36" s="1015">
        <f t="shared" ca="1" si="37"/>
        <v>678.2321962444239</v>
      </c>
      <c r="AI36" s="1016">
        <f t="shared" ca="1" si="37"/>
        <v>662.26114277085924</v>
      </c>
      <c r="AJ36" s="1017">
        <f t="shared" ca="1" si="37"/>
        <v>667.70579740900314</v>
      </c>
      <c r="AK36" s="1015">
        <f t="shared" ca="1" si="37"/>
        <v>675.48731967869367</v>
      </c>
      <c r="AL36" s="1015">
        <f t="shared" ca="1" si="37"/>
        <v>684.09577997046244</v>
      </c>
      <c r="AM36" s="1016">
        <f t="shared" ca="1" si="37"/>
        <v>684.87014365283324</v>
      </c>
      <c r="AN36" s="1017">
        <f t="shared" ca="1" si="37"/>
        <v>685.54546099846903</v>
      </c>
      <c r="AO36" s="1015">
        <f t="shared" ca="1" si="37"/>
        <v>689.63423958811495</v>
      </c>
      <c r="AP36" s="1015">
        <f t="shared" ca="1" si="37"/>
        <v>694.33231977610694</v>
      </c>
      <c r="AQ36" s="1016">
        <f t="shared" ca="1" si="37"/>
        <v>691.28576779572018</v>
      </c>
    </row>
    <row r="37" spans="2:46" s="13" customFormat="1" ht="13.5" customHeight="1">
      <c r="B37" s="758" t="s">
        <v>66</v>
      </c>
      <c r="C37" s="99">
        <f>O37</f>
        <v>638.15700000000004</v>
      </c>
      <c r="D37" s="99">
        <f>S37</f>
        <v>664.11</v>
      </c>
      <c r="E37" s="99">
        <f>W37</f>
        <v>656.58600000000001</v>
      </c>
      <c r="F37" s="99">
        <f>AA37</f>
        <v>591.72</v>
      </c>
      <c r="G37" s="123">
        <f>AE37</f>
        <v>385.58800000000002</v>
      </c>
      <c r="H37" s="99">
        <f ca="1">AI37</f>
        <v>377.3573657491408</v>
      </c>
      <c r="I37" s="99">
        <f ca="1">AM37</f>
        <v>369.2048738430334</v>
      </c>
      <c r="J37" s="99">
        <f ca="1">AQ37</f>
        <v>374.68100636728582</v>
      </c>
      <c r="L37" s="1018">
        <v>614.74</v>
      </c>
      <c r="M37" s="1019">
        <v>627.42600000000004</v>
      </c>
      <c r="N37" s="1019">
        <v>625.73599999999999</v>
      </c>
      <c r="O37" s="1020">
        <v>638.15700000000004</v>
      </c>
      <c r="P37" s="1018">
        <v>643.06700000000001</v>
      </c>
      <c r="Q37" s="1019">
        <v>638.72199999999998</v>
      </c>
      <c r="R37" s="1019">
        <v>654.18799999999999</v>
      </c>
      <c r="S37" s="1020">
        <v>664.11</v>
      </c>
      <c r="T37" s="1018">
        <v>680.71</v>
      </c>
      <c r="U37" s="1019">
        <v>661.65700000000004</v>
      </c>
      <c r="V37" s="1019">
        <v>658.27200000000005</v>
      </c>
      <c r="W37" s="1020">
        <v>656.58600000000001</v>
      </c>
      <c r="X37" s="1018">
        <v>638.96</v>
      </c>
      <c r="Y37" s="1019">
        <v>644.41499999999996</v>
      </c>
      <c r="Z37" s="1019">
        <v>575.05899999999997</v>
      </c>
      <c r="AA37" s="1020">
        <v>591.72</v>
      </c>
      <c r="AB37" s="1018">
        <v>575.74099999999999</v>
      </c>
      <c r="AC37" s="1019">
        <v>524.97900000000004</v>
      </c>
      <c r="AD37" s="1019">
        <v>485.69200000000001</v>
      </c>
      <c r="AE37" s="1020">
        <v>385.58800000000002</v>
      </c>
      <c r="AF37" s="1018">
        <v>374.07900000000001</v>
      </c>
      <c r="AG37" s="1019">
        <v>374.03500000000003</v>
      </c>
      <c r="AH37" s="1021">
        <f ca="1">Equity!I11</f>
        <v>376.00173246224296</v>
      </c>
      <c r="AI37" s="1022">
        <f ca="1">Equity!J11</f>
        <v>377.3573657491408</v>
      </c>
      <c r="AJ37" s="1023">
        <f ca="1">Equity!K11</f>
        <v>374.83406980321922</v>
      </c>
      <c r="AK37" s="1021">
        <f ca="1">Equity!L11</f>
        <v>372.6814174157509</v>
      </c>
      <c r="AL37" s="1021">
        <f ca="1">Equity!M11</f>
        <v>371.20388175807102</v>
      </c>
      <c r="AM37" s="1022">
        <f ca="1">Equity!N11</f>
        <v>369.2048738430334</v>
      </c>
      <c r="AN37" s="1023">
        <f ca="1">Equity!O11</f>
        <v>369.92017993788102</v>
      </c>
      <c r="AO37" s="1021">
        <f ca="1">Equity!P11</f>
        <v>371.1342905626351</v>
      </c>
      <c r="AP37" s="1021">
        <f ca="1">Equity!Q11</f>
        <v>373.24796252347312</v>
      </c>
      <c r="AQ37" s="1022">
        <f ca="1">Equity!R11</f>
        <v>374.68100636728582</v>
      </c>
    </row>
    <row r="38" spans="2:46" s="13" customFormat="1" ht="13.5" customHeight="1">
      <c r="B38" s="758" t="s">
        <v>67</v>
      </c>
      <c r="C38" s="99">
        <f t="shared" ref="C38:J38" si="38">C37+(SUM(C31:C35)+C30)</f>
        <v>1109.1570000000002</v>
      </c>
      <c r="D38" s="99">
        <f t="shared" si="38"/>
        <v>1094.3209999999999</v>
      </c>
      <c r="E38" s="99">
        <f t="shared" si="38"/>
        <v>1065.777</v>
      </c>
      <c r="F38" s="99">
        <f t="shared" si="38"/>
        <v>1019.9950000000001</v>
      </c>
      <c r="G38" s="123">
        <f t="shared" si="38"/>
        <v>1068.316</v>
      </c>
      <c r="H38" s="99">
        <f t="shared" ca="1" si="38"/>
        <v>1039.61850852</v>
      </c>
      <c r="I38" s="99">
        <f t="shared" ca="1" si="38"/>
        <v>1054.0750174958666</v>
      </c>
      <c r="J38" s="99">
        <f t="shared" ca="1" si="38"/>
        <v>1065.966774163006</v>
      </c>
      <c r="L38" s="1009">
        <f t="shared" ref="L38:AQ38" si="39">L37+L36</f>
        <v>1151.6379999999999</v>
      </c>
      <c r="M38" s="1010">
        <f t="shared" si="39"/>
        <v>1142.5729999999999</v>
      </c>
      <c r="N38" s="1010">
        <f t="shared" si="39"/>
        <v>1134.319</v>
      </c>
      <c r="O38" s="1011">
        <f t="shared" si="39"/>
        <v>1109.1570000000002</v>
      </c>
      <c r="P38" s="1009">
        <f t="shared" si="39"/>
        <v>1094.95</v>
      </c>
      <c r="Q38" s="1010">
        <f t="shared" si="39"/>
        <v>1087.0050000000001</v>
      </c>
      <c r="R38" s="1010">
        <f t="shared" si="39"/>
        <v>1092.5443307370392</v>
      </c>
      <c r="S38" s="1011">
        <f t="shared" si="39"/>
        <v>1094.3209999999999</v>
      </c>
      <c r="T38" s="1009">
        <f t="shared" si="39"/>
        <v>1081.27</v>
      </c>
      <c r="U38" s="1010">
        <f t="shared" si="39"/>
        <v>1060.769</v>
      </c>
      <c r="V38" s="1010">
        <f t="shared" si="39"/>
        <v>1073.3030000000001</v>
      </c>
      <c r="W38" s="1011">
        <f t="shared" si="39"/>
        <v>1065.777</v>
      </c>
      <c r="X38" s="1009">
        <f t="shared" si="39"/>
        <v>1026.586</v>
      </c>
      <c r="Y38" s="1010">
        <f t="shared" si="39"/>
        <v>1111.49</v>
      </c>
      <c r="Z38" s="1010">
        <f t="shared" si="39"/>
        <v>1084.7</v>
      </c>
      <c r="AA38" s="1011">
        <f t="shared" si="39"/>
        <v>1019.9950000000001</v>
      </c>
      <c r="AB38" s="1009">
        <f t="shared" si="39"/>
        <v>1023.5239999999999</v>
      </c>
      <c r="AC38" s="1010">
        <f t="shared" si="39"/>
        <v>1075.585</v>
      </c>
      <c r="AD38" s="1010">
        <f t="shared" si="39"/>
        <v>1092.55</v>
      </c>
      <c r="AE38" s="1011">
        <f t="shared" si="39"/>
        <v>1068.316</v>
      </c>
      <c r="AF38" s="1009">
        <f t="shared" si="39"/>
        <v>1054.7529999999999</v>
      </c>
      <c r="AG38" s="1010">
        <f t="shared" si="39"/>
        <v>1066.0409999999999</v>
      </c>
      <c r="AH38" s="1010">
        <f t="shared" ca="1" si="39"/>
        <v>1054.2339287066668</v>
      </c>
      <c r="AI38" s="1011">
        <f t="shared" ca="1" si="39"/>
        <v>1039.61850852</v>
      </c>
      <c r="AJ38" s="1009">
        <f t="shared" ca="1" si="39"/>
        <v>1042.5398672122224</v>
      </c>
      <c r="AK38" s="1010">
        <f t="shared" ca="1" si="39"/>
        <v>1048.1687370944446</v>
      </c>
      <c r="AL38" s="1010">
        <f t="shared" ca="1" si="39"/>
        <v>1055.2996617285335</v>
      </c>
      <c r="AM38" s="1011">
        <f t="shared" ca="1" si="39"/>
        <v>1054.0750174958666</v>
      </c>
      <c r="AN38" s="1009">
        <f t="shared" ca="1" si="39"/>
        <v>1055.4656409363502</v>
      </c>
      <c r="AO38" s="1010">
        <f t="shared" ca="1" si="39"/>
        <v>1060.7685301507499</v>
      </c>
      <c r="AP38" s="1010">
        <f t="shared" ca="1" si="39"/>
        <v>1067.5802822995802</v>
      </c>
      <c r="AQ38" s="1011">
        <f t="shared" ca="1" si="39"/>
        <v>1065.966774163006</v>
      </c>
    </row>
    <row r="39" spans="2:46" s="13" customFormat="1" ht="13.5" customHeight="1">
      <c r="B39" s="758"/>
      <c r="C39" s="99"/>
      <c r="D39" s="99"/>
      <c r="E39" s="99"/>
      <c r="F39" s="99"/>
      <c r="G39" s="123"/>
      <c r="H39" s="99"/>
      <c r="I39" s="99"/>
      <c r="J39" s="99"/>
      <c r="L39" s="975"/>
      <c r="M39" s="67"/>
      <c r="N39" s="67"/>
      <c r="O39" s="976"/>
      <c r="P39" s="975"/>
      <c r="Q39" s="67"/>
      <c r="R39" s="67"/>
      <c r="S39" s="976"/>
      <c r="T39" s="975"/>
      <c r="U39" s="67"/>
      <c r="V39" s="67"/>
      <c r="W39" s="976"/>
      <c r="X39" s="975"/>
      <c r="Y39" s="67"/>
      <c r="Z39" s="67"/>
      <c r="AA39" s="976"/>
      <c r="AB39" s="975"/>
      <c r="AC39" s="67"/>
      <c r="AD39" s="67"/>
      <c r="AE39" s="976"/>
      <c r="AF39" s="975"/>
      <c r="AG39" s="67"/>
      <c r="AH39" s="67"/>
      <c r="AI39" s="976"/>
      <c r="AJ39" s="975"/>
      <c r="AK39" s="67"/>
      <c r="AL39" s="67"/>
      <c r="AM39" s="976"/>
      <c r="AN39" s="975"/>
      <c r="AO39" s="67"/>
      <c r="AP39" s="67"/>
      <c r="AQ39" s="976"/>
    </row>
    <row r="40" spans="2:46" ht="13.5" customHeight="1">
      <c r="B40" s="955" t="s">
        <v>15</v>
      </c>
      <c r="C40" s="956">
        <f>O40</f>
        <v>190.19200000000001</v>
      </c>
      <c r="D40" s="956">
        <f>S40</f>
        <v>149.28700000000001</v>
      </c>
      <c r="E40" s="956">
        <f>W40</f>
        <v>135.71600000000001</v>
      </c>
      <c r="F40" s="956">
        <f>AA40</f>
        <v>202.249</v>
      </c>
      <c r="G40" s="957">
        <f>AE40</f>
        <v>459.733</v>
      </c>
      <c r="H40" s="956">
        <f ca="1">AI40</f>
        <v>464.5789910375259</v>
      </c>
      <c r="I40" s="956">
        <f ca="1">AM40</f>
        <v>483.5674318885666</v>
      </c>
      <c r="J40" s="958">
        <f ca="1">AQ40</f>
        <v>487.60973728694086</v>
      </c>
      <c r="K40" s="3"/>
      <c r="L40" s="968">
        <v>270.096</v>
      </c>
      <c r="M40" s="969">
        <v>240.19200000000001</v>
      </c>
      <c r="N40" s="969">
        <v>200.946</v>
      </c>
      <c r="O40" s="970">
        <v>190.19200000000001</v>
      </c>
      <c r="P40" s="968">
        <v>181.28700000000001</v>
      </c>
      <c r="Q40" s="969">
        <v>172.28700000000001</v>
      </c>
      <c r="R40" s="969">
        <v>172.28700000000001</v>
      </c>
      <c r="S40" s="970">
        <v>149.28700000000001</v>
      </c>
      <c r="T40" s="968">
        <v>135.71600000000001</v>
      </c>
      <c r="U40" s="969">
        <v>135.71600000000001</v>
      </c>
      <c r="V40" s="969">
        <v>135.71600000000001</v>
      </c>
      <c r="W40" s="970">
        <v>135.71600000000001</v>
      </c>
      <c r="X40" s="968">
        <v>125.989</v>
      </c>
      <c r="Y40" s="969">
        <v>197.71</v>
      </c>
      <c r="Z40" s="969">
        <v>238.88399999999999</v>
      </c>
      <c r="AA40" s="970">
        <v>202.249</v>
      </c>
      <c r="AB40" s="968">
        <v>215.49799999999999</v>
      </c>
      <c r="AC40" s="969">
        <v>319.053</v>
      </c>
      <c r="AD40" s="969">
        <v>373.66</v>
      </c>
      <c r="AE40" s="970">
        <v>459.733</v>
      </c>
      <c r="AF40" s="968">
        <v>462.60899999999998</v>
      </c>
      <c r="AG40" s="969">
        <v>468.71300000000002</v>
      </c>
      <c r="AH40" s="956">
        <f t="shared" ref="AH40:AQ40" ca="1" si="40">AH31+AH22+AH21</f>
        <v>472.19647525775702</v>
      </c>
      <c r="AI40" s="958">
        <f t="shared" ca="1" si="40"/>
        <v>464.5789910375259</v>
      </c>
      <c r="AJ40" s="1024">
        <f t="shared" ca="1" si="40"/>
        <v>471.01066475344749</v>
      </c>
      <c r="AK40" s="956">
        <f t="shared" ca="1" si="40"/>
        <v>474.35073496758247</v>
      </c>
      <c r="AL40" s="956">
        <f t="shared" ca="1" si="40"/>
        <v>474.28702382672901</v>
      </c>
      <c r="AM40" s="958">
        <f t="shared" ca="1" si="40"/>
        <v>483.5674318885666</v>
      </c>
      <c r="AN40" s="1024">
        <f t="shared" ca="1" si="40"/>
        <v>486.55146996524121</v>
      </c>
      <c r="AO40" s="956">
        <f t="shared" ca="1" si="40"/>
        <v>486.13778923955931</v>
      </c>
      <c r="AP40" s="956">
        <f t="shared" ca="1" si="40"/>
        <v>482.04938399677422</v>
      </c>
      <c r="AQ40" s="958">
        <f t="shared" ca="1" si="40"/>
        <v>487.60973728694086</v>
      </c>
    </row>
    <row r="41" spans="2:46" ht="13.5" customHeight="1">
      <c r="B41" s="959" t="s">
        <v>26</v>
      </c>
      <c r="C41" s="85">
        <f>O41</f>
        <v>172.38900000000001</v>
      </c>
      <c r="D41" s="85">
        <f>S41</f>
        <v>91.557000000000002</v>
      </c>
      <c r="E41" s="85">
        <f>W41</f>
        <v>99.77</v>
      </c>
      <c r="F41" s="85">
        <f>AA41</f>
        <v>193.239</v>
      </c>
      <c r="G41" s="124">
        <f>AE41</f>
        <v>451.90699999999998</v>
      </c>
      <c r="H41" s="85">
        <f ca="1">AI41</f>
        <v>459.5789910375259</v>
      </c>
      <c r="I41" s="85">
        <f ca="1">AM41</f>
        <v>478.5674318885666</v>
      </c>
      <c r="J41" s="881">
        <f ca="1">AQ41</f>
        <v>482.60973728694086</v>
      </c>
      <c r="K41" s="3"/>
      <c r="L41" s="971">
        <v>248.19399999999999</v>
      </c>
      <c r="M41" s="56">
        <v>228.69399999999999</v>
      </c>
      <c r="N41" s="56">
        <v>181.16399999999999</v>
      </c>
      <c r="O41" s="972">
        <v>172.38900000000001</v>
      </c>
      <c r="P41" s="971">
        <v>169.822</v>
      </c>
      <c r="Q41" s="56">
        <v>154.83500000000001</v>
      </c>
      <c r="R41" s="56">
        <v>134.71748110360147</v>
      </c>
      <c r="S41" s="972">
        <v>91.557000000000002</v>
      </c>
      <c r="T41" s="971">
        <v>75.778999999999996</v>
      </c>
      <c r="U41" s="56">
        <v>97.484999999999999</v>
      </c>
      <c r="V41" s="56">
        <v>87.772999999999996</v>
      </c>
      <c r="W41" s="972">
        <v>99.77</v>
      </c>
      <c r="X41" s="971">
        <v>124.863</v>
      </c>
      <c r="Y41" s="56">
        <v>192.89</v>
      </c>
      <c r="Z41" s="56">
        <v>234.45099999999999</v>
      </c>
      <c r="AA41" s="972">
        <v>193.239</v>
      </c>
      <c r="AB41" s="971">
        <v>209.399</v>
      </c>
      <c r="AC41" s="56">
        <v>314.11900000000003</v>
      </c>
      <c r="AD41" s="56">
        <v>368.25099999999998</v>
      </c>
      <c r="AE41" s="972">
        <v>451.90699999999998</v>
      </c>
      <c r="AF41" s="971">
        <v>458.98399999999998</v>
      </c>
      <c r="AG41" s="56">
        <v>464.976</v>
      </c>
      <c r="AH41" s="85">
        <f t="shared" ref="AH41:AQ41" ca="1" si="41">AH40-AH8</f>
        <v>467.19647525775702</v>
      </c>
      <c r="AI41" s="881">
        <f t="shared" ca="1" si="41"/>
        <v>459.5789910375259</v>
      </c>
      <c r="AJ41" s="1001">
        <f t="shared" ca="1" si="41"/>
        <v>466.01066475344749</v>
      </c>
      <c r="AK41" s="85">
        <f t="shared" ca="1" si="41"/>
        <v>469.35073496758247</v>
      </c>
      <c r="AL41" s="85">
        <f t="shared" ca="1" si="41"/>
        <v>469.28702382672901</v>
      </c>
      <c r="AM41" s="881">
        <f t="shared" ca="1" si="41"/>
        <v>478.5674318885666</v>
      </c>
      <c r="AN41" s="1001">
        <f t="shared" ca="1" si="41"/>
        <v>481.55146996524121</v>
      </c>
      <c r="AO41" s="85">
        <f t="shared" ca="1" si="41"/>
        <v>481.13778923955931</v>
      </c>
      <c r="AP41" s="85">
        <f t="shared" ca="1" si="41"/>
        <v>477.04938399677422</v>
      </c>
      <c r="AQ41" s="881">
        <f t="shared" ca="1" si="41"/>
        <v>482.60973728694086</v>
      </c>
    </row>
    <row r="42" spans="2:46" s="102" customFormat="1" ht="13.5" customHeight="1">
      <c r="B42" s="959" t="s">
        <v>28</v>
      </c>
      <c r="C42" s="85">
        <f>O42</f>
        <v>828.34900000000005</v>
      </c>
      <c r="D42" s="85">
        <f>S42</f>
        <v>813.39700000000005</v>
      </c>
      <c r="E42" s="85">
        <f>W42</f>
        <v>792.30200000000002</v>
      </c>
      <c r="F42" s="85">
        <f>AA42</f>
        <v>793.96900000000005</v>
      </c>
      <c r="G42" s="124">
        <f>AE42</f>
        <v>845.32100000000003</v>
      </c>
      <c r="H42" s="85">
        <f ca="1">AI42</f>
        <v>841.93635678666669</v>
      </c>
      <c r="I42" s="85">
        <f ca="1">AM42</f>
        <v>852.7723057316</v>
      </c>
      <c r="J42" s="881">
        <f ca="1">AQ42</f>
        <v>862.29074365422662</v>
      </c>
      <c r="L42" s="971">
        <v>884.83600000000001</v>
      </c>
      <c r="M42" s="56">
        <v>867.61800000000005</v>
      </c>
      <c r="N42" s="56">
        <v>826.68200000000002</v>
      </c>
      <c r="O42" s="972">
        <v>828.34900000000005</v>
      </c>
      <c r="P42" s="971">
        <v>824.35400000000004</v>
      </c>
      <c r="Q42" s="56">
        <v>811.00900000000001</v>
      </c>
      <c r="R42" s="56">
        <v>826.47500000000002</v>
      </c>
      <c r="S42" s="972">
        <v>813.39700000000005</v>
      </c>
      <c r="T42" s="971">
        <v>816.42600000000004</v>
      </c>
      <c r="U42" s="56">
        <v>797.37300000000005</v>
      </c>
      <c r="V42" s="56">
        <v>793.98800000000006</v>
      </c>
      <c r="W42" s="972">
        <v>792.30200000000002</v>
      </c>
      <c r="X42" s="971">
        <v>764.94899999999996</v>
      </c>
      <c r="Y42" s="56">
        <v>842.125</v>
      </c>
      <c r="Z42" s="56">
        <v>813.94299999999998</v>
      </c>
      <c r="AA42" s="972">
        <v>793.96900000000005</v>
      </c>
      <c r="AB42" s="971">
        <v>791.23900000000003</v>
      </c>
      <c r="AC42" s="56">
        <v>844.03200000000004</v>
      </c>
      <c r="AD42" s="56">
        <v>859.35199999999998</v>
      </c>
      <c r="AE42" s="972">
        <v>845.32100000000003</v>
      </c>
      <c r="AF42" s="971">
        <v>836.68799999999999</v>
      </c>
      <c r="AG42" s="56">
        <v>842.74800000000005</v>
      </c>
      <c r="AH42" s="85">
        <f t="shared" ref="AH42:AQ42" ca="1" si="42">AH40+AH37</f>
        <v>848.19820772000003</v>
      </c>
      <c r="AI42" s="881">
        <f t="shared" ca="1" si="42"/>
        <v>841.93635678666669</v>
      </c>
      <c r="AJ42" s="1001">
        <f t="shared" ca="1" si="42"/>
        <v>845.84473455666671</v>
      </c>
      <c r="AK42" s="85">
        <f t="shared" ca="1" si="42"/>
        <v>847.03215238333337</v>
      </c>
      <c r="AL42" s="85">
        <f t="shared" ca="1" si="42"/>
        <v>845.49090558479998</v>
      </c>
      <c r="AM42" s="881">
        <f t="shared" ca="1" si="42"/>
        <v>852.7723057316</v>
      </c>
      <c r="AN42" s="1001">
        <f t="shared" ca="1" si="42"/>
        <v>856.47164990312217</v>
      </c>
      <c r="AO42" s="85">
        <f t="shared" ca="1" si="42"/>
        <v>857.27207980219441</v>
      </c>
      <c r="AP42" s="85">
        <f t="shared" ca="1" si="42"/>
        <v>855.2973465202474</v>
      </c>
      <c r="AQ42" s="881">
        <f t="shared" ca="1" si="42"/>
        <v>862.29074365422662</v>
      </c>
    </row>
    <row r="43" spans="2:46" s="66" customFormat="1" ht="13.5" customHeight="1">
      <c r="B43" s="960" t="s">
        <v>68</v>
      </c>
      <c r="C43" s="103">
        <f>O43</f>
        <v>0.22960370568443977</v>
      </c>
      <c r="D43" s="103">
        <f>S43</f>
        <v>0.18353522326735899</v>
      </c>
      <c r="E43" s="103">
        <f>W43</f>
        <v>0.17129326948562543</v>
      </c>
      <c r="F43" s="103">
        <f>AA43</f>
        <v>0.25473160790912491</v>
      </c>
      <c r="G43" s="126">
        <f>AE43</f>
        <v>0.5438561209292091</v>
      </c>
      <c r="H43" s="103">
        <f ca="1">AI43</f>
        <v>0.55179822951302104</v>
      </c>
      <c r="I43" s="103">
        <f ca="1">AM43</f>
        <v>0.56705339589295212</v>
      </c>
      <c r="J43" s="390">
        <f ca="1">AQ43</f>
        <v>0.5654818179081248</v>
      </c>
      <c r="L43" s="380">
        <f t="shared" ref="L43:AG43" si="43">L40/L42</f>
        <v>0.30524978640109579</v>
      </c>
      <c r="M43" s="103">
        <f t="shared" si="43"/>
        <v>0.27684072944544719</v>
      </c>
      <c r="N43" s="103">
        <f t="shared" si="43"/>
        <v>0.24307533005436188</v>
      </c>
      <c r="O43" s="390">
        <f t="shared" si="43"/>
        <v>0.22960370568443977</v>
      </c>
      <c r="P43" s="380">
        <f t="shared" si="43"/>
        <v>0.21991401752159873</v>
      </c>
      <c r="Q43" s="103">
        <f t="shared" si="43"/>
        <v>0.21243537371348531</v>
      </c>
      <c r="R43" s="103">
        <f t="shared" si="43"/>
        <v>0.20846002601409602</v>
      </c>
      <c r="S43" s="390">
        <f t="shared" si="43"/>
        <v>0.18353522326735899</v>
      </c>
      <c r="T43" s="380">
        <f t="shared" si="43"/>
        <v>0.16623184464972943</v>
      </c>
      <c r="U43" s="103">
        <f t="shared" si="43"/>
        <v>0.17020390707987354</v>
      </c>
      <c r="V43" s="103">
        <f t="shared" si="43"/>
        <v>0.17092953545897419</v>
      </c>
      <c r="W43" s="390">
        <f t="shared" si="43"/>
        <v>0.17129326948562543</v>
      </c>
      <c r="X43" s="380">
        <f t="shared" si="43"/>
        <v>0.16470248343353611</v>
      </c>
      <c r="Y43" s="103">
        <f t="shared" si="43"/>
        <v>0.23477512245806739</v>
      </c>
      <c r="Z43" s="103">
        <f t="shared" si="43"/>
        <v>0.29348983896906783</v>
      </c>
      <c r="AA43" s="390">
        <f t="shared" si="43"/>
        <v>0.25473160790912491</v>
      </c>
      <c r="AB43" s="380">
        <f t="shared" si="43"/>
        <v>0.27235512910764004</v>
      </c>
      <c r="AC43" s="103">
        <f t="shared" si="43"/>
        <v>0.37801054936305728</v>
      </c>
      <c r="AD43" s="103">
        <f t="shared" si="43"/>
        <v>0.43481600089369671</v>
      </c>
      <c r="AE43" s="390">
        <f t="shared" si="43"/>
        <v>0.5438561209292091</v>
      </c>
      <c r="AF43" s="380">
        <f t="shared" si="43"/>
        <v>0.55290502552922949</v>
      </c>
      <c r="AG43" s="103">
        <f t="shared" si="43"/>
        <v>0.5561721890766872</v>
      </c>
      <c r="AH43" s="103">
        <f ca="1">AH40/AH42</f>
        <v>0.55670534429334062</v>
      </c>
      <c r="AI43" s="390">
        <f t="shared" ref="AI43:AQ43" ca="1" si="44">AI40/AI42</f>
        <v>0.55179822951302104</v>
      </c>
      <c r="AJ43" s="380">
        <f t="shared" ca="1" si="44"/>
        <v>0.55685239324722957</v>
      </c>
      <c r="AK43" s="103">
        <f t="shared" ca="1" si="44"/>
        <v>0.5600150285120582</v>
      </c>
      <c r="AL43" s="103">
        <f t="shared" ca="1" si="44"/>
        <v>0.56096052682988862</v>
      </c>
      <c r="AM43" s="390">
        <f t="shared" ca="1" si="44"/>
        <v>0.56705339589295212</v>
      </c>
      <c r="AN43" s="380">
        <f t="shared" ca="1" si="44"/>
        <v>0.56808823738681413</v>
      </c>
      <c r="AO43" s="103">
        <f t="shared" ca="1" si="44"/>
        <v>0.56707526197718927</v>
      </c>
      <c r="AP43" s="103">
        <f t="shared" ca="1" si="44"/>
        <v>0.56360444231234696</v>
      </c>
      <c r="AQ43" s="390">
        <f t="shared" ca="1" si="44"/>
        <v>0.5654818179081248</v>
      </c>
      <c r="AR43" s="90"/>
      <c r="AS43" s="90"/>
      <c r="AT43" s="90"/>
    </row>
    <row r="44" spans="2:46" ht="13.5" customHeight="1">
      <c r="B44" s="961" t="s">
        <v>69</v>
      </c>
      <c r="C44" s="106">
        <f>O44</f>
        <v>1</v>
      </c>
      <c r="D44" s="106">
        <f>S44</f>
        <v>0.82193824740678756</v>
      </c>
      <c r="E44" s="106">
        <f>W44</f>
        <v>0.68756301073525639</v>
      </c>
      <c r="F44" s="106">
        <f>AA44</f>
        <v>0.95981276951491945</v>
      </c>
      <c r="G44" s="127">
        <f>AE44</f>
        <v>3.5879871465314208</v>
      </c>
      <c r="H44" s="106">
        <f ca="1">AI44</f>
        <v>3.2911242091181987</v>
      </c>
      <c r="I44" s="106">
        <f ca="1">AM44</f>
        <v>2.870914340802512</v>
      </c>
      <c r="J44" s="962">
        <f ca="1">AQ44</f>
        <v>2.5397746788605375</v>
      </c>
      <c r="K44" s="3"/>
      <c r="L44" s="977">
        <v>1</v>
      </c>
      <c r="M44" s="978">
        <v>1</v>
      </c>
      <c r="N44" s="978">
        <v>1</v>
      </c>
      <c r="O44" s="979">
        <v>1</v>
      </c>
      <c r="P44" s="984">
        <f>P40/SUM(IS!M25:P25)</f>
        <v>0.95513242677934496</v>
      </c>
      <c r="Q44" s="106">
        <f>Q40/SUM(IS!N25:Q25)</f>
        <v>0.91028546973323377</v>
      </c>
      <c r="R44" s="106">
        <f>R40/SUM(IS!O25:R25)</f>
        <v>0.93006445622483014</v>
      </c>
      <c r="S44" s="962">
        <f>S40/SUM(IS!P25:S25)</f>
        <v>0.82193824740678756</v>
      </c>
      <c r="T44" s="984">
        <f>T40/SUM(IS!Q25:T25)</f>
        <v>0.72621614824406988</v>
      </c>
      <c r="U44" s="106">
        <f>U40/SUM(IS!R25:U25)</f>
        <v>0.72425128610156497</v>
      </c>
      <c r="V44" s="106">
        <f>V40/SUM(IS!S25:V25)</f>
        <v>0.697381402614487</v>
      </c>
      <c r="W44" s="962">
        <f>W40/SUM(IS!T25:W25)</f>
        <v>0.68756301073525639</v>
      </c>
      <c r="X44" s="984">
        <f>X40/SUM(IS!U25:X25)</f>
        <v>0.66166870611466799</v>
      </c>
      <c r="Y44" s="106">
        <f>Y40/SUM(IS!V25:Y25)</f>
        <v>1.0421230138682918</v>
      </c>
      <c r="Z44" s="106">
        <f>Z40/SUM(IS!W25:Z25)</f>
        <v>1.0177530463687154</v>
      </c>
      <c r="AA44" s="962">
        <f>AA40/SUM(IS!X25:AA25)</f>
        <v>0.95981276951491945</v>
      </c>
      <c r="AB44" s="984">
        <f>AB40/SUM(IS!Y25:AB25)</f>
        <v>1.0555404495947631</v>
      </c>
      <c r="AC44" s="106">
        <f>AC40/SUM(IS!Z25:AC25)</f>
        <v>1.668614628448901</v>
      </c>
      <c r="AD44" s="106">
        <f>AD40/SUM(IS!AA25:AD25)</f>
        <v>2.9263000875787286</v>
      </c>
      <c r="AE44" s="962">
        <f>AE40/SUM(IS!AB25:AE25)</f>
        <v>3.5879871465314208</v>
      </c>
      <c r="AF44" s="984">
        <f>AF40/SUM(IS!AC25:AF25)</f>
        <v>4.0345313230827609</v>
      </c>
      <c r="AG44" s="106">
        <f>AG40/SUM(IS!AD25:AG25)</f>
        <v>4.1107420920290423</v>
      </c>
      <c r="AH44" s="106">
        <f ca="1">AH40/SUM(IS!AE25:AH25)</f>
        <v>3.7583806912263338</v>
      </c>
      <c r="AI44" s="962">
        <f ca="1">AI40/SUM(IS!AF25:AI25)</f>
        <v>3.2911242091181987</v>
      </c>
      <c r="AJ44" s="984">
        <f ca="1">AJ40/SUM(IS!AG25:AJ25)</f>
        <v>2.944383316460276</v>
      </c>
      <c r="AK44" s="106">
        <f ca="1">AK40/SUM(IS!AH25:AK25)</f>
        <v>2.7715459252664436</v>
      </c>
      <c r="AL44" s="106">
        <f ca="1">AL40/SUM(IS!AI25:AL25)</f>
        <v>2.7937109414373462</v>
      </c>
      <c r="AM44" s="962">
        <f ca="1">AM40/SUM(IS!AJ25:AM25)</f>
        <v>2.870914340802512</v>
      </c>
      <c r="AN44" s="984">
        <f ca="1">AN40/SUM(IS!AK25:AN25)</f>
        <v>2.7945888720143204</v>
      </c>
      <c r="AO44" s="106">
        <f ca="1">AO40/SUM(IS!AL25:AO25)</f>
        <v>2.7016149971284582</v>
      </c>
      <c r="AP44" s="106">
        <f ca="1">AP40/SUM(IS!AM25:AP25)</f>
        <v>2.5903776505549212</v>
      </c>
      <c r="AQ44" s="962">
        <f ca="1">AQ40/SUM(IS!AN25:AQ25)</f>
        <v>2.5397746788605375</v>
      </c>
    </row>
    <row r="45" spans="2:46" s="139" customFormat="1" ht="13.5" customHeight="1">
      <c r="B45" s="963" t="s">
        <v>22</v>
      </c>
      <c r="C45" s="104">
        <f t="shared" ref="C45:J45" si="45">(C15-C8)-C30</f>
        <v>-134.33500000000004</v>
      </c>
      <c r="D45" s="104">
        <f t="shared" si="45"/>
        <v>-109.23699999999997</v>
      </c>
      <c r="E45" s="104">
        <f t="shared" si="45"/>
        <v>-127.18800000000002</v>
      </c>
      <c r="F45" s="104">
        <f t="shared" si="45"/>
        <v>-202.214</v>
      </c>
      <c r="G45" s="120">
        <f t="shared" si="45"/>
        <v>-491.36900000000003</v>
      </c>
      <c r="H45" s="104">
        <f t="shared" ca="1" si="45"/>
        <v>-23.161419913333333</v>
      </c>
      <c r="I45" s="104">
        <f t="shared" ca="1" si="45"/>
        <v>-23.655009771399989</v>
      </c>
      <c r="J45" s="623">
        <f t="shared" ca="1" si="45"/>
        <v>-24.037972644708304</v>
      </c>
      <c r="L45" s="980">
        <f t="shared" ref="L45:AQ45" si="46">L15-L8-L30</f>
        <v>-166.59100000000001</v>
      </c>
      <c r="M45" s="138">
        <f t="shared" si="46"/>
        <v>-162.69999999999999</v>
      </c>
      <c r="N45" s="138">
        <f t="shared" si="46"/>
        <v>-155.08800000000002</v>
      </c>
      <c r="O45" s="621">
        <f t="shared" si="46"/>
        <v>-134.33499999999998</v>
      </c>
      <c r="P45" s="980">
        <f t="shared" si="46"/>
        <v>-124.41900000000001</v>
      </c>
      <c r="Q45" s="138">
        <f t="shared" si="46"/>
        <v>-111.89700000000001</v>
      </c>
      <c r="R45" s="138">
        <f t="shared" si="46"/>
        <v>-117.49817609475008</v>
      </c>
      <c r="S45" s="621">
        <f t="shared" si="46"/>
        <v>-109.23699999999999</v>
      </c>
      <c r="T45" s="980">
        <f t="shared" si="46"/>
        <v>-119.86900000000001</v>
      </c>
      <c r="U45" s="138">
        <f t="shared" si="46"/>
        <v>-106.358</v>
      </c>
      <c r="V45" s="138">
        <f t="shared" si="46"/>
        <v>-131.08199999999999</v>
      </c>
      <c r="W45" s="621">
        <f t="shared" si="46"/>
        <v>-127.188</v>
      </c>
      <c r="X45" s="980">
        <f t="shared" si="46"/>
        <v>-149.15899999999999</v>
      </c>
      <c r="Y45" s="138">
        <f t="shared" si="46"/>
        <v>-202.185</v>
      </c>
      <c r="Z45" s="138">
        <f t="shared" si="46"/>
        <v>-116.87900000000002</v>
      </c>
      <c r="AA45" s="621">
        <f t="shared" si="46"/>
        <v>-202.214</v>
      </c>
      <c r="AB45" s="980">
        <f t="shared" si="46"/>
        <v>-228.86699999999996</v>
      </c>
      <c r="AC45" s="138">
        <f t="shared" si="46"/>
        <v>-319.67999999999995</v>
      </c>
      <c r="AD45" s="138">
        <f t="shared" si="46"/>
        <v>-369.50900000000001</v>
      </c>
      <c r="AE45" s="621">
        <f t="shared" si="46"/>
        <v>-491.36900000000003</v>
      </c>
      <c r="AF45" s="980">
        <f t="shared" si="46"/>
        <v>-487.58399999999995</v>
      </c>
      <c r="AG45" s="138">
        <f t="shared" si="46"/>
        <v>-26.498000000000005</v>
      </c>
      <c r="AH45" s="138">
        <f t="shared" ca="1" si="46"/>
        <v>-24.342063679999981</v>
      </c>
      <c r="AI45" s="621">
        <f t="shared" ca="1" si="46"/>
        <v>-23.161419913333333</v>
      </c>
      <c r="AJ45" s="980">
        <f t="shared" ca="1" si="46"/>
        <v>-23.034737818333312</v>
      </c>
      <c r="AK45" s="138">
        <f t="shared" ca="1" si="46"/>
        <v>-23.649238166666663</v>
      </c>
      <c r="AL45" s="138">
        <f t="shared" ca="1" si="46"/>
        <v>-24.856487940200012</v>
      </c>
      <c r="AM45" s="621">
        <f t="shared" ca="1" si="46"/>
        <v>-23.655009771399989</v>
      </c>
      <c r="AN45" s="980">
        <f t="shared" ca="1" si="46"/>
        <v>-23.406216885502772</v>
      </c>
      <c r="AO45" s="138">
        <f t="shared" ca="1" si="46"/>
        <v>-24.030333454055565</v>
      </c>
      <c r="AP45" s="138">
        <f t="shared" ca="1" si="46"/>
        <v>-25.255710699887658</v>
      </c>
      <c r="AQ45" s="621">
        <f t="shared" ca="1" si="46"/>
        <v>-24.037972644708304</v>
      </c>
      <c r="AR45" s="136"/>
      <c r="AS45" s="136"/>
      <c r="AT45" s="136"/>
    </row>
    <row r="46" spans="2:46" s="139" customFormat="1" ht="13.5" customHeight="1">
      <c r="B46" s="963" t="s">
        <v>70</v>
      </c>
      <c r="C46" s="104">
        <f>O46</f>
        <v>20.753000000000043</v>
      </c>
      <c r="D46" s="104">
        <f t="shared" ref="D46:J46" si="47">D45-C45</f>
        <v>25.09800000000007</v>
      </c>
      <c r="E46" s="104">
        <f t="shared" si="47"/>
        <v>-17.95100000000005</v>
      </c>
      <c r="F46" s="104">
        <f t="shared" si="47"/>
        <v>-75.025999999999982</v>
      </c>
      <c r="G46" s="120">
        <f t="shared" si="47"/>
        <v>-289.15500000000003</v>
      </c>
      <c r="H46" s="104">
        <f t="shared" ca="1" si="47"/>
        <v>468.20758008666667</v>
      </c>
      <c r="I46" s="104">
        <f t="shared" ca="1" si="47"/>
        <v>-0.49358985806665601</v>
      </c>
      <c r="J46" s="623">
        <f t="shared" ca="1" si="47"/>
        <v>-0.38296287330831547</v>
      </c>
      <c r="L46" s="980">
        <v>12.56</v>
      </c>
      <c r="M46" s="138">
        <v>3.891</v>
      </c>
      <c r="N46" s="138">
        <f>N45-M45</f>
        <v>7.6119999999999663</v>
      </c>
      <c r="O46" s="621">
        <f t="shared" ref="O46:AQ46" si="48">O45-N45</f>
        <v>20.753000000000043</v>
      </c>
      <c r="P46" s="980">
        <f t="shared" si="48"/>
        <v>9.9159999999999684</v>
      </c>
      <c r="Q46" s="138">
        <f t="shared" si="48"/>
        <v>12.522000000000006</v>
      </c>
      <c r="R46" s="138">
        <f t="shared" si="48"/>
        <v>-5.6011760947500733</v>
      </c>
      <c r="S46" s="621">
        <f t="shared" si="48"/>
        <v>8.2611760947500841</v>
      </c>
      <c r="T46" s="980">
        <f t="shared" si="48"/>
        <v>-10.632000000000019</v>
      </c>
      <c r="U46" s="138">
        <f t="shared" si="48"/>
        <v>13.51100000000001</v>
      </c>
      <c r="V46" s="138">
        <f t="shared" si="48"/>
        <v>-24.72399999999999</v>
      </c>
      <c r="W46" s="621">
        <f t="shared" si="48"/>
        <v>3.8939999999999912</v>
      </c>
      <c r="X46" s="980">
        <f t="shared" si="48"/>
        <v>-21.970999999999989</v>
      </c>
      <c r="Y46" s="138">
        <f t="shared" si="48"/>
        <v>-53.02600000000001</v>
      </c>
      <c r="Z46" s="138">
        <f t="shared" si="48"/>
        <v>85.305999999999983</v>
      </c>
      <c r="AA46" s="621">
        <f t="shared" si="48"/>
        <v>-85.33499999999998</v>
      </c>
      <c r="AB46" s="980">
        <f t="shared" si="48"/>
        <v>-26.652999999999963</v>
      </c>
      <c r="AC46" s="138">
        <f t="shared" si="48"/>
        <v>-90.812999999999988</v>
      </c>
      <c r="AD46" s="138">
        <f t="shared" si="48"/>
        <v>-49.829000000000065</v>
      </c>
      <c r="AE46" s="621">
        <f t="shared" si="48"/>
        <v>-121.86000000000001</v>
      </c>
      <c r="AF46" s="980">
        <f t="shared" si="48"/>
        <v>3.7850000000000819</v>
      </c>
      <c r="AG46" s="138">
        <f t="shared" si="48"/>
        <v>461.08599999999996</v>
      </c>
      <c r="AH46" s="138">
        <f t="shared" ca="1" si="48"/>
        <v>2.1559363200000234</v>
      </c>
      <c r="AI46" s="621">
        <f t="shared" ca="1" si="48"/>
        <v>1.1806437666666483</v>
      </c>
      <c r="AJ46" s="980">
        <f t="shared" ca="1" si="48"/>
        <v>0.12668209500002092</v>
      </c>
      <c r="AK46" s="138">
        <f t="shared" ca="1" si="48"/>
        <v>-0.6145003483333511</v>
      </c>
      <c r="AL46" s="138">
        <f t="shared" ca="1" si="48"/>
        <v>-1.2072497735333485</v>
      </c>
      <c r="AM46" s="621">
        <f t="shared" ca="1" si="48"/>
        <v>1.2014781688000227</v>
      </c>
      <c r="AN46" s="980">
        <f t="shared" ca="1" si="48"/>
        <v>0.24879288589721682</v>
      </c>
      <c r="AO46" s="138">
        <f t="shared" ca="1" si="48"/>
        <v>-0.62411656855279318</v>
      </c>
      <c r="AP46" s="138">
        <f t="shared" ca="1" si="48"/>
        <v>-1.2253772458320924</v>
      </c>
      <c r="AQ46" s="621">
        <f t="shared" ca="1" si="48"/>
        <v>1.2177380551793533</v>
      </c>
      <c r="AR46" s="136"/>
      <c r="AS46" s="136"/>
      <c r="AT46" s="136"/>
    </row>
    <row r="47" spans="2:46" ht="13.5" customHeight="1">
      <c r="B47" s="964" t="s">
        <v>71</v>
      </c>
      <c r="C47" s="965">
        <f>O47</f>
        <v>22.656956521739144</v>
      </c>
      <c r="D47" s="965">
        <f>S47</f>
        <v>23.462506047411694</v>
      </c>
      <c r="E47" s="965">
        <f>W47</f>
        <v>26.860136196961758</v>
      </c>
      <c r="F47" s="965">
        <f>AA47</f>
        <v>54.012041584158467</v>
      </c>
      <c r="G47" s="966">
        <f>AE47</f>
        <v>23.997402597402587</v>
      </c>
      <c r="H47" s="965">
        <f ca="1">AI47</f>
        <v>14.851007668315219</v>
      </c>
      <c r="I47" s="965">
        <f ca="1">AM47</f>
        <v>14.320842290061387</v>
      </c>
      <c r="J47" s="967">
        <f ca="1">AQ47</f>
        <v>16.217284458396822</v>
      </c>
      <c r="K47" s="3"/>
      <c r="L47" s="1025">
        <f>IS!L25/IS!L26</f>
        <v>16.205839416058438</v>
      </c>
      <c r="M47" s="965">
        <f>IS!M25/IS!M26</f>
        <v>17.750492707922735</v>
      </c>
      <c r="N47" s="965">
        <f>IS!N25/IS!N26</f>
        <v>19.383512544802866</v>
      </c>
      <c r="O47" s="967">
        <f>IS!O25/IS!O26</f>
        <v>22.656956521739144</v>
      </c>
      <c r="P47" s="1026">
        <f>IS!P25/IS!P26</f>
        <v>17.608887109687743</v>
      </c>
      <c r="Q47" s="1027">
        <f>IS!Q25/IS!Q26</f>
        <v>20.18920145190566</v>
      </c>
      <c r="R47" s="1027">
        <f>IS!R25/IS!R26</f>
        <v>21.280743565300259</v>
      </c>
      <c r="S47" s="1028">
        <f>IS!S25/IS!S26</f>
        <v>23.462506047411694</v>
      </c>
      <c r="T47" s="1026">
        <f>IS!T25/IS!T26</f>
        <v>23.325438180956887</v>
      </c>
      <c r="U47" s="1027">
        <f>IS!U25/IS!U26</f>
        <v>22.672040302267011</v>
      </c>
      <c r="V47" s="1027">
        <f>IS!V25/IS!V26</f>
        <v>27.603512506652425</v>
      </c>
      <c r="W47" s="1028">
        <f>IS!W25/IS!W26</f>
        <v>26.860136196961758</v>
      </c>
      <c r="X47" s="1026">
        <f>IS!X25/IS!X26</f>
        <v>20.55642023346304</v>
      </c>
      <c r="Y47" s="1027">
        <f>IS!Y25/IS!Y26</f>
        <v>30.082474949083469</v>
      </c>
      <c r="Z47" s="1027">
        <f>IS!Z25/IS!Z26</f>
        <v>13.000345134881222</v>
      </c>
      <c r="AA47" s="1028">
        <f>IS!AA25/IS!AA26</f>
        <v>54.012041584158467</v>
      </c>
      <c r="AB47" s="1026">
        <f>IS!AB25/IS!AB26</f>
        <v>70.564789525691722</v>
      </c>
      <c r="AC47" s="1027">
        <f>IS!AC25/IS!AC26</f>
        <v>56.101760286225314</v>
      </c>
      <c r="AD47" s="1027">
        <f>IS!AD25/IS!AD26</f>
        <v>25.770869397217922</v>
      </c>
      <c r="AE47" s="1028">
        <f>IS!AE25/IS!AE26</f>
        <v>23.997402597402587</v>
      </c>
      <c r="AF47" s="1026">
        <f>IS!AF25/IS!AF26</f>
        <v>13.760519801980209</v>
      </c>
      <c r="AG47" s="1027">
        <f>IS!AG25/IS!AG26</f>
        <v>13.944620971402644</v>
      </c>
      <c r="AH47" s="1027">
        <f ca="1">IS!AH25/IS!AH26</f>
        <v>15.513491781855471</v>
      </c>
      <c r="AI47" s="1028">
        <f ca="1">IS!AI25/IS!AI26</f>
        <v>14.851007668315219</v>
      </c>
      <c r="AJ47" s="1026">
        <f ca="1">IS!AJ25/IS!AJ26</f>
        <v>14.174214986056624</v>
      </c>
      <c r="AK47" s="1027">
        <f ca="1">IS!AK25/IS!AK26</f>
        <v>14.381670881862279</v>
      </c>
      <c r="AL47" s="1027">
        <f ca="1">IS!AL25/IS!AL26</f>
        <v>14.91658569499646</v>
      </c>
      <c r="AM47" s="1028">
        <f ca="1">IS!AM25/IS!AM26</f>
        <v>14.320842290061387</v>
      </c>
      <c r="AN47" s="1026">
        <f ca="1">IS!AN25/IS!AN26</f>
        <v>15.829626471344117</v>
      </c>
      <c r="AO47" s="1027">
        <f ca="1">IS!AO25/IS!AO26</f>
        <v>16.13779066910152</v>
      </c>
      <c r="AP47" s="1027">
        <f ca="1">IS!AP25/IS!AP26</f>
        <v>16.82898656059163</v>
      </c>
      <c r="AQ47" s="1028">
        <f ca="1">IS!AQ25/IS!AQ26</f>
        <v>16.217284458396822</v>
      </c>
      <c r="AR47" s="78"/>
      <c r="AS47" s="78"/>
    </row>
    <row r="48" spans="2:46" s="4" customFormat="1" ht="13.5" customHeight="1">
      <c r="B48" s="78"/>
      <c r="C48" s="78"/>
      <c r="D48" s="78"/>
      <c r="E48" s="78"/>
      <c r="F48" s="78"/>
      <c r="G48" s="78"/>
      <c r="H48" s="78"/>
      <c r="I48" s="78"/>
      <c r="J48" s="78"/>
      <c r="L48" s="376"/>
      <c r="M48" s="78"/>
      <c r="N48" s="78"/>
      <c r="O48" s="385"/>
      <c r="P48" s="376"/>
      <c r="Q48" s="78"/>
      <c r="R48" s="78"/>
      <c r="S48" s="385"/>
      <c r="T48" s="376"/>
      <c r="U48" s="78"/>
      <c r="V48" s="78"/>
      <c r="W48" s="385"/>
      <c r="X48" s="376"/>
      <c r="Y48" s="78"/>
      <c r="Z48" s="78"/>
      <c r="AA48" s="385"/>
      <c r="AB48" s="376"/>
      <c r="AC48" s="78"/>
      <c r="AD48" s="78"/>
      <c r="AE48" s="385"/>
      <c r="AF48" s="376"/>
      <c r="AG48" s="78"/>
      <c r="AH48" s="78"/>
      <c r="AI48" s="385"/>
      <c r="AJ48" s="376"/>
      <c r="AK48" s="78"/>
      <c r="AL48" s="78"/>
      <c r="AM48" s="385"/>
      <c r="AN48" s="376"/>
      <c r="AO48" s="78"/>
      <c r="AP48" s="78"/>
      <c r="AQ48" s="385"/>
      <c r="AR48" s="78"/>
      <c r="AS48" s="78"/>
      <c r="AT48" s="78"/>
    </row>
    <row r="49" spans="2:46" s="61" customFormat="1" ht="13.5" customHeight="1">
      <c r="B49" s="981" t="s">
        <v>330</v>
      </c>
      <c r="C49" s="982">
        <f t="shared" ref="C49:J49" si="49">C19-C38</f>
        <v>0</v>
      </c>
      <c r="D49" s="982">
        <f t="shared" si="49"/>
        <v>0</v>
      </c>
      <c r="E49" s="982">
        <f t="shared" si="49"/>
        <v>0</v>
      </c>
      <c r="F49" s="982">
        <f t="shared" si="49"/>
        <v>0</v>
      </c>
      <c r="G49" s="982">
        <f t="shared" si="49"/>
        <v>0</v>
      </c>
      <c r="H49" s="982">
        <f t="shared" ca="1" si="49"/>
        <v>-2.9999999999290594E-3</v>
      </c>
      <c r="I49" s="982">
        <f t="shared" ca="1" si="49"/>
        <v>-2.9999999999290594E-3</v>
      </c>
      <c r="J49" s="983">
        <f t="shared" ca="1" si="49"/>
        <v>-3.0000000001564331E-3</v>
      </c>
      <c r="L49" s="981">
        <f t="shared" ref="L49:AQ49" si="50">L19-L38</f>
        <v>0</v>
      </c>
      <c r="M49" s="982">
        <f t="shared" si="50"/>
        <v>0</v>
      </c>
      <c r="N49" s="982">
        <f t="shared" si="50"/>
        <v>0</v>
      </c>
      <c r="O49" s="983">
        <f t="shared" si="50"/>
        <v>0</v>
      </c>
      <c r="P49" s="981">
        <f t="shared" si="50"/>
        <v>0</v>
      </c>
      <c r="Q49" s="982">
        <f t="shared" si="50"/>
        <v>0</v>
      </c>
      <c r="R49" s="982">
        <f t="shared" si="50"/>
        <v>0</v>
      </c>
      <c r="S49" s="983">
        <f t="shared" si="50"/>
        <v>0</v>
      </c>
      <c r="T49" s="981">
        <f t="shared" si="50"/>
        <v>0</v>
      </c>
      <c r="U49" s="982">
        <f t="shared" si="50"/>
        <v>0</v>
      </c>
      <c r="V49" s="982">
        <f t="shared" si="50"/>
        <v>0</v>
      </c>
      <c r="W49" s="983">
        <f t="shared" si="50"/>
        <v>0</v>
      </c>
      <c r="X49" s="981">
        <f t="shared" si="50"/>
        <v>0</v>
      </c>
      <c r="Y49" s="982">
        <f t="shared" si="50"/>
        <v>0</v>
      </c>
      <c r="Z49" s="982">
        <f t="shared" si="50"/>
        <v>0</v>
      </c>
      <c r="AA49" s="983">
        <f t="shared" si="50"/>
        <v>0</v>
      </c>
      <c r="AB49" s="981">
        <f t="shared" si="50"/>
        <v>0</v>
      </c>
      <c r="AC49" s="982">
        <f t="shared" si="50"/>
        <v>0.18000000000006366</v>
      </c>
      <c r="AD49" s="982">
        <f t="shared" si="50"/>
        <v>0</v>
      </c>
      <c r="AE49" s="983">
        <f t="shared" si="50"/>
        <v>0</v>
      </c>
      <c r="AF49" s="981">
        <f t="shared" si="50"/>
        <v>-0.29599999999982174</v>
      </c>
      <c r="AG49" s="982">
        <f t="shared" si="50"/>
        <v>-1.4999999999872671E-2</v>
      </c>
      <c r="AH49" s="982">
        <f t="shared" ca="1" si="50"/>
        <v>-3.0000000001564331E-3</v>
      </c>
      <c r="AI49" s="983">
        <f t="shared" ca="1" si="50"/>
        <v>-2.9999999999290594E-3</v>
      </c>
      <c r="AJ49" s="981">
        <f t="shared" ca="1" si="50"/>
        <v>-3.0000000001564331E-3</v>
      </c>
      <c r="AK49" s="982">
        <f t="shared" ca="1" si="50"/>
        <v>-3.0000000001564331E-3</v>
      </c>
      <c r="AL49" s="982">
        <f t="shared" ca="1" si="50"/>
        <v>-3.0000000001564331E-3</v>
      </c>
      <c r="AM49" s="983">
        <f t="shared" ca="1" si="50"/>
        <v>-2.9999999999290594E-3</v>
      </c>
      <c r="AN49" s="981">
        <f t="shared" ca="1" si="50"/>
        <v>-3.0000000001564331E-3</v>
      </c>
      <c r="AO49" s="982">
        <f t="shared" ca="1" si="50"/>
        <v>-2.9999999999290594E-3</v>
      </c>
      <c r="AP49" s="982">
        <f t="shared" ca="1" si="50"/>
        <v>-3.0000000001564331E-3</v>
      </c>
      <c r="AQ49" s="983">
        <f t="shared" ca="1" si="50"/>
        <v>-3.0000000001564331E-3</v>
      </c>
      <c r="AR49" s="60"/>
      <c r="AS49" s="60"/>
      <c r="AT49" s="60"/>
    </row>
    <row r="50" spans="2:46" ht="13.5" customHeight="1">
      <c r="B50" s="10"/>
      <c r="C50" s="10"/>
      <c r="D50" s="10"/>
      <c r="E50" s="10"/>
      <c r="F50" s="10"/>
      <c r="G50" s="10"/>
      <c r="H50" s="10"/>
      <c r="I50" s="10"/>
      <c r="J50" s="10"/>
      <c r="K50" s="3"/>
      <c r="AH50" s="759"/>
    </row>
    <row r="51" spans="2:46" ht="13.5" customHeight="1">
      <c r="B51" s="10"/>
      <c r="C51" s="10"/>
      <c r="D51" s="10"/>
      <c r="E51" s="10"/>
      <c r="F51" s="10"/>
      <c r="G51" s="10"/>
      <c r="H51" s="10"/>
      <c r="I51" s="10"/>
      <c r="J51" s="10"/>
      <c r="K51" s="3"/>
    </row>
    <row r="52" spans="2:46" ht="13.5" customHeight="1">
      <c r="B52" s="10"/>
      <c r="C52" s="10"/>
      <c r="D52" s="10"/>
      <c r="E52" s="10"/>
      <c r="F52" s="10"/>
      <c r="G52" s="10"/>
      <c r="H52" s="10"/>
      <c r="I52" s="10"/>
      <c r="J52" s="10"/>
      <c r="K52" s="3"/>
    </row>
    <row r="53" spans="2:46" ht="13.5" customHeight="1">
      <c r="B53" s="10"/>
      <c r="C53" s="10"/>
      <c r="D53" s="10"/>
      <c r="E53" s="10"/>
      <c r="F53" s="10"/>
      <c r="G53" s="10"/>
      <c r="H53" s="10"/>
      <c r="I53" s="10"/>
      <c r="J53" s="10"/>
      <c r="K53" s="3"/>
    </row>
    <row r="54" spans="2:46" ht="13.5" customHeight="1">
      <c r="B54" s="10"/>
      <c r="C54" s="10"/>
      <c r="D54" s="10"/>
      <c r="E54" s="10"/>
      <c r="F54" s="10"/>
      <c r="G54" s="10"/>
      <c r="H54" s="10"/>
      <c r="I54" s="10"/>
      <c r="J54" s="10"/>
      <c r="K54" s="3"/>
    </row>
    <row r="55" spans="2:46" ht="13.5" customHeight="1">
      <c r="B55" s="10"/>
      <c r="C55" s="10"/>
      <c r="D55" s="10"/>
      <c r="E55" s="10"/>
      <c r="F55" s="10"/>
      <c r="G55" s="10"/>
      <c r="H55" s="10"/>
      <c r="I55" s="10"/>
      <c r="J55" s="10"/>
      <c r="K55" s="3"/>
    </row>
    <row r="56" spans="2:46" ht="13.5" customHeight="1">
      <c r="B56" s="10"/>
      <c r="C56" s="10"/>
      <c r="D56" s="10"/>
      <c r="E56" s="10"/>
      <c r="F56" s="10"/>
      <c r="G56" s="10"/>
      <c r="H56" s="10"/>
      <c r="I56" s="10"/>
      <c r="J56" s="10"/>
      <c r="K56" s="3"/>
    </row>
    <row r="57" spans="2:46" ht="13.5" customHeight="1">
      <c r="B57" s="10"/>
      <c r="C57" s="10"/>
      <c r="D57" s="10"/>
      <c r="E57" s="10"/>
      <c r="F57" s="10"/>
      <c r="G57" s="10"/>
      <c r="H57" s="10"/>
      <c r="I57" s="10"/>
      <c r="J57" s="10"/>
      <c r="K57" s="3"/>
    </row>
    <row r="58" spans="2:46" ht="13.5" customHeight="1">
      <c r="B58" s="10"/>
      <c r="C58" s="10"/>
      <c r="D58" s="10"/>
      <c r="E58" s="10"/>
      <c r="F58" s="10"/>
      <c r="G58" s="10"/>
      <c r="H58" s="10"/>
      <c r="I58" s="10"/>
      <c r="J58" s="10"/>
    </row>
    <row r="59" spans="2:46" ht="13.5" customHeight="1">
      <c r="B59" s="10"/>
      <c r="C59" s="10"/>
      <c r="D59" s="10"/>
      <c r="E59" s="10"/>
      <c r="F59" s="10"/>
      <c r="G59" s="10"/>
      <c r="H59" s="10"/>
      <c r="I59" s="10"/>
      <c r="J59" s="10"/>
    </row>
    <row r="60" spans="2:46" ht="13.5" customHeight="1">
      <c r="B60" s="10"/>
      <c r="C60" s="10"/>
      <c r="D60" s="10"/>
      <c r="E60" s="10"/>
      <c r="F60" s="10"/>
      <c r="G60" s="10"/>
      <c r="H60" s="10"/>
      <c r="I60" s="10"/>
      <c r="J60" s="10"/>
    </row>
    <row r="61" spans="2:46" ht="13.5" customHeight="1">
      <c r="B61" s="10"/>
      <c r="C61" s="10"/>
      <c r="D61" s="10"/>
      <c r="E61" s="10"/>
      <c r="F61" s="10"/>
      <c r="G61" s="10"/>
      <c r="H61" s="10"/>
      <c r="I61" s="10"/>
      <c r="J61" s="10"/>
    </row>
    <row r="62" spans="2:46" ht="13.5" customHeight="1">
      <c r="B62" s="10"/>
      <c r="C62" s="10"/>
      <c r="D62" s="10"/>
      <c r="E62" s="10"/>
      <c r="F62" s="10"/>
      <c r="G62" s="10"/>
      <c r="H62" s="10"/>
      <c r="I62" s="10"/>
      <c r="J62" s="10"/>
    </row>
    <row r="63" spans="2:46" ht="13.5" customHeight="1">
      <c r="B63" s="10"/>
      <c r="C63" s="10"/>
      <c r="D63" s="10"/>
      <c r="E63" s="10"/>
      <c r="F63" s="10"/>
      <c r="G63" s="10"/>
      <c r="H63" s="10"/>
      <c r="I63" s="10"/>
      <c r="J63" s="10"/>
    </row>
    <row r="64" spans="2:46" ht="13.5" customHeight="1">
      <c r="B64" s="10"/>
      <c r="C64" s="10"/>
      <c r="D64" s="10"/>
      <c r="E64" s="10"/>
      <c r="F64" s="10"/>
      <c r="G64" s="10"/>
      <c r="H64" s="10"/>
      <c r="I64" s="10"/>
      <c r="J64" s="10"/>
    </row>
  </sheetData>
  <pageMargins left="0.7" right="0.7" top="0.75" bottom="0.75" header="0.3" footer="0.3"/>
  <pageSetup scale="89" fitToWidth="0" orientation="landscape" r:id="rId1"/>
  <rowBreaks count="1" manualBreakCount="1">
    <brk id="38" min="1" max="10" man="1"/>
  </rowBreaks>
  <colBreaks count="1" manualBreakCount="1">
    <brk id="1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8"/>
  <dimension ref="A1:BL44"/>
  <sheetViews>
    <sheetView showGridLines="0" view="pageBreakPreview" zoomScaleNormal="100" zoomScaleSheetLayoutView="100" workbookViewId="0">
      <pane xSplit="2" ySplit="7" topLeftCell="C8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9.83203125" defaultRowHeight="13.5" customHeight="1"/>
  <cols>
    <col min="1" max="1" width="5.83203125" customWidth="1"/>
    <col min="2" max="2" width="41.5" customWidth="1"/>
    <col min="3" max="6" width="11.83203125" customWidth="1"/>
    <col min="7" max="10" width="11.83203125" style="2" customWidth="1"/>
    <col min="12" max="59" width="9.83203125" style="17"/>
  </cols>
  <sheetData>
    <row r="1" spans="1:64" ht="13.5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33">
        <v>40025</v>
      </c>
      <c r="M1" s="33">
        <f>EOMONTH(L1,3)</f>
        <v>40117</v>
      </c>
      <c r="N1" s="33">
        <f t="shared" ref="N1:AQ1" si="0">EOMONTH(M1,3)</f>
        <v>40209</v>
      </c>
      <c r="O1" s="33">
        <f t="shared" si="0"/>
        <v>40298</v>
      </c>
      <c r="P1" s="33">
        <f t="shared" si="0"/>
        <v>40390</v>
      </c>
      <c r="Q1" s="33">
        <f t="shared" si="0"/>
        <v>40482</v>
      </c>
      <c r="R1" s="33">
        <f t="shared" si="0"/>
        <v>40574</v>
      </c>
      <c r="S1" s="33">
        <f t="shared" si="0"/>
        <v>40663</v>
      </c>
      <c r="T1" s="33">
        <f t="shared" si="0"/>
        <v>40755</v>
      </c>
      <c r="U1" s="33">
        <f t="shared" si="0"/>
        <v>40847</v>
      </c>
      <c r="V1" s="33">
        <f t="shared" si="0"/>
        <v>40939</v>
      </c>
      <c r="W1" s="33">
        <f t="shared" si="0"/>
        <v>41029</v>
      </c>
      <c r="X1" s="33">
        <f t="shared" si="0"/>
        <v>41121</v>
      </c>
      <c r="Y1" s="33">
        <f t="shared" si="0"/>
        <v>41213</v>
      </c>
      <c r="Z1" s="33">
        <f t="shared" si="0"/>
        <v>41305</v>
      </c>
      <c r="AA1" s="33">
        <f t="shared" si="0"/>
        <v>41394</v>
      </c>
      <c r="AB1" s="33">
        <f t="shared" si="0"/>
        <v>41486</v>
      </c>
      <c r="AC1" s="33">
        <f t="shared" si="0"/>
        <v>41578</v>
      </c>
      <c r="AD1" s="33">
        <f t="shared" si="0"/>
        <v>41670</v>
      </c>
      <c r="AE1" s="33">
        <f t="shared" si="0"/>
        <v>41759</v>
      </c>
      <c r="AF1" s="33">
        <f t="shared" si="0"/>
        <v>41851</v>
      </c>
      <c r="AG1" s="33">
        <f t="shared" si="0"/>
        <v>41943</v>
      </c>
      <c r="AH1" s="33">
        <f t="shared" si="0"/>
        <v>42035</v>
      </c>
      <c r="AI1" s="33">
        <f t="shared" si="0"/>
        <v>42124</v>
      </c>
      <c r="AJ1" s="33">
        <f t="shared" si="0"/>
        <v>42216</v>
      </c>
      <c r="AK1" s="33">
        <f t="shared" si="0"/>
        <v>42308</v>
      </c>
      <c r="AL1" s="33">
        <f t="shared" si="0"/>
        <v>42400</v>
      </c>
      <c r="AM1" s="33">
        <f t="shared" si="0"/>
        <v>42490</v>
      </c>
      <c r="AN1" s="33">
        <f t="shared" si="0"/>
        <v>42582</v>
      </c>
      <c r="AO1" s="33">
        <f t="shared" si="0"/>
        <v>42674</v>
      </c>
      <c r="AP1" s="33">
        <f t="shared" si="0"/>
        <v>42766</v>
      </c>
      <c r="AQ1" s="33">
        <f t="shared" si="0"/>
        <v>42855</v>
      </c>
    </row>
    <row r="2" spans="1:64" ht="13.5" customHeight="1">
      <c r="A2" s="14"/>
      <c r="B2" s="888" t="s">
        <v>45</v>
      </c>
      <c r="C2" s="3"/>
      <c r="D2" s="3"/>
      <c r="E2" s="3"/>
      <c r="F2" s="3"/>
      <c r="G2" s="3"/>
      <c r="H2" s="3"/>
      <c r="I2" s="3"/>
      <c r="J2" s="3"/>
      <c r="K2" s="3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</row>
    <row r="3" spans="1:64" ht="13.5" customHeight="1">
      <c r="A3" s="14"/>
      <c r="B3" s="10" t="s">
        <v>20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</row>
    <row r="4" spans="1:64" ht="13.5" customHeight="1">
      <c r="A4" s="14"/>
      <c r="B4" s="10" t="s">
        <v>8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</row>
    <row r="5" spans="1:64" ht="13.5" customHeight="1">
      <c r="A5" s="14"/>
      <c r="B5" s="10"/>
      <c r="C5" s="6" t="s">
        <v>12</v>
      </c>
      <c r="D5" s="5"/>
      <c r="E5" s="5"/>
      <c r="F5" s="764"/>
      <c r="G5" s="5"/>
      <c r="H5" s="5"/>
      <c r="I5" s="5"/>
      <c r="J5" s="5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</row>
    <row r="6" spans="1:64" ht="13.5" customHeight="1">
      <c r="A6" s="14"/>
      <c r="B6" s="91"/>
      <c r="C6" s="20">
        <v>2010</v>
      </c>
      <c r="D6" s="20">
        <f t="shared" ref="D6:J6" si="1">C6+1</f>
        <v>2011</v>
      </c>
      <c r="E6" s="20">
        <f t="shared" si="1"/>
        <v>2012</v>
      </c>
      <c r="F6" s="35">
        <f t="shared" si="1"/>
        <v>2013</v>
      </c>
      <c r="G6" s="116">
        <f t="shared" si="1"/>
        <v>2014</v>
      </c>
      <c r="H6" s="15">
        <f t="shared" si="1"/>
        <v>2015</v>
      </c>
      <c r="I6" s="15">
        <f t="shared" si="1"/>
        <v>2016</v>
      </c>
      <c r="J6" s="15">
        <f t="shared" si="1"/>
        <v>2017</v>
      </c>
      <c r="K6" s="10"/>
      <c r="L6" s="32">
        <v>2010</v>
      </c>
      <c r="M6" s="30"/>
      <c r="N6" s="30"/>
      <c r="O6" s="31"/>
      <c r="P6" s="32">
        <f>L6+1</f>
        <v>2011</v>
      </c>
      <c r="Q6" s="30"/>
      <c r="R6" s="30"/>
      <c r="S6" s="31"/>
      <c r="T6" s="32">
        <f>P6+1</f>
        <v>2012</v>
      </c>
      <c r="U6" s="30"/>
      <c r="V6" s="30"/>
      <c r="W6" s="31"/>
      <c r="X6" s="32">
        <f>T6+1</f>
        <v>2013</v>
      </c>
      <c r="Y6" s="30"/>
      <c r="Z6" s="30"/>
      <c r="AA6" s="31"/>
      <c r="AB6" s="32">
        <f>X6+1</f>
        <v>2014</v>
      </c>
      <c r="AC6" s="30"/>
      <c r="AD6" s="30"/>
      <c r="AE6" s="31"/>
      <c r="AF6" s="32">
        <f>AB6+1</f>
        <v>2015</v>
      </c>
      <c r="AG6" s="30"/>
      <c r="AH6" s="30"/>
      <c r="AI6" s="31"/>
      <c r="AJ6" s="32">
        <f>AF6+1</f>
        <v>2016</v>
      </c>
      <c r="AK6" s="30"/>
      <c r="AL6" s="30"/>
      <c r="AM6" s="31"/>
      <c r="AN6" s="32">
        <f>AJ6+1</f>
        <v>2017</v>
      </c>
      <c r="AO6" s="30"/>
      <c r="AP6" s="30"/>
      <c r="AQ6" s="31"/>
      <c r="AR6" s="10"/>
      <c r="AS6" s="10"/>
      <c r="AT6" s="10"/>
      <c r="AU6" s="10"/>
      <c r="AV6" s="10"/>
      <c r="AW6" s="10"/>
      <c r="AX6" s="10"/>
      <c r="AY6" s="10"/>
      <c r="AZ6" s="10"/>
      <c r="BA6" s="10"/>
    </row>
    <row r="7" spans="1:64" ht="13.5" customHeight="1">
      <c r="A7" s="766"/>
      <c r="B7" s="42" t="s">
        <v>135</v>
      </c>
      <c r="C7" s="82"/>
      <c r="D7" s="82"/>
      <c r="E7" s="82"/>
      <c r="F7" s="82"/>
      <c r="G7" s="117"/>
      <c r="H7" s="76"/>
      <c r="I7" s="76"/>
      <c r="J7" s="76"/>
      <c r="K7" s="10"/>
      <c r="L7" s="767">
        <v>1</v>
      </c>
      <c r="M7" s="767">
        <f>L7+1</f>
        <v>2</v>
      </c>
      <c r="N7" s="767">
        <f>M7+1</f>
        <v>3</v>
      </c>
      <c r="O7" s="767">
        <f>N7+1</f>
        <v>4</v>
      </c>
      <c r="P7" s="767">
        <v>1</v>
      </c>
      <c r="Q7" s="767">
        <f>P7+1</f>
        <v>2</v>
      </c>
      <c r="R7" s="767">
        <f>Q7+1</f>
        <v>3</v>
      </c>
      <c r="S7" s="767">
        <f>R7+1</f>
        <v>4</v>
      </c>
      <c r="T7" s="767">
        <v>1</v>
      </c>
      <c r="U7" s="767">
        <f>T7+1</f>
        <v>2</v>
      </c>
      <c r="V7" s="767">
        <f>U7+1</f>
        <v>3</v>
      </c>
      <c r="W7" s="767">
        <f>V7+1</f>
        <v>4</v>
      </c>
      <c r="X7" s="767">
        <v>1</v>
      </c>
      <c r="Y7" s="767">
        <f>X7+1</f>
        <v>2</v>
      </c>
      <c r="Z7" s="767">
        <f>Y7+1</f>
        <v>3</v>
      </c>
      <c r="AA7" s="767">
        <f>Z7+1</f>
        <v>4</v>
      </c>
      <c r="AB7" s="767">
        <v>1</v>
      </c>
      <c r="AC7" s="767">
        <f>AB7+1</f>
        <v>2</v>
      </c>
      <c r="AD7" s="767">
        <f>AC7+1</f>
        <v>3</v>
      </c>
      <c r="AE7" s="767">
        <f>AD7+1</f>
        <v>4</v>
      </c>
      <c r="AF7" s="767">
        <v>1</v>
      </c>
      <c r="AG7" s="767">
        <f>AF7+1</f>
        <v>2</v>
      </c>
      <c r="AH7" s="767">
        <f>AG7+1</f>
        <v>3</v>
      </c>
      <c r="AI7" s="767">
        <f>AH7+1</f>
        <v>4</v>
      </c>
      <c r="AJ7" s="767">
        <v>1</v>
      </c>
      <c r="AK7" s="767">
        <f>AJ7+1</f>
        <v>2</v>
      </c>
      <c r="AL7" s="767">
        <f>AK7+1</f>
        <v>3</v>
      </c>
      <c r="AM7" s="767">
        <f>AL7+1</f>
        <v>4</v>
      </c>
      <c r="AN7" s="767">
        <v>1</v>
      </c>
      <c r="AO7" s="767">
        <f>AN7+1</f>
        <v>2</v>
      </c>
      <c r="AP7" s="767">
        <f>AO7+1</f>
        <v>3</v>
      </c>
      <c r="AQ7" s="767">
        <f>AP7+1</f>
        <v>4</v>
      </c>
      <c r="AR7" s="78"/>
      <c r="AS7" s="78"/>
      <c r="AT7" s="78"/>
      <c r="AU7" s="78"/>
      <c r="AV7" s="78"/>
      <c r="AW7" s="78"/>
      <c r="AX7" s="10"/>
      <c r="AY7" s="10"/>
      <c r="AZ7" s="10"/>
      <c r="BA7" s="10"/>
    </row>
    <row r="8" spans="1:64" s="131" customFormat="1" ht="13.5" customHeight="1">
      <c r="A8" s="221"/>
      <c r="B8" s="222" t="s">
        <v>0</v>
      </c>
      <c r="C8" s="203">
        <f>IS!C29</f>
        <v>70.328000000000003</v>
      </c>
      <c r="D8" s="203">
        <f>IS!D29</f>
        <v>54.163000000000075</v>
      </c>
      <c r="E8" s="203">
        <f>IS!E29</f>
        <v>74.375999999999962</v>
      </c>
      <c r="F8" s="203">
        <f>IS!F29</f>
        <v>-1.7</v>
      </c>
      <c r="G8" s="224">
        <f>IS!G29</f>
        <v>32.5</v>
      </c>
      <c r="H8" s="203">
        <f ca="1">IS!H29</f>
        <v>33.020012223818085</v>
      </c>
      <c r="I8" s="203">
        <f ca="1">IS!I29</f>
        <v>43.471762314349391</v>
      </c>
      <c r="J8" s="203">
        <f ca="1">IS!J29</f>
        <v>47.265455715595316</v>
      </c>
      <c r="K8" s="133"/>
      <c r="L8" s="768">
        <f>IS!L29</f>
        <v>16.115000000000123</v>
      </c>
      <c r="M8" s="769">
        <f>IS!M29</f>
        <v>15.481999999999983</v>
      </c>
      <c r="N8" s="769">
        <f>IS!N29</f>
        <v>17.967000000000002</v>
      </c>
      <c r="O8" s="770">
        <f>IS!O29</f>
        <v>20.764000000000024</v>
      </c>
      <c r="P8" s="768">
        <f>IS!P29</f>
        <v>12.54899999999998</v>
      </c>
      <c r="Q8" s="769">
        <f>IS!Q29</f>
        <v>7.7900000000000809</v>
      </c>
      <c r="R8" s="769">
        <f>IS!R29</f>
        <v>15.465999999999941</v>
      </c>
      <c r="S8" s="770">
        <f>IS!S29</f>
        <v>18.357999999999976</v>
      </c>
      <c r="T8" s="768">
        <f>IS!T29</f>
        <v>17.811999999999991</v>
      </c>
      <c r="U8" s="769">
        <f>IS!U29</f>
        <v>12.747000000000014</v>
      </c>
      <c r="V8" s="769">
        <f>IS!V29</f>
        <v>21.78099999999991</v>
      </c>
      <c r="W8" s="770">
        <f>IS!W29</f>
        <v>22.035999999999998</v>
      </c>
      <c r="X8" s="768">
        <f>IS!X29</f>
        <v>15.028000000000009</v>
      </c>
      <c r="Y8" s="769">
        <f>IS!Y29</f>
        <v>14.549999999999958</v>
      </c>
      <c r="Z8" s="769">
        <f>IS!Z29</f>
        <v>25.079000000000008</v>
      </c>
      <c r="AA8" s="770">
        <f>IS!AA29</f>
        <v>27.024000000000022</v>
      </c>
      <c r="AB8" s="768">
        <f>IS!AB29</f>
        <v>8.4910000000000103</v>
      </c>
      <c r="AC8" s="769">
        <f>IS!AC29</f>
        <v>5.8339999999999543</v>
      </c>
      <c r="AD8" s="769">
        <f>IS!AD29</f>
        <v>5.6579999999999933</v>
      </c>
      <c r="AE8" s="770">
        <f>IS!AE29</f>
        <v>13.003999999999987</v>
      </c>
      <c r="AF8" s="768">
        <f>IS!AF29</f>
        <v>-1.0159999999999787</v>
      </c>
      <c r="AG8" s="769">
        <f>IS!AG29</f>
        <v>6.0770000000000266</v>
      </c>
      <c r="AH8" s="787">
        <f ca="1">IS!AH29</f>
        <v>14.317947953802037</v>
      </c>
      <c r="AI8" s="788">
        <f ca="1">IS!AI29</f>
        <v>13.641064270015997</v>
      </c>
      <c r="AJ8" s="798">
        <f ca="1">IS!AJ29</f>
        <v>10.433413090821197</v>
      </c>
      <c r="AK8" s="787">
        <f ca="1">IS!AK29</f>
        <v>10.770292994855421</v>
      </c>
      <c r="AL8" s="787">
        <f ca="1">IS!AL29</f>
        <v>11.411646070224766</v>
      </c>
      <c r="AM8" s="788">
        <f ca="1">IS!AM29</f>
        <v>10.856410158448021</v>
      </c>
      <c r="AN8" s="798">
        <f ca="1">IS!AN29</f>
        <v>14.227106492067104</v>
      </c>
      <c r="AO8" s="787">
        <f ca="1">IS!AO29</f>
        <v>14.689168221576324</v>
      </c>
      <c r="AP8" s="787">
        <f ca="1">IS!AP29</f>
        <v>15.551986757262997</v>
      </c>
      <c r="AQ8" s="788">
        <f ca="1">IS!AQ29</f>
        <v>14.834615839840513</v>
      </c>
      <c r="AR8" s="132"/>
      <c r="AS8" s="132"/>
      <c r="AT8" s="132"/>
      <c r="AU8" s="132"/>
      <c r="AV8" s="132"/>
      <c r="AW8" s="132"/>
      <c r="AX8" s="133"/>
      <c r="AY8" s="133"/>
      <c r="AZ8" s="133"/>
      <c r="BA8" s="133"/>
      <c r="BB8" s="223"/>
      <c r="BC8" s="223"/>
      <c r="BD8" s="223"/>
      <c r="BE8" s="223"/>
      <c r="BF8" s="223"/>
      <c r="BG8" s="223"/>
    </row>
    <row r="9" spans="1:64" s="69" customFormat="1" ht="13.5" customHeight="1">
      <c r="A9" s="68"/>
      <c r="B9" s="220" t="s">
        <v>90</v>
      </c>
      <c r="C9" s="225">
        <f>IS!C20</f>
        <v>83.988</v>
      </c>
      <c r="D9" s="225">
        <f>IS!D20</f>
        <v>82.962000000000003</v>
      </c>
      <c r="E9" s="225">
        <f>IS!E20</f>
        <v>82.112000000000009</v>
      </c>
      <c r="F9" s="225">
        <f>IS!F20</f>
        <v>66.242999999999995</v>
      </c>
      <c r="G9" s="226">
        <f>IS!G20</f>
        <v>79.455999999999989</v>
      </c>
      <c r="H9" s="225">
        <f>IS!H20</f>
        <v>80.649031400000013</v>
      </c>
      <c r="I9" s="225">
        <f>IS!I20</f>
        <v>87.601908737999992</v>
      </c>
      <c r="J9" s="225">
        <f>IS!J20</f>
        <v>87.94576346625</v>
      </c>
      <c r="K9" s="931"/>
      <c r="L9" s="771">
        <f>IS!L20</f>
        <v>20.983000000000001</v>
      </c>
      <c r="M9" s="234">
        <f>IS!M20</f>
        <v>20.678000000000001</v>
      </c>
      <c r="N9" s="234">
        <f>IS!N20</f>
        <v>21.111999999999998</v>
      </c>
      <c r="O9" s="772">
        <f>IS!O20</f>
        <v>21.215</v>
      </c>
      <c r="P9" s="771">
        <f>IS!P20</f>
        <v>20.776</v>
      </c>
      <c r="Q9" s="234">
        <f>IS!Q20</f>
        <v>20.922000000000001</v>
      </c>
      <c r="R9" s="234">
        <f>IS!R20</f>
        <v>20.577000000000002</v>
      </c>
      <c r="S9" s="772">
        <f>IS!S20</f>
        <v>20.687000000000001</v>
      </c>
      <c r="T9" s="771">
        <f>IS!T20</f>
        <v>20.379000000000001</v>
      </c>
      <c r="U9" s="234">
        <f>IS!U20</f>
        <v>20.239000000000001</v>
      </c>
      <c r="V9" s="234">
        <f>IS!V20</f>
        <v>20.309000000000001</v>
      </c>
      <c r="W9" s="772">
        <f>IS!W20</f>
        <v>21.184999999999999</v>
      </c>
      <c r="X9" s="771">
        <f>IS!X20</f>
        <v>15.254</v>
      </c>
      <c r="Y9" s="234">
        <f>IS!Y20</f>
        <v>16.311</v>
      </c>
      <c r="Z9" s="234">
        <f>IS!Z20</f>
        <v>17.023</v>
      </c>
      <c r="AA9" s="772">
        <f>IS!AA20</f>
        <v>17.655000000000001</v>
      </c>
      <c r="AB9" s="771">
        <f>IS!AB20</f>
        <v>17.23</v>
      </c>
      <c r="AC9" s="234">
        <f>IS!AC20</f>
        <v>18.280999999999999</v>
      </c>
      <c r="AD9" s="234">
        <f>IS!AD20</f>
        <v>22.091999999999999</v>
      </c>
      <c r="AE9" s="772">
        <f>IS!AE20</f>
        <v>21.853000000000002</v>
      </c>
      <c r="AF9" s="771">
        <f>IS!AF20</f>
        <v>19.972999999999999</v>
      </c>
      <c r="AG9" s="234">
        <f>IS!AG20</f>
        <v>19.47</v>
      </c>
      <c r="AH9" s="235">
        <f>IS!AH20</f>
        <v>21.026473800000002</v>
      </c>
      <c r="AI9" s="789">
        <f>IS!AI20</f>
        <v>20.179557600000003</v>
      </c>
      <c r="AJ9" s="799">
        <f>IS!AJ20</f>
        <v>21.458418550000005</v>
      </c>
      <c r="AK9" s="235">
        <f>IS!AK20</f>
        <v>21.828785</v>
      </c>
      <c r="AL9" s="235">
        <f>IS!AL20</f>
        <v>22.612254846000003</v>
      </c>
      <c r="AM9" s="789">
        <f>IS!AM20</f>
        <v>21.702450341999999</v>
      </c>
      <c r="AN9" s="799">
        <f>IS!AN20</f>
        <v>21.802273278250002</v>
      </c>
      <c r="AO9" s="235">
        <f>IS!AO20</f>
        <v>22.179709924999997</v>
      </c>
      <c r="AP9" s="235">
        <f>IS!AP20</f>
        <v>22.97735139129</v>
      </c>
      <c r="AQ9" s="789">
        <f>IS!AQ20</f>
        <v>22.052787372029997</v>
      </c>
      <c r="AR9" s="932"/>
      <c r="AS9" s="932"/>
      <c r="AT9" s="932"/>
      <c r="AU9" s="932"/>
      <c r="AV9" s="932"/>
      <c r="AW9" s="932"/>
      <c r="AX9" s="931"/>
      <c r="AY9" s="931"/>
      <c r="AZ9" s="931"/>
      <c r="BA9" s="931"/>
      <c r="BB9" s="88"/>
      <c r="BC9" s="88"/>
      <c r="BD9" s="88"/>
      <c r="BE9" s="88"/>
      <c r="BF9" s="88"/>
      <c r="BG9" s="88"/>
    </row>
    <row r="10" spans="1:64" s="71" customFormat="1" ht="13.5" customHeight="1">
      <c r="A10" s="70"/>
      <c r="B10" s="219" t="s">
        <v>72</v>
      </c>
      <c r="C10" s="227">
        <f>SUM(L10:O10)</f>
        <v>7.5350000000000108</v>
      </c>
      <c r="D10" s="227">
        <f>SUM(P10:S10)</f>
        <v>-2.7540000000000049</v>
      </c>
      <c r="E10" s="227">
        <f>SUM(T10:W10)</f>
        <v>-5.8259999999999934</v>
      </c>
      <c r="F10" s="227">
        <f>SUM(X10:AA10)</f>
        <v>-70.968999999999994</v>
      </c>
      <c r="G10" s="228">
        <f>SUM(AB10:AE10)</f>
        <v>28.198999999999998</v>
      </c>
      <c r="H10" s="227">
        <f>SUM(AF10:AI10)</f>
        <v>0.46546007999999972</v>
      </c>
      <c r="I10" s="227">
        <f>SUM(AJ10:AM10)</f>
        <v>-2.0584177138666746</v>
      </c>
      <c r="J10" s="227">
        <f>SUM(AN10:AQ10)</f>
        <v>-0.90387863370932564</v>
      </c>
      <c r="K10" s="933"/>
      <c r="L10" s="771">
        <v>2</v>
      </c>
      <c r="M10" s="234">
        <f>SUM(BS!L9:L14)-SUM(BS!M9:M14)</f>
        <v>-6.242999999999995</v>
      </c>
      <c r="N10" s="234">
        <f>SUM(BS!M9:M14)-SUM(BS!N9:N14)</f>
        <v>7.0020000000000024</v>
      </c>
      <c r="O10" s="772">
        <f>SUM(BS!N9:N14)-SUM(BS!O9:O14)</f>
        <v>4.7760000000000034</v>
      </c>
      <c r="P10" s="771">
        <f>SUM(BS!O9:O14)-SUM(BS!P9:P14)</f>
        <v>-4.5090000000000074</v>
      </c>
      <c r="Q10" s="234">
        <f>SUM(BS!P9:P14)-SUM(BS!Q9:Q14)</f>
        <v>-6.4459999999999908</v>
      </c>
      <c r="R10" s="234">
        <f>SUM(BS!Q9:Q14)-SUM(BS!R9:R14)</f>
        <v>5.7800803577109718</v>
      </c>
      <c r="S10" s="772">
        <f>SUM(BS!R9:R14)-SUM(BS!S9:S14)</f>
        <v>2.4209196422890216</v>
      </c>
      <c r="T10" s="771">
        <f>SUM(BS!S9:S14)-SUM(BS!T9:T14)</f>
        <v>2.652000000000001</v>
      </c>
      <c r="U10" s="234">
        <f>SUM(BS!T9:T14)-SUM(BS!U9:U14)</f>
        <v>-14.522999999999996</v>
      </c>
      <c r="V10" s="234">
        <f>SUM(BS!U9:U14)-SUM(BS!V9:V14)</f>
        <v>7.6409999999999911</v>
      </c>
      <c r="W10" s="772">
        <f>SUM(BS!V9:V14)-SUM(BS!W9:W14)</f>
        <v>-1.5959999999999894</v>
      </c>
      <c r="X10" s="771">
        <f>SUM(BS!W9:W14)-SUM(BS!X9:X14)</f>
        <v>-2.9919999999999902</v>
      </c>
      <c r="Y10" s="234">
        <f>SUM(BS!X9:X14)-SUM(BS!Y9:Y14)</f>
        <v>-23.206000000000017</v>
      </c>
      <c r="Z10" s="234">
        <f>SUM(BS!Y9:Y14)-SUM(BS!Z9:Z14)</f>
        <v>-161.923</v>
      </c>
      <c r="AA10" s="772">
        <f>SUM(BS!Z9:Z14)-SUM(BS!AA9:AA14)</f>
        <v>117.15200000000002</v>
      </c>
      <c r="AB10" s="771">
        <f>SUM(BS!AA9:AA14)-SUM(BS!AB9:AB14)</f>
        <v>14.905999999999992</v>
      </c>
      <c r="AC10" s="234">
        <f>SUM(BS!AB9:AB14)-SUM(BS!AC9:AC14)</f>
        <v>-15.881000000000014</v>
      </c>
      <c r="AD10" s="234">
        <f>SUM(BS!AC9:AC14)-SUM(BS!AD9:AD14)</f>
        <v>-2.6610000000000014</v>
      </c>
      <c r="AE10" s="772">
        <f>SUM(BS!AD9:AD14)-SUM(BS!AE9:AE14)</f>
        <v>31.835000000000022</v>
      </c>
      <c r="AF10" s="771">
        <f>SUM(BS!AE9:AE14)-SUM(BS!AF9:AF14)</f>
        <v>6.0249999999999915</v>
      </c>
      <c r="AG10" s="234">
        <f>SUM(BS!AF9:AF14)-SUM(BS!AG9:AG14)</f>
        <v>-8.7069999999999936</v>
      </c>
      <c r="AH10" s="236">
        <f>SUM(BS!AG9:AG14)-SUM(BS!AH9:AH14)</f>
        <v>-1.2884025066666851</v>
      </c>
      <c r="AI10" s="790">
        <f>SUM(BS!AH9:AH14)-SUM(BS!AI9:AI14)</f>
        <v>4.435862586666687</v>
      </c>
      <c r="AJ10" s="800">
        <f>SUM(BS!AI9:AI14)-SUM(BS!AJ9:AJ14)</f>
        <v>0.6202227577777677</v>
      </c>
      <c r="AK10" s="236">
        <f>SUM(BS!AJ9:AJ14)-SUM(BS!AK9:AK14)</f>
        <v>-2.4576548822222009</v>
      </c>
      <c r="AL10" s="236">
        <f>SUM(BS!AK9:AK14)-SUM(BS!AL9:AL14)</f>
        <v>-4.7431794800889264</v>
      </c>
      <c r="AM10" s="790">
        <f>SUM(BS!AL9:AL14)-SUM(BS!AM9:AM14)</f>
        <v>4.522193890666685</v>
      </c>
      <c r="AN10" s="800">
        <f>SUM(BS!AM9:AM14)-SUM(BS!AN9:AN14)</f>
        <v>1.807103281266663</v>
      </c>
      <c r="AO10" s="236">
        <f>SUM(BS!AN9:AN14)-SUM(BS!AO9:AO14)</f>
        <v>-2.48259913939998</v>
      </c>
      <c r="AP10" s="236">
        <f>SUM(BS!AO9:AO14)-SUM(BS!AP9:AP14)</f>
        <v>-4.7891035401200241</v>
      </c>
      <c r="AQ10" s="790">
        <f>SUM(BS!AP9:AP14)-SUM(BS!AQ9:AQ14)</f>
        <v>4.5607207645440155</v>
      </c>
      <c r="AR10" s="934"/>
      <c r="AS10" s="934"/>
      <c r="AT10" s="934"/>
      <c r="AU10" s="934"/>
      <c r="AV10" s="934"/>
      <c r="AW10" s="934"/>
      <c r="AX10" s="933"/>
      <c r="AY10" s="933"/>
      <c r="AZ10" s="933"/>
      <c r="BA10" s="933"/>
      <c r="BD10" s="72"/>
      <c r="BE10" s="72"/>
      <c r="BF10" s="72"/>
      <c r="BG10" s="72"/>
      <c r="BH10" s="72"/>
      <c r="BI10" s="72"/>
      <c r="BJ10" s="72"/>
      <c r="BK10" s="72"/>
      <c r="BL10" s="72"/>
    </row>
    <row r="11" spans="1:64" s="71" customFormat="1" ht="13.5" customHeight="1">
      <c r="A11" s="70"/>
      <c r="B11" s="219" t="s">
        <v>73</v>
      </c>
      <c r="C11" s="227">
        <f>SUM(L11:O11)</f>
        <v>0.650000000000027</v>
      </c>
      <c r="D11" s="227">
        <f>SUM(P11:S11)</f>
        <v>4.9899999999999807</v>
      </c>
      <c r="E11" s="227">
        <f>SUM(T11:W11)</f>
        <v>-1.2229999999999848</v>
      </c>
      <c r="F11" s="227">
        <f>SUM(X11:AA11)</f>
        <v>-16.867000000000019</v>
      </c>
      <c r="G11" s="228">
        <f>SUM(AB11:AE11)</f>
        <v>3.4910000000000139</v>
      </c>
      <c r="H11" s="227">
        <f>SUM(AF11:AI11)</f>
        <v>-10.17504016666669</v>
      </c>
      <c r="I11" s="227">
        <f>SUM(AJ11:AM11)</f>
        <v>2.552007571933359</v>
      </c>
      <c r="J11" s="227">
        <f>SUM(AN11:AQ11)</f>
        <v>1.2868415070176411</v>
      </c>
      <c r="K11" s="933"/>
      <c r="L11" s="771">
        <v>-14.558</v>
      </c>
      <c r="M11" s="234">
        <f>+SUM(BS!M23:M29)-SUM(BS!L23:L29)</f>
        <v>5.3510000000000275</v>
      </c>
      <c r="N11" s="234">
        <f>+SUM(BS!N23:N29)-SUM(BS!M23:M29)</f>
        <v>24.631999999999977</v>
      </c>
      <c r="O11" s="772">
        <f>+SUM(BS!O23:O29)-SUM(BS!N23:N29)</f>
        <v>-14.774999999999977</v>
      </c>
      <c r="P11" s="771">
        <f>+SUM(BS!P23:P29)-SUM(BS!O23:O29)</f>
        <v>-10.073000000000008</v>
      </c>
      <c r="Q11" s="234">
        <f>+SUM(BS!Q23:Q29)-SUM(BS!P23:P29)</f>
        <v>2.9240000000000066</v>
      </c>
      <c r="R11" s="234">
        <f>+SUM(BS!R23:R29)-SUM(BS!Q23:Q29)</f>
        <v>-0.17890426296091277</v>
      </c>
      <c r="S11" s="772">
        <f>+SUM(BS!S23:S29)-SUM(BS!R23:R29)</f>
        <v>12.317904262960894</v>
      </c>
      <c r="T11" s="771">
        <f>+SUM(BS!T23:T29)-SUM(BS!S23:S29)</f>
        <v>-17.019999999999982</v>
      </c>
      <c r="U11" s="234">
        <f>+SUM(BS!U23:U29)-SUM(BS!T23:T29)</f>
        <v>1.011999999999972</v>
      </c>
      <c r="V11" s="234">
        <f>+SUM(BS!V23:V29)-SUM(BS!U23:U29)</f>
        <v>17.083000000000027</v>
      </c>
      <c r="W11" s="772">
        <f>+SUM(BS!W23:W29)-SUM(BS!V23:V29)</f>
        <v>-2.2980000000000018</v>
      </c>
      <c r="X11" s="771">
        <f>+SUM(BS!X23:X29)-SUM(BS!W23:W29)</f>
        <v>-13.881</v>
      </c>
      <c r="Y11" s="234">
        <f>+SUM(BS!Y23:Y29)-SUM(BS!X23:X29)</f>
        <v>5.3169999999999789</v>
      </c>
      <c r="Z11" s="234">
        <f>+SUM(BS!Z23:Z29)-SUM(BS!Y23:Y29)</f>
        <v>-13.126000000000005</v>
      </c>
      <c r="AA11" s="772">
        <f>+SUM(BS!AA23:AA29)-SUM(BS!Z23:Z29)</f>
        <v>4.8230000000000075</v>
      </c>
      <c r="AB11" s="771">
        <f>+SUM(BS!AB23:AB29)-SUM(BS!AA23:AA29)</f>
        <v>-1.4969999999999857</v>
      </c>
      <c r="AC11" s="234">
        <f>+SUM(BS!AC23:AC29)-SUM(BS!AB23:AB29)</f>
        <v>3.1440000000000055</v>
      </c>
      <c r="AD11" s="234">
        <f>+SUM(BS!AD23:AD29)-SUM(BS!AC23:AC29)</f>
        <v>-2.1120000000000232</v>
      </c>
      <c r="AE11" s="772">
        <f>+SUM(BS!AE23:AE29)-SUM(BS!AD23:AD29)</f>
        <v>3.9560000000000173</v>
      </c>
      <c r="AF11" s="771">
        <f>+SUM(BS!AF23:AF29)-SUM(BS!AE23:AE29)</f>
        <v>-10.117000000000019</v>
      </c>
      <c r="AG11" s="234">
        <f>+SUM(BS!AG23:AG29)-SUM(BS!AF23:AF29)</f>
        <v>6.4569999999999936</v>
      </c>
      <c r="AH11" s="236">
        <f>+SUM(BS!AH23:AH29)-SUM(BS!AG23:AG29)</f>
        <v>-0.89853381333330162</v>
      </c>
      <c r="AI11" s="790">
        <f>+SUM(BS!AI23:AI29)-SUM(BS!AH23:AH29)</f>
        <v>-5.6165063533333637</v>
      </c>
      <c r="AJ11" s="800">
        <f>+SUM(BS!AJ23:AJ29)-SUM(BS!AI23:AI29)</f>
        <v>-0.74690485277778862</v>
      </c>
      <c r="AK11" s="236">
        <f>+SUM(BS!AK23:AK29)-SUM(BS!AJ23:AJ29)</f>
        <v>3.072155230555552</v>
      </c>
      <c r="AL11" s="236">
        <f>+SUM(BS!AL23:AL29)-SUM(BS!AK23:AK29)</f>
        <v>5.9504292536222749</v>
      </c>
      <c r="AM11" s="790">
        <f>+SUM(BS!AM23:AM29)-SUM(BS!AL23:AL29)</f>
        <v>-5.7236720594666792</v>
      </c>
      <c r="AN11" s="800">
        <f>+SUM(BS!AN23:AN29)-SUM(BS!AM23:AM29)</f>
        <v>-2.0558961671639224</v>
      </c>
      <c r="AO11" s="236">
        <f>+SUM(BS!AO23:AO29)-SUM(BS!AN23:AN29)</f>
        <v>3.1067157079527874</v>
      </c>
      <c r="AP11" s="236">
        <f>+SUM(BS!AP23:AP29)-SUM(BS!AO23:AO29)</f>
        <v>6.014480785952145</v>
      </c>
      <c r="AQ11" s="790">
        <f>+SUM(BS!AQ23:AQ29)-SUM(BS!AP23:AP29)</f>
        <v>-5.7784588197233688</v>
      </c>
      <c r="AR11" s="934"/>
      <c r="AS11" s="934"/>
      <c r="AT11" s="934"/>
      <c r="AU11" s="934"/>
      <c r="AV11" s="934"/>
      <c r="AW11" s="934"/>
      <c r="AX11" s="933"/>
      <c r="AY11" s="933"/>
      <c r="AZ11" s="933"/>
      <c r="BA11" s="933"/>
    </row>
    <row r="12" spans="1:64" s="71" customFormat="1" ht="13.5" customHeight="1">
      <c r="A12" s="70"/>
      <c r="B12" s="220" t="s">
        <v>74</v>
      </c>
      <c r="C12" s="227">
        <f>SUM(L12:O12)</f>
        <v>-6.6500000000000021</v>
      </c>
      <c r="D12" s="227">
        <f>SUM(P12:S12)</f>
        <v>-13.522000000000002</v>
      </c>
      <c r="E12" s="227">
        <f>SUM(T12:W12)</f>
        <v>0.82000000000000028</v>
      </c>
      <c r="F12" s="227">
        <f>SUM(X12:AA12)</f>
        <v>-20.991</v>
      </c>
      <c r="G12" s="228">
        <f>SUM(AB12:AE12)</f>
        <v>9.2110000000000056</v>
      </c>
      <c r="H12" s="227">
        <f>SUM(AF12:AI12)</f>
        <v>-3.5430000000000064</v>
      </c>
      <c r="I12" s="227">
        <f>SUM(AJ12:AM12)</f>
        <v>0</v>
      </c>
      <c r="J12" s="227">
        <f>SUM(AN12:AQ12)</f>
        <v>0</v>
      </c>
      <c r="K12" s="933"/>
      <c r="L12" s="771">
        <v>-3</v>
      </c>
      <c r="M12" s="234">
        <f>BS!L18-BS!M18</f>
        <v>-2.9670000000000023</v>
      </c>
      <c r="N12" s="234">
        <f>BS!M18-BS!N18</f>
        <v>-0.53899999999999793</v>
      </c>
      <c r="O12" s="772">
        <f>BS!N18-BS!O18</f>
        <v>-0.1440000000000019</v>
      </c>
      <c r="P12" s="771">
        <f>BS!O18-BS!P18</f>
        <v>-3.399999999999892E-2</v>
      </c>
      <c r="Q12" s="234">
        <f>BS!P18-BS!Q18</f>
        <v>-2.0240000000000009</v>
      </c>
      <c r="R12" s="234">
        <f>BS!Q18-BS!R18</f>
        <v>2.110780164844428E-2</v>
      </c>
      <c r="S12" s="772">
        <f>BS!R18-BS!S18</f>
        <v>-11.485107801648446</v>
      </c>
      <c r="T12" s="771">
        <f>BS!S18-BS!T18</f>
        <v>0.2050000000000054</v>
      </c>
      <c r="U12" s="234">
        <f>BS!T18-BS!U18</f>
        <v>0.20499999999999829</v>
      </c>
      <c r="V12" s="234">
        <f>BS!U18-BS!V18</f>
        <v>0.20499999999999829</v>
      </c>
      <c r="W12" s="772">
        <f>BS!V18-BS!W18</f>
        <v>0.20499999999999829</v>
      </c>
      <c r="X12" s="771">
        <f>BS!W18-BS!X18</f>
        <v>3.3070000000000022</v>
      </c>
      <c r="Y12" s="234">
        <f>BS!X18-BS!Y18</f>
        <v>-6.972999999999999</v>
      </c>
      <c r="Z12" s="234">
        <f>BS!Y18-BS!Z18</f>
        <v>43.542999999999999</v>
      </c>
      <c r="AA12" s="772">
        <f>BS!Z18-BS!AA18</f>
        <v>-60.868000000000002</v>
      </c>
      <c r="AB12" s="771">
        <f>BS!AA18-BS!AB18</f>
        <v>10.568000000000005</v>
      </c>
      <c r="AC12" s="234">
        <f>BS!AB18-BS!AC18</f>
        <v>-1.8870000000000005</v>
      </c>
      <c r="AD12" s="234">
        <f>BS!AC18-BS!AD18</f>
        <v>-6.8940000000000055</v>
      </c>
      <c r="AE12" s="772">
        <f>BS!AD18-BS!AE18</f>
        <v>7.4240000000000066</v>
      </c>
      <c r="AF12" s="771">
        <f>BS!AE18-BS!AF18</f>
        <v>-2.892000000000003</v>
      </c>
      <c r="AG12" s="234">
        <f>BS!AF18-BS!AG18</f>
        <v>-0.63499999999999801</v>
      </c>
      <c r="AH12" s="236">
        <f>BS!AG18-BS!AH18</f>
        <v>-1.6000000000005343E-2</v>
      </c>
      <c r="AI12" s="790">
        <f>BS!AH18-BS!AI18</f>
        <v>0</v>
      </c>
      <c r="AJ12" s="800">
        <f>BS!AI18-BS!AJ18</f>
        <v>0</v>
      </c>
      <c r="AK12" s="236">
        <f>BS!AJ18-BS!AK18</f>
        <v>0</v>
      </c>
      <c r="AL12" s="236">
        <f>BS!AK18-BS!AL18</f>
        <v>0</v>
      </c>
      <c r="AM12" s="790">
        <f>BS!AL18-BS!AM18</f>
        <v>0</v>
      </c>
      <c r="AN12" s="800">
        <f>BS!AM18-BS!AN18</f>
        <v>0</v>
      </c>
      <c r="AO12" s="236">
        <f>BS!AN18-BS!AO18</f>
        <v>0</v>
      </c>
      <c r="AP12" s="236">
        <f>BS!AO18-BS!AP18</f>
        <v>0</v>
      </c>
      <c r="AQ12" s="790">
        <f>BS!AP18-BS!AQ18</f>
        <v>0</v>
      </c>
      <c r="AR12" s="934"/>
      <c r="AS12" s="934"/>
      <c r="AT12" s="934"/>
      <c r="AU12" s="934"/>
      <c r="AV12" s="934"/>
      <c r="AW12" s="934"/>
      <c r="AX12" s="933"/>
      <c r="AY12" s="933"/>
      <c r="AZ12" s="933"/>
      <c r="BA12" s="933"/>
    </row>
    <row r="13" spans="1:64" s="71" customFormat="1" ht="13.5" customHeight="1">
      <c r="A13" s="70"/>
      <c r="B13" s="219" t="s">
        <v>75</v>
      </c>
      <c r="C13" s="229">
        <f>SUM(L13:O13)</f>
        <v>0.79800000000000182</v>
      </c>
      <c r="D13" s="229">
        <f>SUM(P13:S13)</f>
        <v>-4.8740000000000094</v>
      </c>
      <c r="E13" s="229">
        <f>SUM(T13:W13)</f>
        <v>-6.2259999999999991</v>
      </c>
      <c r="F13" s="229">
        <f>SUM(X13:AA13)</f>
        <v>-30.581999999999994</v>
      </c>
      <c r="G13" s="230">
        <f>SUM(AB13:AE13)</f>
        <v>-6.5219999999999914</v>
      </c>
      <c r="H13" s="229">
        <f>SUM(AF13:AI13)</f>
        <v>-15.137808100000015</v>
      </c>
      <c r="I13" s="229">
        <f>SUM(AJ13:AM13)</f>
        <v>1.0685524590000028</v>
      </c>
      <c r="J13" s="229">
        <f>SUM(AN13:AQ13)</f>
        <v>1.0864772374949894</v>
      </c>
      <c r="K13" s="933"/>
      <c r="L13" s="773">
        <v>2</v>
      </c>
      <c r="M13" s="237">
        <f>SUM(BS!M32:M35)-SUM(BS!L32:L35)</f>
        <v>2.8019999999999925</v>
      </c>
      <c r="N13" s="237">
        <f>SUM(BS!N32:N35)-SUM(BS!M32:M35)</f>
        <v>8.0500000000000114</v>
      </c>
      <c r="O13" s="774">
        <f>SUM(BS!O32:O35)-SUM(BS!N32:N35)</f>
        <v>-12.054000000000002</v>
      </c>
      <c r="P13" s="773">
        <f>SUM(BS!P32:P35)-SUM(BS!O32:O35)</f>
        <v>-0.13899999999998158</v>
      </c>
      <c r="Q13" s="237">
        <f>SUM(BS!Q32:Q35)-SUM(BS!P32:P35)</f>
        <v>2.4759999999999991</v>
      </c>
      <c r="R13" s="237">
        <f>SUM(BS!R32:R35)-SUM(BS!Q32:Q35)</f>
        <v>-9.7477650000000438</v>
      </c>
      <c r="S13" s="774">
        <f>SUM(BS!S32:S35)-SUM(BS!R32:R35)</f>
        <v>2.5367650000000168</v>
      </c>
      <c r="T13" s="773">
        <f>SUM(BS!T32:T35)-SUM(BS!S32:S35)</f>
        <v>0.93999999999999773</v>
      </c>
      <c r="U13" s="237">
        <f>SUM(BS!U32:U35)-SUM(BS!T32:T35)</f>
        <v>-2.4599999999999937</v>
      </c>
      <c r="V13" s="237">
        <f>SUM(BS!V32:V35)-SUM(BS!U32:U35)</f>
        <v>-1.1639999999999873</v>
      </c>
      <c r="W13" s="774">
        <f>SUM(BS!W32:W35)-SUM(BS!V32:V35)</f>
        <v>-3.5420000000000158</v>
      </c>
      <c r="X13" s="773">
        <f>SUM(BS!X32:X35)-SUM(BS!W32:W35)</f>
        <v>2.0430000000000064</v>
      </c>
      <c r="Y13" s="237">
        <f>SUM(BS!Y32:Y35)-SUM(BS!X32:X35)</f>
        <v>2.4109999999999872</v>
      </c>
      <c r="Z13" s="237">
        <f>SUM(BS!Z32:Z35)-SUM(BS!Y32:Y35)</f>
        <v>14.518000000000029</v>
      </c>
      <c r="AA13" s="774">
        <f>SUM(BS!AA32:AA35)-SUM(BS!Z32:Z35)</f>
        <v>-49.554000000000016</v>
      </c>
      <c r="AB13" s="773">
        <f>SUM(BS!AB32:AB35)-SUM(BS!AA32:AA35)</f>
        <v>7.7560000000000002</v>
      </c>
      <c r="AC13" s="237">
        <f>SUM(BS!AC32:AC35)-SUM(BS!AB32:AB35)</f>
        <v>-3.8759999999999906</v>
      </c>
      <c r="AD13" s="237">
        <f>SUM(BS!AD32:AD35)-SUM(BS!AC32:AC35)</f>
        <v>3.7569999999999766</v>
      </c>
      <c r="AE13" s="774">
        <f>SUM(BS!AE32:AE35)-SUM(BS!AD32:AD35)</f>
        <v>-14.158999999999978</v>
      </c>
      <c r="AF13" s="773">
        <f>SUM(BS!AF32:AF35)-SUM(BS!AE32:AE35)</f>
        <v>4.8909999999999911</v>
      </c>
      <c r="AG13" s="237">
        <f>SUM(BS!AG32:AG35)-SUM(BS!AF32:AF35)</f>
        <v>-0.93300000000000693</v>
      </c>
      <c r="AH13" s="238">
        <f>SUM(BS!AH32:AH35)-SUM(BS!AG32:AG35)</f>
        <v>-16.358745199999987</v>
      </c>
      <c r="AI13" s="791">
        <f>SUM(BS!AI32:AI35)-SUM(BS!AH32:AH35)</f>
        <v>-2.7370629000000122</v>
      </c>
      <c r="AJ13" s="801">
        <f>SUM(BS!AJ32:AJ35)-SUM(BS!AI32:AI35)</f>
        <v>-0.24011422499999924</v>
      </c>
      <c r="AK13" s="238">
        <f>SUM(BS!AK32:AK35)-SUM(BS!AJ32:AJ35)</f>
        <v>1.3692968249999922</v>
      </c>
      <c r="AL13" s="238">
        <f>SUM(BS!AL32:AL35)-SUM(BS!AK32:AK35)</f>
        <v>2.7217421790000174</v>
      </c>
      <c r="AM13" s="791">
        <f>SUM(BS!AM32:AM35)-SUM(BS!AL32:AL35)</f>
        <v>-2.7823723200000074</v>
      </c>
      <c r="AN13" s="801">
        <f>SUM(BS!AN32:AN35)-SUM(BS!AM32:AM35)</f>
        <v>-0.25282456387500929</v>
      </c>
      <c r="AO13" s="238">
        <f>SUM(BS!AO32:AO35)-SUM(BS!AN32:AN35)</f>
        <v>1.3957436073750102</v>
      </c>
      <c r="AP13" s="238">
        <f>SUM(BS!AP32:AP35)-SUM(BS!AO32:AO35)</f>
        <v>2.7720046448249889</v>
      </c>
      <c r="AQ13" s="791">
        <f>SUM(BS!AQ32:AQ35)-SUM(BS!AP32:AP35)</f>
        <v>-2.8284464508300005</v>
      </c>
      <c r="AR13" s="934"/>
      <c r="AS13" s="934"/>
      <c r="AT13" s="934"/>
      <c r="AU13" s="934"/>
      <c r="AV13" s="934"/>
      <c r="AW13" s="934"/>
      <c r="AX13" s="933"/>
      <c r="AY13" s="933"/>
      <c r="AZ13" s="933"/>
      <c r="BA13" s="933"/>
    </row>
    <row r="14" spans="1:64" s="161" customFormat="1" ht="13.5" customHeight="1">
      <c r="A14" s="242"/>
      <c r="B14" s="935" t="s">
        <v>131</v>
      </c>
      <c r="C14" s="211">
        <f>C8+C9+(SUM(C10:C13))</f>
        <v>156.64900000000003</v>
      </c>
      <c r="D14" s="211">
        <f t="shared" ref="D14:G14" si="2">D8+D9+(SUM(D10:D13))</f>
        <v>120.96500000000005</v>
      </c>
      <c r="E14" s="211">
        <f t="shared" si="2"/>
        <v>144.03299999999999</v>
      </c>
      <c r="F14" s="211">
        <f t="shared" si="2"/>
        <v>-74.866</v>
      </c>
      <c r="G14" s="243">
        <f t="shared" si="2"/>
        <v>146.33500000000001</v>
      </c>
      <c r="H14" s="211">
        <f ca="1">SUM(H8:H13)</f>
        <v>85.278655437151386</v>
      </c>
      <c r="I14" s="211">
        <f ca="1">SUM(I8:I13)</f>
        <v>132.63581336941604</v>
      </c>
      <c r="J14" s="211">
        <f ca="1">SUM(J8:J13)</f>
        <v>136.68065929264861</v>
      </c>
      <c r="K14" s="163"/>
      <c r="L14" s="807">
        <v>23.318999999999999</v>
      </c>
      <c r="M14" s="808">
        <v>35.103000000000002</v>
      </c>
      <c r="N14" s="808">
        <v>78.224000000000004</v>
      </c>
      <c r="O14" s="809">
        <v>19.782</v>
      </c>
      <c r="P14" s="807">
        <v>18.57</v>
      </c>
      <c r="Q14" s="808">
        <v>25.641999999999999</v>
      </c>
      <c r="R14" s="808">
        <v>31.917518896398526</v>
      </c>
      <c r="S14" s="809">
        <v>44.835481103601474</v>
      </c>
      <c r="T14" s="807">
        <v>24.968</v>
      </c>
      <c r="U14" s="808">
        <v>17.22</v>
      </c>
      <c r="V14" s="808">
        <v>65.855000000000004</v>
      </c>
      <c r="W14" s="809">
        <v>35.99</v>
      </c>
      <c r="X14" s="807">
        <v>18.739000000000001</v>
      </c>
      <c r="Y14" s="808">
        <v>5.1710000000000003</v>
      </c>
      <c r="Z14" s="808">
        <v>-155.10499999999999</v>
      </c>
      <c r="AA14" s="809">
        <v>56.231999999999999</v>
      </c>
      <c r="AB14" s="807">
        <v>57.454000000000001</v>
      </c>
      <c r="AC14" s="808">
        <v>5.4809999999999999</v>
      </c>
      <c r="AD14" s="808">
        <v>19.486000000000001</v>
      </c>
      <c r="AE14" s="809">
        <v>63.917999999999999</v>
      </c>
      <c r="AF14" s="807">
        <v>16.864000000000001</v>
      </c>
      <c r="AG14" s="808">
        <v>21.681000000000001</v>
      </c>
      <c r="AH14" s="314">
        <f ca="1">SUM(AH8:AH13)</f>
        <v>16.782740233802059</v>
      </c>
      <c r="AI14" s="315">
        <f t="shared" ref="AI14:AQ14" ca="1" si="3">SUM(AI8:AI13)</f>
        <v>29.902915203349309</v>
      </c>
      <c r="AJ14" s="313">
        <f t="shared" ca="1" si="3"/>
        <v>31.525035320821182</v>
      </c>
      <c r="AK14" s="314">
        <f t="shared" ca="1" si="3"/>
        <v>34.582875168188764</v>
      </c>
      <c r="AL14" s="314">
        <f t="shared" ca="1" si="3"/>
        <v>37.952892868758134</v>
      </c>
      <c r="AM14" s="315">
        <f t="shared" ca="1" si="3"/>
        <v>28.575010011648018</v>
      </c>
      <c r="AN14" s="313">
        <f t="shared" ca="1" si="3"/>
        <v>35.527762320544838</v>
      </c>
      <c r="AO14" s="314">
        <f t="shared" ca="1" si="3"/>
        <v>38.888738322504139</v>
      </c>
      <c r="AP14" s="314">
        <f t="shared" ca="1" si="3"/>
        <v>42.526720039210105</v>
      </c>
      <c r="AQ14" s="315">
        <f t="shared" ca="1" si="3"/>
        <v>32.841218705861152</v>
      </c>
      <c r="AR14" s="162"/>
      <c r="AS14" s="162"/>
      <c r="AT14" s="162"/>
      <c r="AU14" s="162"/>
      <c r="AV14" s="162"/>
      <c r="AW14" s="162"/>
      <c r="AX14" s="163"/>
      <c r="AY14" s="163"/>
      <c r="AZ14" s="163"/>
      <c r="BA14" s="163"/>
    </row>
    <row r="15" spans="1:64" ht="13.5" customHeight="1">
      <c r="A15" s="14"/>
      <c r="B15" s="42" t="s">
        <v>136</v>
      </c>
      <c r="C15" s="82"/>
      <c r="D15" s="82"/>
      <c r="E15" s="82"/>
      <c r="F15" s="82"/>
      <c r="G15" s="117"/>
      <c r="H15" s="76"/>
      <c r="I15" s="76"/>
      <c r="J15" s="76"/>
      <c r="K15" s="10"/>
      <c r="L15" s="775"/>
      <c r="M15" s="239"/>
      <c r="N15" s="239"/>
      <c r="O15" s="776"/>
      <c r="P15" s="775"/>
      <c r="Q15" s="239"/>
      <c r="R15" s="239"/>
      <c r="S15" s="776"/>
      <c r="T15" s="775"/>
      <c r="U15" s="239"/>
      <c r="V15" s="239"/>
      <c r="W15" s="776"/>
      <c r="X15" s="775"/>
      <c r="Y15" s="239"/>
      <c r="Z15" s="239"/>
      <c r="AA15" s="776"/>
      <c r="AB15" s="775"/>
      <c r="AC15" s="239"/>
      <c r="AD15" s="239"/>
      <c r="AE15" s="776"/>
      <c r="AF15" s="775"/>
      <c r="AG15" s="239"/>
      <c r="AH15" s="183"/>
      <c r="AI15" s="792"/>
      <c r="AJ15" s="802"/>
      <c r="AK15" s="183"/>
      <c r="AL15" s="183"/>
      <c r="AM15" s="792"/>
      <c r="AN15" s="802"/>
      <c r="AO15" s="183"/>
      <c r="AP15" s="183"/>
      <c r="AQ15" s="792"/>
      <c r="AR15" s="78"/>
      <c r="AS15" s="78"/>
      <c r="AT15" s="78"/>
      <c r="AU15" s="78"/>
      <c r="AV15" s="78"/>
      <c r="AW15" s="78"/>
      <c r="AX15" s="10"/>
      <c r="AY15" s="10"/>
      <c r="AZ15" s="10"/>
      <c r="BA15" s="10"/>
    </row>
    <row r="16" spans="1:64" s="140" customFormat="1" ht="13.5" customHeight="1">
      <c r="A16" s="244"/>
      <c r="B16" s="219" t="s">
        <v>41</v>
      </c>
      <c r="C16" s="142">
        <f>SUM(L16:O16)</f>
        <v>-51.265999999999991</v>
      </c>
      <c r="D16" s="142">
        <f>SUM(P16:S16)</f>
        <v>-43.987000000000002</v>
      </c>
      <c r="E16" s="142">
        <f>SUM(T16:W16)</f>
        <v>-88.356999999999999</v>
      </c>
      <c r="F16" s="142">
        <f>SUM(X16:AA16)</f>
        <v>-124.346</v>
      </c>
      <c r="G16" s="936">
        <f>SUM(AB16:AE16)</f>
        <v>-202.27500000000001</v>
      </c>
      <c r="H16" s="142">
        <f>SUM(AF16:AI16)</f>
        <v>-80</v>
      </c>
      <c r="I16" s="142">
        <f>SUM(AJ16:AM16)</f>
        <v>-100</v>
      </c>
      <c r="J16" s="142">
        <f>SUM(AN16:AQ16)</f>
        <v>-100</v>
      </c>
      <c r="K16" s="142"/>
      <c r="L16" s="777">
        <v>-16.428999999999998</v>
      </c>
      <c r="M16" s="174">
        <v>-14.436</v>
      </c>
      <c r="N16" s="174">
        <v>-10.738</v>
      </c>
      <c r="O16" s="309">
        <v>-9.6630000000000003</v>
      </c>
      <c r="P16" s="777">
        <v>-9.048</v>
      </c>
      <c r="Q16" s="174">
        <v>-10.698</v>
      </c>
      <c r="R16" s="174">
        <v>-11.705</v>
      </c>
      <c r="S16" s="309">
        <v>-12.536</v>
      </c>
      <c r="T16" s="777">
        <v>-10.09</v>
      </c>
      <c r="U16" s="174">
        <v>-18.88</v>
      </c>
      <c r="V16" s="174">
        <v>-2.4809999999999999</v>
      </c>
      <c r="W16" s="309">
        <v>-56.905999999999999</v>
      </c>
      <c r="X16" s="777">
        <v>-19.021999999999998</v>
      </c>
      <c r="Y16" s="174">
        <v>-27.777999999999999</v>
      </c>
      <c r="Z16" s="174">
        <v>-23.966999999999999</v>
      </c>
      <c r="AA16" s="309">
        <v>-53.579000000000001</v>
      </c>
      <c r="AB16" s="777">
        <v>-53.292000000000002</v>
      </c>
      <c r="AC16" s="174">
        <v>-64.381</v>
      </c>
      <c r="AD16" s="174">
        <v>-39.601999999999997</v>
      </c>
      <c r="AE16" s="309">
        <v>-45</v>
      </c>
      <c r="AF16" s="777">
        <v>-30</v>
      </c>
      <c r="AG16" s="174">
        <v>-30</v>
      </c>
      <c r="AH16" s="245">
        <v>-10</v>
      </c>
      <c r="AI16" s="292">
        <f>AH16</f>
        <v>-10</v>
      </c>
      <c r="AJ16" s="803">
        <v>-25</v>
      </c>
      <c r="AK16" s="145">
        <f t="shared" ref="AK16:AQ16" si="4">AJ16</f>
        <v>-25</v>
      </c>
      <c r="AL16" s="145">
        <f t="shared" si="4"/>
        <v>-25</v>
      </c>
      <c r="AM16" s="292">
        <f t="shared" si="4"/>
        <v>-25</v>
      </c>
      <c r="AN16" s="803">
        <v>-25</v>
      </c>
      <c r="AO16" s="145">
        <f t="shared" si="4"/>
        <v>-25</v>
      </c>
      <c r="AP16" s="145">
        <f t="shared" si="4"/>
        <v>-25</v>
      </c>
      <c r="AQ16" s="292">
        <f t="shared" si="4"/>
        <v>-25</v>
      </c>
      <c r="AR16" s="141"/>
      <c r="AS16" s="141"/>
      <c r="AT16" s="141"/>
      <c r="AU16" s="141"/>
      <c r="AV16" s="141"/>
      <c r="AW16" s="141"/>
      <c r="AX16" s="142"/>
      <c r="AY16" s="142"/>
      <c r="AZ16" s="142"/>
      <c r="BA16" s="142"/>
      <c r="BB16" s="246"/>
      <c r="BC16" s="246"/>
      <c r="BD16" s="246"/>
      <c r="BE16" s="246"/>
      <c r="BF16" s="246"/>
      <c r="BG16" s="246"/>
    </row>
    <row r="17" spans="1:59" s="140" customFormat="1" ht="13.5" customHeight="1">
      <c r="A17" s="244"/>
      <c r="B17" s="220" t="s">
        <v>76</v>
      </c>
      <c r="C17" s="937">
        <f>SUM(L17:O17)</f>
        <v>8.8159999999999989</v>
      </c>
      <c r="D17" s="937">
        <f>SUM(P17:S17)</f>
        <v>32.064</v>
      </c>
      <c r="E17" s="937">
        <f>SUM(T17:W17)</f>
        <v>18.010999999999999</v>
      </c>
      <c r="F17" s="937">
        <f>SUM(X17:AA17)</f>
        <v>168.90899999999999</v>
      </c>
      <c r="G17" s="938">
        <f>SUM(AB17:AE17)</f>
        <v>35.904000000000003</v>
      </c>
      <c r="H17" s="937">
        <f>SUM(AF17:AI17)</f>
        <v>24.962</v>
      </c>
      <c r="I17" s="937">
        <f>SUM(AJ17:AM17)</f>
        <v>0</v>
      </c>
      <c r="J17" s="937">
        <f>SUM(AN17:AQ17)</f>
        <v>0</v>
      </c>
      <c r="K17" s="142"/>
      <c r="L17" s="778">
        <v>0.48699999999999999</v>
      </c>
      <c r="M17" s="247">
        <v>1.629</v>
      </c>
      <c r="N17" s="247">
        <v>-0.29899999999999999</v>
      </c>
      <c r="O17" s="779">
        <v>6.9989999999999997</v>
      </c>
      <c r="P17" s="778">
        <v>0.68400000000000005</v>
      </c>
      <c r="Q17" s="247">
        <v>12.178000000000001</v>
      </c>
      <c r="R17" s="247">
        <v>-9.5000000000000001E-2</v>
      </c>
      <c r="S17" s="779">
        <v>19.297000000000001</v>
      </c>
      <c r="T17" s="778">
        <v>2.1120000000000001</v>
      </c>
      <c r="U17" s="247">
        <v>11.754</v>
      </c>
      <c r="V17" s="247">
        <v>-28.495999999999999</v>
      </c>
      <c r="W17" s="779">
        <v>32.640999999999998</v>
      </c>
      <c r="X17" s="778">
        <v>7.8239999999999998</v>
      </c>
      <c r="Y17" s="247">
        <v>-39.564</v>
      </c>
      <c r="Z17" s="247">
        <v>151.727</v>
      </c>
      <c r="AA17" s="779">
        <v>48.921999999999997</v>
      </c>
      <c r="AB17" s="778">
        <v>4.1479999999999997</v>
      </c>
      <c r="AC17" s="247">
        <v>10.462</v>
      </c>
      <c r="AD17" s="247">
        <v>10.755000000000001</v>
      </c>
      <c r="AE17" s="779">
        <v>10.539</v>
      </c>
      <c r="AF17" s="778">
        <v>16.552</v>
      </c>
      <c r="AG17" s="247">
        <v>8.41</v>
      </c>
      <c r="AH17" s="248">
        <v>0</v>
      </c>
      <c r="AI17" s="793">
        <f>AH17</f>
        <v>0</v>
      </c>
      <c r="AJ17" s="804">
        <f t="shared" ref="AJ17:AQ17" si="5">AI17</f>
        <v>0</v>
      </c>
      <c r="AK17" s="249">
        <f t="shared" si="5"/>
        <v>0</v>
      </c>
      <c r="AL17" s="249">
        <f t="shared" si="5"/>
        <v>0</v>
      </c>
      <c r="AM17" s="793">
        <f t="shared" si="5"/>
        <v>0</v>
      </c>
      <c r="AN17" s="804">
        <f t="shared" si="5"/>
        <v>0</v>
      </c>
      <c r="AO17" s="249">
        <f t="shared" si="5"/>
        <v>0</v>
      </c>
      <c r="AP17" s="249">
        <f t="shared" si="5"/>
        <v>0</v>
      </c>
      <c r="AQ17" s="793">
        <f t="shared" si="5"/>
        <v>0</v>
      </c>
      <c r="AR17" s="141"/>
      <c r="AS17" s="141"/>
      <c r="AT17" s="141"/>
      <c r="AU17" s="141"/>
      <c r="AV17" s="141"/>
      <c r="AW17" s="141"/>
      <c r="AX17" s="142"/>
      <c r="AY17" s="142"/>
      <c r="AZ17" s="142"/>
      <c r="BA17" s="142"/>
      <c r="BB17" s="246"/>
      <c r="BC17" s="246"/>
      <c r="BD17" s="246"/>
      <c r="BE17" s="246"/>
      <c r="BF17" s="246"/>
      <c r="BG17" s="246"/>
    </row>
    <row r="18" spans="1:59" s="161" customFormat="1" ht="13.5" customHeight="1">
      <c r="A18" s="242"/>
      <c r="B18" s="935" t="s">
        <v>132</v>
      </c>
      <c r="C18" s="163">
        <f t="shared" ref="C18:J18" si="6">C14+C16+C17</f>
        <v>114.19900000000004</v>
      </c>
      <c r="D18" s="163">
        <f t="shared" si="6"/>
        <v>109.04200000000003</v>
      </c>
      <c r="E18" s="163">
        <f t="shared" si="6"/>
        <v>73.686999999999983</v>
      </c>
      <c r="F18" s="163">
        <f t="shared" si="6"/>
        <v>-30.302999999999997</v>
      </c>
      <c r="G18" s="210">
        <f t="shared" si="6"/>
        <v>-20.035999999999994</v>
      </c>
      <c r="H18" s="163">
        <f t="shared" ca="1" si="6"/>
        <v>30.240655437151386</v>
      </c>
      <c r="I18" s="163">
        <f t="shared" ca="1" si="6"/>
        <v>32.635813369416041</v>
      </c>
      <c r="J18" s="163">
        <f t="shared" ca="1" si="6"/>
        <v>36.680659292648613</v>
      </c>
      <c r="K18" s="163"/>
      <c r="L18" s="807">
        <f t="shared" ref="L18:AF18" si="7">SUM(L16:L17)</f>
        <v>-15.941999999999998</v>
      </c>
      <c r="M18" s="808">
        <f t="shared" si="7"/>
        <v>-12.807</v>
      </c>
      <c r="N18" s="808">
        <f t="shared" si="7"/>
        <v>-11.036999999999999</v>
      </c>
      <c r="O18" s="809">
        <f t="shared" si="7"/>
        <v>-2.6640000000000006</v>
      </c>
      <c r="P18" s="807">
        <f t="shared" si="7"/>
        <v>-8.3640000000000008</v>
      </c>
      <c r="Q18" s="808">
        <f t="shared" si="7"/>
        <v>1.4800000000000004</v>
      </c>
      <c r="R18" s="808">
        <f t="shared" si="7"/>
        <v>-11.8</v>
      </c>
      <c r="S18" s="809">
        <f t="shared" si="7"/>
        <v>6.761000000000001</v>
      </c>
      <c r="T18" s="807">
        <f t="shared" si="7"/>
        <v>-7.9779999999999998</v>
      </c>
      <c r="U18" s="808">
        <f t="shared" si="7"/>
        <v>-7.1259999999999994</v>
      </c>
      <c r="V18" s="808">
        <f t="shared" si="7"/>
        <v>-30.976999999999997</v>
      </c>
      <c r="W18" s="809">
        <f t="shared" si="7"/>
        <v>-24.265000000000001</v>
      </c>
      <c r="X18" s="807">
        <f t="shared" si="7"/>
        <v>-11.197999999999999</v>
      </c>
      <c r="Y18" s="808">
        <f t="shared" si="7"/>
        <v>-67.341999999999999</v>
      </c>
      <c r="Z18" s="808">
        <f t="shared" si="7"/>
        <v>127.76</v>
      </c>
      <c r="AA18" s="809">
        <f t="shared" si="7"/>
        <v>-4.6570000000000036</v>
      </c>
      <c r="AB18" s="807">
        <f t="shared" si="7"/>
        <v>-49.144000000000005</v>
      </c>
      <c r="AC18" s="808">
        <f t="shared" si="7"/>
        <v>-53.918999999999997</v>
      </c>
      <c r="AD18" s="808">
        <f t="shared" si="7"/>
        <v>-28.846999999999994</v>
      </c>
      <c r="AE18" s="809">
        <f t="shared" si="7"/>
        <v>-34.460999999999999</v>
      </c>
      <c r="AF18" s="807">
        <f t="shared" si="7"/>
        <v>-13.448</v>
      </c>
      <c r="AG18" s="808">
        <f>SUM(AG16:AG17)</f>
        <v>-21.59</v>
      </c>
      <c r="AH18" s="314">
        <f>SUM(AH16:AH17)</f>
        <v>-10</v>
      </c>
      <c r="AI18" s="315">
        <f t="shared" ref="AI18:AQ18" si="8">SUM(AI16:AI17)</f>
        <v>-10</v>
      </c>
      <c r="AJ18" s="313">
        <f t="shared" si="8"/>
        <v>-25</v>
      </c>
      <c r="AK18" s="314">
        <f t="shared" si="8"/>
        <v>-25</v>
      </c>
      <c r="AL18" s="314">
        <f t="shared" si="8"/>
        <v>-25</v>
      </c>
      <c r="AM18" s="315">
        <f t="shared" si="8"/>
        <v>-25</v>
      </c>
      <c r="AN18" s="313">
        <f t="shared" si="8"/>
        <v>-25</v>
      </c>
      <c r="AO18" s="314">
        <f t="shared" si="8"/>
        <v>-25</v>
      </c>
      <c r="AP18" s="314">
        <f t="shared" si="8"/>
        <v>-25</v>
      </c>
      <c r="AQ18" s="315">
        <f t="shared" si="8"/>
        <v>-25</v>
      </c>
      <c r="AR18" s="162"/>
      <c r="AS18" s="162"/>
      <c r="AT18" s="162"/>
      <c r="AU18" s="162"/>
      <c r="AV18" s="162"/>
      <c r="AW18" s="162"/>
      <c r="AX18" s="163"/>
      <c r="AY18" s="163"/>
      <c r="AZ18" s="163"/>
      <c r="BA18" s="163"/>
    </row>
    <row r="19" spans="1:59" s="2" customFormat="1" ht="13.5" customHeight="1">
      <c r="A19" s="14"/>
      <c r="B19" s="42" t="s">
        <v>137</v>
      </c>
      <c r="C19" s="82"/>
      <c r="D19" s="82"/>
      <c r="E19" s="82"/>
      <c r="F19" s="82"/>
      <c r="G19" s="117"/>
      <c r="H19" s="76"/>
      <c r="I19" s="76"/>
      <c r="J19" s="76"/>
      <c r="K19" s="10"/>
      <c r="L19" s="775"/>
      <c r="M19" s="239"/>
      <c r="N19" s="239"/>
      <c r="O19" s="776"/>
      <c r="P19" s="775"/>
      <c r="Q19" s="239"/>
      <c r="R19" s="239"/>
      <c r="S19" s="776"/>
      <c r="T19" s="775"/>
      <c r="U19" s="239"/>
      <c r="V19" s="239"/>
      <c r="W19" s="776"/>
      <c r="X19" s="775"/>
      <c r="Y19" s="239"/>
      <c r="Z19" s="239"/>
      <c r="AA19" s="776"/>
      <c r="AB19" s="775"/>
      <c r="AC19" s="239"/>
      <c r="AD19" s="239"/>
      <c r="AE19" s="776"/>
      <c r="AF19" s="775"/>
      <c r="AG19" s="239"/>
      <c r="AH19" s="183"/>
      <c r="AI19" s="792"/>
      <c r="AJ19" s="802"/>
      <c r="AK19" s="183"/>
      <c r="AL19" s="183"/>
      <c r="AM19" s="792"/>
      <c r="AN19" s="802"/>
      <c r="AO19" s="183"/>
      <c r="AP19" s="183"/>
      <c r="AQ19" s="792"/>
      <c r="AR19" s="78"/>
      <c r="AS19" s="78"/>
      <c r="AT19" s="78"/>
      <c r="AU19" s="78"/>
      <c r="AV19" s="78"/>
      <c r="AW19" s="78"/>
      <c r="AX19" s="10"/>
      <c r="AY19" s="10"/>
      <c r="AZ19" s="10"/>
      <c r="BA19" s="10"/>
      <c r="BB19" s="17"/>
      <c r="BC19" s="17"/>
      <c r="BD19" s="17"/>
      <c r="BE19" s="17"/>
      <c r="BF19" s="17"/>
      <c r="BG19" s="17"/>
    </row>
    <row r="20" spans="1:59" s="137" customFormat="1" ht="13.5" customHeight="1">
      <c r="A20" s="98"/>
      <c r="B20" s="939" t="s">
        <v>134</v>
      </c>
      <c r="C20" s="136"/>
      <c r="D20" s="136"/>
      <c r="E20" s="136"/>
      <c r="F20" s="136"/>
      <c r="G20" s="120"/>
      <c r="H20" s="136">
        <f ca="1">SUM(AF20:AI20)</f>
        <v>-0.82100896247411104</v>
      </c>
      <c r="I20" s="136">
        <f ca="1">SUM(AJ20:AM20)</f>
        <v>18.9884408510407</v>
      </c>
      <c r="J20" s="136">
        <f ca="1">SUM(AN20:AQ20)</f>
        <v>4.0423053983742889</v>
      </c>
      <c r="K20" s="136"/>
      <c r="L20" s="681"/>
      <c r="M20" s="177"/>
      <c r="N20" s="177"/>
      <c r="O20" s="310"/>
      <c r="P20" s="681"/>
      <c r="Q20" s="177"/>
      <c r="R20" s="177"/>
      <c r="S20" s="310"/>
      <c r="T20" s="681"/>
      <c r="U20" s="177"/>
      <c r="V20" s="177"/>
      <c r="W20" s="310"/>
      <c r="X20" s="681"/>
      <c r="Y20" s="177"/>
      <c r="Z20" s="177"/>
      <c r="AA20" s="310"/>
      <c r="AB20" s="681"/>
      <c r="AC20" s="177"/>
      <c r="AD20" s="177"/>
      <c r="AE20" s="310"/>
      <c r="AF20" s="810"/>
      <c r="AG20" s="632"/>
      <c r="AH20" s="811">
        <f ca="1">Debt!I17+Debt!I18</f>
        <v>6.7964752577570264</v>
      </c>
      <c r="AI20" s="812">
        <f ca="1">Debt!J17+Debt!J18</f>
        <v>-7.6174842202311375</v>
      </c>
      <c r="AJ20" s="813">
        <f ca="1">Debt!K17+Debt!K18</f>
        <v>6.431673715921618</v>
      </c>
      <c r="AK20" s="811">
        <f ca="1">Debt!L17+Debt!L18</f>
        <v>3.3400702141349692</v>
      </c>
      <c r="AL20" s="811">
        <f ca="1">Debt!M17+Debt!M18</f>
        <v>-6.3711140853468073E-2</v>
      </c>
      <c r="AM20" s="812">
        <f ca="1">Debt!N17+Debt!N18</f>
        <v>9.2804080618375799</v>
      </c>
      <c r="AN20" s="813">
        <f ca="1">Debt!O17+Debt!O18</f>
        <v>2.9840380766746222</v>
      </c>
      <c r="AO20" s="811">
        <f ca="1">Debt!P17+Debt!P18</f>
        <v>-0.41368072568189795</v>
      </c>
      <c r="AP20" s="811">
        <f ca="1">Debt!Q17+Debt!Q18</f>
        <v>-4.0884052427850843</v>
      </c>
      <c r="AQ20" s="812">
        <f ca="1">Debt!R17+Debt!R18</f>
        <v>5.560353290166649</v>
      </c>
      <c r="AR20" s="104"/>
      <c r="AS20" s="104"/>
      <c r="AT20" s="104"/>
      <c r="AU20" s="104"/>
      <c r="AV20" s="104"/>
      <c r="AW20" s="104"/>
      <c r="AX20" s="136"/>
      <c r="AY20" s="136"/>
      <c r="AZ20" s="136"/>
      <c r="BA20" s="136"/>
      <c r="BB20" s="232"/>
      <c r="BC20" s="232"/>
      <c r="BD20" s="232"/>
      <c r="BE20" s="232"/>
      <c r="BF20" s="232"/>
      <c r="BG20" s="232"/>
    </row>
    <row r="21" spans="1:59" s="137" customFormat="1" ht="13.5" customHeight="1">
      <c r="A21" s="98"/>
      <c r="B21" s="940" t="s">
        <v>106</v>
      </c>
      <c r="C21" s="136"/>
      <c r="D21" s="136"/>
      <c r="E21" s="136"/>
      <c r="F21" s="136"/>
      <c r="G21" s="120"/>
      <c r="H21" s="136">
        <f>Equity!C9</f>
        <v>-10</v>
      </c>
      <c r="I21" s="136">
        <f>Equity!D9</f>
        <v>-20</v>
      </c>
      <c r="J21" s="136">
        <f>Equity!E9</f>
        <v>-20</v>
      </c>
      <c r="K21" s="136"/>
      <c r="L21" s="780"/>
      <c r="M21" s="240"/>
      <c r="N21" s="240"/>
      <c r="O21" s="781"/>
      <c r="P21" s="780"/>
      <c r="Q21" s="240"/>
      <c r="R21" s="240"/>
      <c r="S21" s="781"/>
      <c r="T21" s="780"/>
      <c r="U21" s="240"/>
      <c r="V21" s="240"/>
      <c r="W21" s="781"/>
      <c r="X21" s="780"/>
      <c r="Y21" s="240"/>
      <c r="Z21" s="240"/>
      <c r="AA21" s="781"/>
      <c r="AB21" s="780"/>
      <c r="AC21" s="240"/>
      <c r="AD21" s="240"/>
      <c r="AE21" s="781"/>
      <c r="AF21" s="780"/>
      <c r="AG21" s="240"/>
      <c r="AH21" s="105">
        <f>Equity!I9</f>
        <v>-5</v>
      </c>
      <c r="AI21" s="293">
        <f>Equity!J9</f>
        <v>-5</v>
      </c>
      <c r="AJ21" s="281">
        <f>Equity!K9</f>
        <v>-5</v>
      </c>
      <c r="AK21" s="105">
        <f>Equity!L9</f>
        <v>-5</v>
      </c>
      <c r="AL21" s="105">
        <f>Equity!M9</f>
        <v>-5</v>
      </c>
      <c r="AM21" s="293">
        <f>Equity!N9</f>
        <v>-5</v>
      </c>
      <c r="AN21" s="281">
        <f>Equity!O9</f>
        <v>-5</v>
      </c>
      <c r="AO21" s="105">
        <f>Equity!P9</f>
        <v>-5</v>
      </c>
      <c r="AP21" s="105">
        <f>Equity!Q9</f>
        <v>-5</v>
      </c>
      <c r="AQ21" s="293">
        <f>Equity!R9</f>
        <v>-5</v>
      </c>
      <c r="AR21" s="104"/>
      <c r="AS21" s="104"/>
      <c r="AT21" s="104"/>
      <c r="AU21" s="104"/>
      <c r="AV21" s="104"/>
      <c r="AW21" s="104"/>
      <c r="AX21" s="136"/>
      <c r="AY21" s="136"/>
      <c r="AZ21" s="136"/>
      <c r="BA21" s="136"/>
      <c r="BB21" s="232"/>
      <c r="BC21" s="232"/>
      <c r="BD21" s="232"/>
      <c r="BE21" s="232"/>
      <c r="BF21" s="232"/>
      <c r="BG21" s="232"/>
    </row>
    <row r="22" spans="1:59" s="137" customFormat="1" ht="13.5" customHeight="1">
      <c r="A22" s="98"/>
      <c r="B22" s="939" t="s">
        <v>107</v>
      </c>
      <c r="C22" s="136"/>
      <c r="D22" s="136"/>
      <c r="E22" s="136"/>
      <c r="F22" s="136"/>
      <c r="G22" s="120"/>
      <c r="H22" s="941">
        <f>Equity!C10</f>
        <v>-29.261236474677254</v>
      </c>
      <c r="I22" s="941">
        <f>Equity!D10</f>
        <v>-31.624254220456798</v>
      </c>
      <c r="J22" s="941">
        <f>Equity!E10</f>
        <v>-33.826744786494515</v>
      </c>
      <c r="K22" s="136"/>
      <c r="L22" s="780"/>
      <c r="M22" s="240"/>
      <c r="N22" s="240"/>
      <c r="O22" s="781"/>
      <c r="P22" s="780"/>
      <c r="Q22" s="240"/>
      <c r="R22" s="240"/>
      <c r="S22" s="781"/>
      <c r="T22" s="780"/>
      <c r="U22" s="240"/>
      <c r="V22" s="240"/>
      <c r="W22" s="781"/>
      <c r="X22" s="780"/>
      <c r="Y22" s="240"/>
      <c r="Z22" s="240"/>
      <c r="AA22" s="781"/>
      <c r="AB22" s="780"/>
      <c r="AC22" s="240"/>
      <c r="AD22" s="240"/>
      <c r="AE22" s="781"/>
      <c r="AF22" s="794"/>
      <c r="AG22" s="576"/>
      <c r="AH22" s="155">
        <f>Equity!I16</f>
        <v>-7.3162154915590856</v>
      </c>
      <c r="AI22" s="795">
        <f>Equity!J16</f>
        <v>-7.2854309831181716</v>
      </c>
      <c r="AJ22" s="805">
        <f>Equity!K16</f>
        <v>-7.9567090367427999</v>
      </c>
      <c r="AK22" s="155">
        <f>Equity!L16</f>
        <v>-7.922945382323733</v>
      </c>
      <c r="AL22" s="155">
        <f>Equity!M16</f>
        <v>-7.8891817279046661</v>
      </c>
      <c r="AM22" s="795">
        <f>Equity!N16</f>
        <v>-7.8554180734855992</v>
      </c>
      <c r="AN22" s="805">
        <f>Equity!O16</f>
        <v>-8.51180039721946</v>
      </c>
      <c r="AO22" s="155">
        <f>Equity!P16</f>
        <v>-8.475057596822241</v>
      </c>
      <c r="AP22" s="155">
        <f>Equity!Q16</f>
        <v>-8.4383147964250202</v>
      </c>
      <c r="AQ22" s="795">
        <f>Equity!R16</f>
        <v>-8.4015719960278012</v>
      </c>
      <c r="AR22" s="104"/>
      <c r="AS22" s="104"/>
      <c r="AT22" s="104"/>
      <c r="AU22" s="104"/>
      <c r="AV22" s="104"/>
      <c r="AW22" s="104"/>
      <c r="AX22" s="136"/>
      <c r="AY22" s="136"/>
      <c r="AZ22" s="136"/>
      <c r="BA22" s="136"/>
      <c r="BB22" s="232"/>
      <c r="BC22" s="232"/>
      <c r="BD22" s="232"/>
      <c r="BE22" s="232"/>
      <c r="BF22" s="232"/>
      <c r="BG22" s="232"/>
    </row>
    <row r="23" spans="1:59" s="233" customFormat="1" ht="13.5" customHeight="1">
      <c r="A23" s="231"/>
      <c r="B23" s="942" t="s">
        <v>133</v>
      </c>
      <c r="C23" s="943"/>
      <c r="D23" s="943"/>
      <c r="E23" s="943"/>
      <c r="F23" s="943"/>
      <c r="G23" s="944"/>
      <c r="H23" s="943">
        <f t="shared" ref="H23:J23" ca="1" si="9">SUM(H20:H22)</f>
        <v>-40.082245437151364</v>
      </c>
      <c r="I23" s="943">
        <f t="shared" ca="1" si="9"/>
        <v>-32.635813369416098</v>
      </c>
      <c r="J23" s="943">
        <f t="shared" ca="1" si="9"/>
        <v>-49.784439388120227</v>
      </c>
      <c r="K23" s="943"/>
      <c r="L23" s="782"/>
      <c r="M23" s="241"/>
      <c r="N23" s="241"/>
      <c r="O23" s="783"/>
      <c r="P23" s="782"/>
      <c r="Q23" s="241"/>
      <c r="R23" s="241"/>
      <c r="S23" s="783"/>
      <c r="T23" s="782"/>
      <c r="U23" s="241"/>
      <c r="V23" s="241"/>
      <c r="W23" s="783"/>
      <c r="X23" s="782"/>
      <c r="Y23" s="241"/>
      <c r="Z23" s="241"/>
      <c r="AA23" s="783"/>
      <c r="AB23" s="782"/>
      <c r="AC23" s="241"/>
      <c r="AD23" s="241"/>
      <c r="AE23" s="783"/>
      <c r="AF23" s="814"/>
      <c r="AG23" s="815"/>
      <c r="AH23" s="796">
        <f t="shared" ref="AH23:AQ23" ca="1" si="10">SUM(AH20:AH22)</f>
        <v>-5.5197402338020591</v>
      </c>
      <c r="AI23" s="797">
        <f t="shared" ca="1" si="10"/>
        <v>-19.902915203349309</v>
      </c>
      <c r="AJ23" s="806">
        <f t="shared" ca="1" si="10"/>
        <v>-6.525035320821182</v>
      </c>
      <c r="AK23" s="796">
        <f t="shared" ca="1" si="10"/>
        <v>-9.5828751681887638</v>
      </c>
      <c r="AL23" s="796">
        <f t="shared" ca="1" si="10"/>
        <v>-12.952892868758134</v>
      </c>
      <c r="AM23" s="797">
        <f t="shared" ca="1" si="10"/>
        <v>-3.5750100116480192</v>
      </c>
      <c r="AN23" s="806">
        <f t="shared" ca="1" si="10"/>
        <v>-10.527762320544838</v>
      </c>
      <c r="AO23" s="796">
        <f t="shared" ca="1" si="10"/>
        <v>-13.888738322504139</v>
      </c>
      <c r="AP23" s="796">
        <f t="shared" ca="1" si="10"/>
        <v>-17.526720039210105</v>
      </c>
      <c r="AQ23" s="797">
        <f t="shared" ca="1" si="10"/>
        <v>-7.8412187058611522</v>
      </c>
      <c r="AR23" s="945"/>
      <c r="AS23" s="945"/>
      <c r="AT23" s="945"/>
      <c r="AU23" s="945"/>
      <c r="AV23" s="945"/>
      <c r="AW23" s="945"/>
      <c r="AX23" s="943"/>
      <c r="AY23" s="943"/>
      <c r="AZ23" s="943"/>
      <c r="BA23" s="943"/>
    </row>
    <row r="24" spans="1:59" s="137" customFormat="1" ht="13.5" customHeight="1">
      <c r="A24" s="98"/>
      <c r="B24" s="136"/>
      <c r="C24" s="136"/>
      <c r="D24" s="136"/>
      <c r="E24" s="136"/>
      <c r="F24" s="136"/>
      <c r="G24" s="120"/>
      <c r="H24" s="136"/>
      <c r="I24" s="136"/>
      <c r="J24" s="136"/>
      <c r="K24" s="136"/>
      <c r="L24" s="281"/>
      <c r="M24" s="105"/>
      <c r="N24" s="105"/>
      <c r="O24" s="293"/>
      <c r="P24" s="281"/>
      <c r="Q24" s="105"/>
      <c r="R24" s="105"/>
      <c r="S24" s="293"/>
      <c r="T24" s="281"/>
      <c r="U24" s="105"/>
      <c r="V24" s="105"/>
      <c r="W24" s="293"/>
      <c r="X24" s="281"/>
      <c r="Y24" s="105"/>
      <c r="Z24" s="105"/>
      <c r="AA24" s="293"/>
      <c r="AB24" s="281"/>
      <c r="AC24" s="105"/>
      <c r="AD24" s="105"/>
      <c r="AE24" s="293"/>
      <c r="AF24" s="281"/>
      <c r="AG24" s="105"/>
      <c r="AH24" s="105"/>
      <c r="AI24" s="293"/>
      <c r="AJ24" s="281"/>
      <c r="AK24" s="105"/>
      <c r="AL24" s="105"/>
      <c r="AM24" s="293"/>
      <c r="AN24" s="281"/>
      <c r="AO24" s="105"/>
      <c r="AP24" s="105"/>
      <c r="AQ24" s="293"/>
      <c r="AR24" s="104"/>
      <c r="AS24" s="104"/>
      <c r="AT24" s="104"/>
      <c r="AU24" s="104"/>
      <c r="AV24" s="104"/>
      <c r="AW24" s="104"/>
      <c r="AX24" s="136"/>
      <c r="AY24" s="136"/>
      <c r="AZ24" s="136"/>
      <c r="BA24" s="136"/>
      <c r="BB24" s="232"/>
      <c r="BC24" s="232"/>
      <c r="BD24" s="232"/>
      <c r="BE24" s="232"/>
      <c r="BF24" s="232"/>
      <c r="BG24" s="232"/>
    </row>
    <row r="25" spans="1:59" s="137" customFormat="1" ht="13.5" customHeight="1">
      <c r="A25" s="98"/>
      <c r="B25" s="939" t="s">
        <v>114</v>
      </c>
      <c r="C25" s="136"/>
      <c r="D25" s="136"/>
      <c r="E25" s="136"/>
      <c r="F25" s="136"/>
      <c r="G25" s="120"/>
      <c r="H25" s="136">
        <f ca="1">H14+H18+H23</f>
        <v>75.437065437151404</v>
      </c>
      <c r="I25" s="136">
        <f ca="1">I14+I18+I23</f>
        <v>132.63581336941598</v>
      </c>
      <c r="J25" s="136">
        <f ca="1">J14+J18+J23</f>
        <v>123.57687919717699</v>
      </c>
      <c r="K25" s="136"/>
      <c r="L25" s="810">
        <v>8.2959999999999994</v>
      </c>
      <c r="M25" s="632">
        <v>-10.404</v>
      </c>
      <c r="N25" s="632">
        <v>8.2840000000000007</v>
      </c>
      <c r="O25" s="633">
        <v>-1.9790000000000001</v>
      </c>
      <c r="P25" s="810">
        <v>-6.3380000000000001</v>
      </c>
      <c r="Q25" s="632">
        <v>5.9870000000000001</v>
      </c>
      <c r="R25" s="632">
        <v>20.117518896398529</v>
      </c>
      <c r="S25" s="633">
        <v>20.160481103601473</v>
      </c>
      <c r="T25" s="810">
        <v>2.2069999999999999</v>
      </c>
      <c r="U25" s="632">
        <v>-21.706</v>
      </c>
      <c r="V25" s="632">
        <v>9.7119999999999997</v>
      </c>
      <c r="W25" s="633">
        <v>-11.997</v>
      </c>
      <c r="X25" s="810">
        <v>-34.82</v>
      </c>
      <c r="Y25" s="632">
        <v>3.694</v>
      </c>
      <c r="Z25" s="632">
        <v>-0.38700000000000001</v>
      </c>
      <c r="AA25" s="633">
        <v>4.577</v>
      </c>
      <c r="AB25" s="810">
        <v>-2.911</v>
      </c>
      <c r="AC25" s="632">
        <v>-1.345</v>
      </c>
      <c r="AD25" s="632">
        <v>0.65500000000000003</v>
      </c>
      <c r="AE25" s="633">
        <v>2.4169999999999998</v>
      </c>
      <c r="AF25" s="810">
        <v>-4.2009999999999996</v>
      </c>
      <c r="AG25" s="632">
        <v>0.112</v>
      </c>
      <c r="AH25" s="811">
        <f t="shared" ref="AH25:AQ25" ca="1" si="11">AH14+AH18+AH23</f>
        <v>1.2629999999999999</v>
      </c>
      <c r="AI25" s="812">
        <f t="shared" ca="1" si="11"/>
        <v>0</v>
      </c>
      <c r="AJ25" s="813">
        <f t="shared" ca="1" si="11"/>
        <v>0</v>
      </c>
      <c r="AK25" s="811">
        <f t="shared" ca="1" si="11"/>
        <v>0</v>
      </c>
      <c r="AL25" s="811">
        <f t="shared" ca="1" si="11"/>
        <v>0</v>
      </c>
      <c r="AM25" s="812">
        <f t="shared" ca="1" si="11"/>
        <v>0</v>
      </c>
      <c r="AN25" s="813">
        <f t="shared" ca="1" si="11"/>
        <v>0</v>
      </c>
      <c r="AO25" s="811">
        <f t="shared" ca="1" si="11"/>
        <v>0</v>
      </c>
      <c r="AP25" s="811">
        <f t="shared" ca="1" si="11"/>
        <v>0</v>
      </c>
      <c r="AQ25" s="812">
        <f t="shared" ca="1" si="11"/>
        <v>0</v>
      </c>
      <c r="AR25" s="104"/>
      <c r="AS25" s="104"/>
      <c r="AT25" s="104"/>
      <c r="AU25" s="104"/>
      <c r="AV25" s="104"/>
      <c r="AW25" s="104"/>
      <c r="AX25" s="136"/>
      <c r="AY25" s="136"/>
      <c r="AZ25" s="136"/>
      <c r="BA25" s="136"/>
      <c r="BB25" s="232"/>
      <c r="BC25" s="232"/>
      <c r="BD25" s="232"/>
      <c r="BE25" s="232"/>
      <c r="BF25" s="232"/>
      <c r="BG25" s="232"/>
    </row>
    <row r="26" spans="1:59" s="137" customFormat="1" ht="13.5" customHeight="1">
      <c r="A26" s="98"/>
      <c r="B26" s="940" t="s">
        <v>24</v>
      </c>
      <c r="C26" s="104"/>
      <c r="D26" s="104"/>
      <c r="E26" s="104"/>
      <c r="F26" s="104"/>
      <c r="G26" s="120"/>
      <c r="H26" s="151">
        <f t="shared" ref="H26:J26" si="12">G27</f>
        <v>7.8259999999999996</v>
      </c>
      <c r="I26" s="151">
        <f t="shared" ca="1" si="12"/>
        <v>83.263065437151397</v>
      </c>
      <c r="J26" s="151">
        <f t="shared" ca="1" si="12"/>
        <v>215.89887880656738</v>
      </c>
      <c r="K26" s="136"/>
      <c r="L26" s="681">
        <v>13.606</v>
      </c>
      <c r="M26" s="177">
        <v>21.902000000000001</v>
      </c>
      <c r="N26" s="177">
        <v>11.497999999999999</v>
      </c>
      <c r="O26" s="310">
        <v>19.782</v>
      </c>
      <c r="P26" s="681">
        <v>17.803000000000001</v>
      </c>
      <c r="Q26" s="177">
        <v>11.465</v>
      </c>
      <c r="R26" s="177">
        <v>17.452000000000002</v>
      </c>
      <c r="S26" s="310">
        <v>37.569518896398527</v>
      </c>
      <c r="T26" s="681">
        <v>57.73</v>
      </c>
      <c r="U26" s="177">
        <v>59.936999999999998</v>
      </c>
      <c r="V26" s="177">
        <v>38.231000000000002</v>
      </c>
      <c r="W26" s="310">
        <v>47.942999999999998</v>
      </c>
      <c r="X26" s="681">
        <v>35.945999999999998</v>
      </c>
      <c r="Y26" s="177">
        <v>1.1259999999999999</v>
      </c>
      <c r="Z26" s="177">
        <v>4.82</v>
      </c>
      <c r="AA26" s="310">
        <v>4.4329999999999998</v>
      </c>
      <c r="AB26" s="681">
        <v>9.01</v>
      </c>
      <c r="AC26" s="177">
        <v>6.0990000000000002</v>
      </c>
      <c r="AD26" s="177">
        <v>4.7539999999999996</v>
      </c>
      <c r="AE26" s="310">
        <v>5.4089999999999998</v>
      </c>
      <c r="AF26" s="681">
        <v>7.8259999999999996</v>
      </c>
      <c r="AG26" s="177">
        <v>3.625</v>
      </c>
      <c r="AH26" s="105">
        <f>AG27</f>
        <v>3.7370000000000001</v>
      </c>
      <c r="AI26" s="293">
        <f ca="1">AH27</f>
        <v>5</v>
      </c>
      <c r="AJ26" s="281">
        <f t="shared" ref="AJ26:AQ26" ca="1" si="13">AI27</f>
        <v>5</v>
      </c>
      <c r="AK26" s="105">
        <f t="shared" ca="1" si="13"/>
        <v>5</v>
      </c>
      <c r="AL26" s="105">
        <f t="shared" ca="1" si="13"/>
        <v>5</v>
      </c>
      <c r="AM26" s="293">
        <f t="shared" ca="1" si="13"/>
        <v>5</v>
      </c>
      <c r="AN26" s="281">
        <f t="shared" ca="1" si="13"/>
        <v>5</v>
      </c>
      <c r="AO26" s="105">
        <f t="shared" ca="1" si="13"/>
        <v>5</v>
      </c>
      <c r="AP26" s="105">
        <f t="shared" ca="1" si="13"/>
        <v>5</v>
      </c>
      <c r="AQ26" s="293">
        <f t="shared" ca="1" si="13"/>
        <v>5</v>
      </c>
      <c r="AR26" s="104"/>
      <c r="AS26" s="104"/>
      <c r="AT26" s="104"/>
      <c r="AU26" s="104"/>
      <c r="AV26" s="104"/>
      <c r="AW26" s="104"/>
      <c r="AX26" s="136"/>
      <c r="AY26" s="136"/>
      <c r="AZ26" s="136"/>
      <c r="BA26" s="136"/>
      <c r="BB26" s="232"/>
      <c r="BC26" s="232"/>
      <c r="BD26" s="232"/>
      <c r="BE26" s="232"/>
      <c r="BF26" s="232"/>
      <c r="BG26" s="232"/>
    </row>
    <row r="27" spans="1:59" s="137" customFormat="1" ht="13.5" customHeight="1">
      <c r="A27" s="98"/>
      <c r="B27" s="939" t="s">
        <v>77</v>
      </c>
      <c r="C27" s="104"/>
      <c r="D27" s="104"/>
      <c r="E27" s="104"/>
      <c r="F27" s="104"/>
      <c r="G27" s="946">
        <f>AE27</f>
        <v>7.8259999999999996</v>
      </c>
      <c r="H27" s="104">
        <f ca="1">H26+H25</f>
        <v>83.263065437151397</v>
      </c>
      <c r="I27" s="104">
        <f ca="1">I26+I25</f>
        <v>215.89887880656738</v>
      </c>
      <c r="J27" s="104">
        <f ca="1">J26+J25</f>
        <v>339.47575800374437</v>
      </c>
      <c r="K27" s="136"/>
      <c r="L27" s="816">
        <v>21.902000000000001</v>
      </c>
      <c r="M27" s="676">
        <v>11.497999999999999</v>
      </c>
      <c r="N27" s="676">
        <v>19.782</v>
      </c>
      <c r="O27" s="817">
        <v>17.803000000000001</v>
      </c>
      <c r="P27" s="816">
        <v>11.465</v>
      </c>
      <c r="Q27" s="676">
        <v>17.452000000000002</v>
      </c>
      <c r="R27" s="676">
        <v>37.569518896398527</v>
      </c>
      <c r="S27" s="817">
        <v>57.73</v>
      </c>
      <c r="T27" s="816">
        <v>59.936999999999998</v>
      </c>
      <c r="U27" s="676">
        <v>38.231000000000002</v>
      </c>
      <c r="V27" s="676">
        <v>47.942999999999998</v>
      </c>
      <c r="W27" s="817">
        <v>35.945999999999998</v>
      </c>
      <c r="X27" s="816">
        <v>1.1259999999999999</v>
      </c>
      <c r="Y27" s="676">
        <v>4.82</v>
      </c>
      <c r="Z27" s="676">
        <v>4.4329999999999998</v>
      </c>
      <c r="AA27" s="817">
        <v>9.01</v>
      </c>
      <c r="AB27" s="816">
        <v>6.0990000000000002</v>
      </c>
      <c r="AC27" s="676">
        <v>4.7539999999999996</v>
      </c>
      <c r="AD27" s="676">
        <v>5.4089999999999998</v>
      </c>
      <c r="AE27" s="817">
        <v>7.8259999999999996</v>
      </c>
      <c r="AF27" s="816">
        <v>3.625</v>
      </c>
      <c r="AG27" s="676">
        <v>3.7370000000000001</v>
      </c>
      <c r="AH27" s="818">
        <f t="shared" ref="AH27:AQ27" ca="1" si="14">AH26+AH25</f>
        <v>5</v>
      </c>
      <c r="AI27" s="819">
        <f t="shared" ca="1" si="14"/>
        <v>5</v>
      </c>
      <c r="AJ27" s="820">
        <f t="shared" ca="1" si="14"/>
        <v>5</v>
      </c>
      <c r="AK27" s="818">
        <f t="shared" ca="1" si="14"/>
        <v>5</v>
      </c>
      <c r="AL27" s="818">
        <f t="shared" ca="1" si="14"/>
        <v>5</v>
      </c>
      <c r="AM27" s="819">
        <f t="shared" ca="1" si="14"/>
        <v>5</v>
      </c>
      <c r="AN27" s="820">
        <f t="shared" ca="1" si="14"/>
        <v>5</v>
      </c>
      <c r="AO27" s="818">
        <f t="shared" ca="1" si="14"/>
        <v>5</v>
      </c>
      <c r="AP27" s="818">
        <f t="shared" ca="1" si="14"/>
        <v>5</v>
      </c>
      <c r="AQ27" s="819">
        <f t="shared" ca="1" si="14"/>
        <v>5</v>
      </c>
      <c r="AR27" s="104"/>
      <c r="AS27" s="104"/>
      <c r="AT27" s="104"/>
      <c r="AU27" s="104"/>
      <c r="AV27" s="104"/>
      <c r="AW27" s="104"/>
      <c r="AX27" s="136"/>
      <c r="AY27" s="136"/>
      <c r="AZ27" s="136"/>
      <c r="BA27" s="136"/>
      <c r="BB27" s="232"/>
      <c r="BC27" s="232"/>
      <c r="BD27" s="232"/>
      <c r="BE27" s="232"/>
      <c r="BF27" s="232"/>
      <c r="BG27" s="232"/>
    </row>
    <row r="28" spans="1:59" s="137" customFormat="1" ht="13.5" customHeight="1">
      <c r="A28" s="98"/>
      <c r="B28" s="940"/>
      <c r="C28" s="947"/>
      <c r="D28" s="947"/>
      <c r="E28" s="947"/>
      <c r="F28" s="947"/>
      <c r="G28" s="946">
        <f>AE28</f>
        <v>0</v>
      </c>
      <c r="H28" s="104"/>
      <c r="I28" s="104"/>
      <c r="J28" s="104"/>
      <c r="K28" s="136"/>
      <c r="L28" s="681"/>
      <c r="M28" s="177"/>
      <c r="N28" s="177"/>
      <c r="O28" s="310"/>
      <c r="P28" s="681"/>
      <c r="Q28" s="177"/>
      <c r="R28" s="177"/>
      <c r="S28" s="310"/>
      <c r="T28" s="681"/>
      <c r="U28" s="177"/>
      <c r="V28" s="177"/>
      <c r="W28" s="310"/>
      <c r="X28" s="681"/>
      <c r="Y28" s="177"/>
      <c r="Z28" s="177"/>
      <c r="AA28" s="310"/>
      <c r="AB28" s="681"/>
      <c r="AC28" s="177"/>
      <c r="AD28" s="177"/>
      <c r="AE28" s="310"/>
      <c r="AF28" s="681"/>
      <c r="AG28" s="177"/>
      <c r="AH28" s="105"/>
      <c r="AI28" s="293"/>
      <c r="AJ28" s="281"/>
      <c r="AK28" s="105"/>
      <c r="AL28" s="105"/>
      <c r="AM28" s="293"/>
      <c r="AN28" s="281"/>
      <c r="AO28" s="105"/>
      <c r="AP28" s="105"/>
      <c r="AQ28" s="293"/>
      <c r="AR28" s="104"/>
      <c r="AS28" s="104"/>
      <c r="AT28" s="104"/>
      <c r="AU28" s="104"/>
      <c r="AV28" s="104"/>
      <c r="AW28" s="104"/>
      <c r="AX28" s="136"/>
      <c r="AY28" s="136"/>
      <c r="AZ28" s="136"/>
      <c r="BA28" s="136"/>
      <c r="BB28" s="232"/>
      <c r="BC28" s="232"/>
      <c r="BD28" s="232"/>
      <c r="BE28" s="232"/>
      <c r="BF28" s="232"/>
      <c r="BG28" s="232"/>
    </row>
    <row r="29" spans="1:59" s="137" customFormat="1" ht="13.5" customHeight="1">
      <c r="A29" s="98"/>
      <c r="B29" s="940" t="s">
        <v>144</v>
      </c>
      <c r="C29" s="104">
        <f t="shared" ref="C29:J29" si="15">C14</f>
        <v>156.64900000000003</v>
      </c>
      <c r="D29" s="104">
        <f t="shared" si="15"/>
        <v>120.96500000000005</v>
      </c>
      <c r="E29" s="104">
        <f t="shared" si="15"/>
        <v>144.03299999999999</v>
      </c>
      <c r="F29" s="104">
        <f t="shared" si="15"/>
        <v>-74.866</v>
      </c>
      <c r="G29" s="120">
        <f t="shared" si="15"/>
        <v>146.33500000000001</v>
      </c>
      <c r="H29" s="104">
        <f t="shared" ca="1" si="15"/>
        <v>85.278655437151386</v>
      </c>
      <c r="I29" s="104">
        <f t="shared" ca="1" si="15"/>
        <v>132.63581336941604</v>
      </c>
      <c r="J29" s="104">
        <f t="shared" ca="1" si="15"/>
        <v>136.68065929264861</v>
      </c>
      <c r="K29" s="136"/>
      <c r="L29" s="810">
        <v>23.318999999999999</v>
      </c>
      <c r="M29" s="632">
        <v>35.103000000000002</v>
      </c>
      <c r="N29" s="632">
        <v>78.224000000000004</v>
      </c>
      <c r="O29" s="633">
        <v>19.782</v>
      </c>
      <c r="P29" s="810">
        <v>18.57</v>
      </c>
      <c r="Q29" s="632">
        <v>25.641999999999999</v>
      </c>
      <c r="R29" s="632">
        <v>31.917518896398526</v>
      </c>
      <c r="S29" s="633">
        <v>44.835481103601474</v>
      </c>
      <c r="T29" s="810">
        <v>24.968</v>
      </c>
      <c r="U29" s="632">
        <v>17.22</v>
      </c>
      <c r="V29" s="632">
        <v>65.855000000000004</v>
      </c>
      <c r="W29" s="633">
        <v>35.99</v>
      </c>
      <c r="X29" s="810">
        <v>18.739000000000001</v>
      </c>
      <c r="Y29" s="632">
        <v>5.1710000000000003</v>
      </c>
      <c r="Z29" s="632">
        <v>-155.10499999999999</v>
      </c>
      <c r="AA29" s="633">
        <v>56.231999999999999</v>
      </c>
      <c r="AB29" s="810">
        <v>57.454000000000001</v>
      </c>
      <c r="AC29" s="632">
        <v>5.4809999999999999</v>
      </c>
      <c r="AD29" s="632">
        <v>19.486000000000001</v>
      </c>
      <c r="AE29" s="633">
        <v>63.917999999999999</v>
      </c>
      <c r="AF29" s="810">
        <v>16.864000000000001</v>
      </c>
      <c r="AG29" s="632">
        <v>21.681000000000001</v>
      </c>
      <c r="AH29" s="811">
        <f t="shared" ref="AH29:AQ29" ca="1" si="16">AH14</f>
        <v>16.782740233802059</v>
      </c>
      <c r="AI29" s="812">
        <f t="shared" ca="1" si="16"/>
        <v>29.902915203349309</v>
      </c>
      <c r="AJ29" s="813">
        <f t="shared" ca="1" si="16"/>
        <v>31.525035320821182</v>
      </c>
      <c r="AK29" s="811">
        <f t="shared" ca="1" si="16"/>
        <v>34.582875168188764</v>
      </c>
      <c r="AL29" s="811">
        <f t="shared" ca="1" si="16"/>
        <v>37.952892868758134</v>
      </c>
      <c r="AM29" s="812">
        <f t="shared" ca="1" si="16"/>
        <v>28.575010011648018</v>
      </c>
      <c r="AN29" s="813">
        <f t="shared" ca="1" si="16"/>
        <v>35.527762320544838</v>
      </c>
      <c r="AO29" s="811">
        <f t="shared" ca="1" si="16"/>
        <v>38.888738322504139</v>
      </c>
      <c r="AP29" s="811">
        <f t="shared" ca="1" si="16"/>
        <v>42.526720039210105</v>
      </c>
      <c r="AQ29" s="812">
        <f t="shared" ca="1" si="16"/>
        <v>32.841218705861152</v>
      </c>
      <c r="AR29" s="104"/>
      <c r="AS29" s="104"/>
      <c r="AT29" s="104"/>
      <c r="AU29" s="104"/>
      <c r="AV29" s="104"/>
      <c r="AW29" s="104"/>
      <c r="AX29" s="136"/>
      <c r="AY29" s="136"/>
      <c r="AZ29" s="136"/>
      <c r="BA29" s="136"/>
      <c r="BB29" s="232"/>
      <c r="BC29" s="232"/>
      <c r="BD29" s="232"/>
      <c r="BE29" s="232"/>
      <c r="BF29" s="232"/>
      <c r="BG29" s="232"/>
    </row>
    <row r="30" spans="1:59" s="137" customFormat="1" ht="13.5" customHeight="1">
      <c r="A30" s="98"/>
      <c r="B30" s="948" t="s">
        <v>78</v>
      </c>
      <c r="C30" s="104">
        <f t="shared" ref="C30:J30" si="17">C16</f>
        <v>-51.265999999999991</v>
      </c>
      <c r="D30" s="104">
        <f t="shared" si="17"/>
        <v>-43.987000000000002</v>
      </c>
      <c r="E30" s="104">
        <f t="shared" si="17"/>
        <v>-88.356999999999999</v>
      </c>
      <c r="F30" s="104">
        <f t="shared" si="17"/>
        <v>-124.346</v>
      </c>
      <c r="G30" s="120">
        <f t="shared" si="17"/>
        <v>-202.27500000000001</v>
      </c>
      <c r="H30" s="104">
        <f t="shared" si="17"/>
        <v>-80</v>
      </c>
      <c r="I30" s="104">
        <f t="shared" si="17"/>
        <v>-100</v>
      </c>
      <c r="J30" s="104">
        <f t="shared" si="17"/>
        <v>-100</v>
      </c>
      <c r="K30" s="136"/>
      <c r="L30" s="681">
        <v>-16.428999999999998</v>
      </c>
      <c r="M30" s="177">
        <v>-14.436</v>
      </c>
      <c r="N30" s="177">
        <v>-10.738</v>
      </c>
      <c r="O30" s="310">
        <v>-9.6630000000000003</v>
      </c>
      <c r="P30" s="681">
        <v>-9.048</v>
      </c>
      <c r="Q30" s="177">
        <v>-10.698</v>
      </c>
      <c r="R30" s="177">
        <v>-11.705</v>
      </c>
      <c r="S30" s="310">
        <v>-12.536</v>
      </c>
      <c r="T30" s="681">
        <v>-10.09</v>
      </c>
      <c r="U30" s="177">
        <v>-18.88</v>
      </c>
      <c r="V30" s="177">
        <v>-2.4809999999999999</v>
      </c>
      <c r="W30" s="310">
        <v>-56.905999999999999</v>
      </c>
      <c r="X30" s="681">
        <v>-19.021999999999998</v>
      </c>
      <c r="Y30" s="177">
        <v>-27.777999999999999</v>
      </c>
      <c r="Z30" s="177">
        <v>-23.966999999999999</v>
      </c>
      <c r="AA30" s="310">
        <v>-53.579000000000001</v>
      </c>
      <c r="AB30" s="681">
        <v>-53.292000000000002</v>
      </c>
      <c r="AC30" s="177">
        <v>-64.381</v>
      </c>
      <c r="AD30" s="177">
        <v>-39.601999999999997</v>
      </c>
      <c r="AE30" s="310">
        <v>-45</v>
      </c>
      <c r="AF30" s="681">
        <v>-30</v>
      </c>
      <c r="AG30" s="177">
        <v>-30</v>
      </c>
      <c r="AH30" s="105">
        <f t="shared" ref="AH30:AQ30" si="18">AH16</f>
        <v>-10</v>
      </c>
      <c r="AI30" s="293">
        <f t="shared" si="18"/>
        <v>-10</v>
      </c>
      <c r="AJ30" s="281">
        <f t="shared" si="18"/>
        <v>-25</v>
      </c>
      <c r="AK30" s="105">
        <f t="shared" si="18"/>
        <v>-25</v>
      </c>
      <c r="AL30" s="105">
        <f t="shared" si="18"/>
        <v>-25</v>
      </c>
      <c r="AM30" s="293">
        <f t="shared" si="18"/>
        <v>-25</v>
      </c>
      <c r="AN30" s="281">
        <f t="shared" si="18"/>
        <v>-25</v>
      </c>
      <c r="AO30" s="105">
        <f t="shared" si="18"/>
        <v>-25</v>
      </c>
      <c r="AP30" s="105">
        <f t="shared" si="18"/>
        <v>-25</v>
      </c>
      <c r="AQ30" s="293">
        <f t="shared" si="18"/>
        <v>-25</v>
      </c>
      <c r="AR30" s="104"/>
      <c r="AS30" s="104"/>
      <c r="AT30" s="104"/>
      <c r="AU30" s="104"/>
      <c r="AV30" s="104"/>
      <c r="AW30" s="104"/>
      <c r="AX30" s="136"/>
      <c r="AY30" s="136"/>
      <c r="AZ30" s="136"/>
      <c r="BA30" s="136"/>
      <c r="BB30" s="232"/>
      <c r="BC30" s="232"/>
      <c r="BD30" s="232"/>
      <c r="BE30" s="232"/>
      <c r="BF30" s="232"/>
      <c r="BG30" s="232"/>
    </row>
    <row r="31" spans="1:59" s="233" customFormat="1" ht="13.5" customHeight="1">
      <c r="A31" s="231"/>
      <c r="B31" s="949" t="s">
        <v>79</v>
      </c>
      <c r="C31" s="945">
        <f>C29+C30</f>
        <v>105.38300000000004</v>
      </c>
      <c r="D31" s="945">
        <f t="shared" ref="D31:J31" si="19">D29+D30</f>
        <v>76.978000000000037</v>
      </c>
      <c r="E31" s="945">
        <f t="shared" si="19"/>
        <v>55.675999999999988</v>
      </c>
      <c r="F31" s="945">
        <f t="shared" si="19"/>
        <v>-199.21199999999999</v>
      </c>
      <c r="G31" s="944">
        <f t="shared" si="19"/>
        <v>-55.94</v>
      </c>
      <c r="H31" s="945">
        <f t="shared" ca="1" si="19"/>
        <v>5.2786554371513859</v>
      </c>
      <c r="I31" s="945">
        <f t="shared" ca="1" si="19"/>
        <v>32.635813369416041</v>
      </c>
      <c r="J31" s="945">
        <f t="shared" ca="1" si="19"/>
        <v>36.680659292648613</v>
      </c>
      <c r="K31" s="943"/>
      <c r="L31" s="784">
        <v>6.89</v>
      </c>
      <c r="M31" s="785">
        <v>20.667000000000002</v>
      </c>
      <c r="N31" s="785">
        <v>67.486000000000004</v>
      </c>
      <c r="O31" s="786">
        <v>10.119</v>
      </c>
      <c r="P31" s="784">
        <v>9.5220000000000002</v>
      </c>
      <c r="Q31" s="785">
        <v>14.944000000000001</v>
      </c>
      <c r="R31" s="785">
        <v>20.212518896398528</v>
      </c>
      <c r="S31" s="786">
        <v>32.299481103601472</v>
      </c>
      <c r="T31" s="784">
        <v>14.878</v>
      </c>
      <c r="U31" s="785">
        <v>-1.66</v>
      </c>
      <c r="V31" s="785">
        <v>63.374000000000002</v>
      </c>
      <c r="W31" s="786">
        <v>-20.916</v>
      </c>
      <c r="X31" s="784">
        <v>-0.28299999999999997</v>
      </c>
      <c r="Y31" s="785">
        <v>-22.606999999999999</v>
      </c>
      <c r="Z31" s="785">
        <v>-179.072</v>
      </c>
      <c r="AA31" s="786">
        <v>2.653</v>
      </c>
      <c r="AB31" s="784">
        <v>4.1619999999999999</v>
      </c>
      <c r="AC31" s="785">
        <v>-58.9</v>
      </c>
      <c r="AD31" s="785">
        <v>-20.116</v>
      </c>
      <c r="AE31" s="786">
        <v>18.917999999999999</v>
      </c>
      <c r="AF31" s="784">
        <v>-13.135999999999999</v>
      </c>
      <c r="AG31" s="785">
        <v>-8.3190000000000008</v>
      </c>
      <c r="AH31" s="796">
        <f ca="1">SUM(AH29:AH30)</f>
        <v>6.782740233802059</v>
      </c>
      <c r="AI31" s="797">
        <f t="shared" ref="AI31:AQ31" ca="1" si="20">SUM(AI29:AI30)</f>
        <v>19.902915203349309</v>
      </c>
      <c r="AJ31" s="806">
        <f t="shared" ca="1" si="20"/>
        <v>6.525035320821182</v>
      </c>
      <c r="AK31" s="796">
        <f t="shared" ca="1" si="20"/>
        <v>9.5828751681887638</v>
      </c>
      <c r="AL31" s="796">
        <f t="shared" ca="1" si="20"/>
        <v>12.952892868758134</v>
      </c>
      <c r="AM31" s="797">
        <f t="shared" ca="1" si="20"/>
        <v>3.5750100116480183</v>
      </c>
      <c r="AN31" s="806">
        <f t="shared" ca="1" si="20"/>
        <v>10.527762320544838</v>
      </c>
      <c r="AO31" s="796">
        <f t="shared" ca="1" si="20"/>
        <v>13.888738322504139</v>
      </c>
      <c r="AP31" s="796">
        <f t="shared" ca="1" si="20"/>
        <v>17.526720039210105</v>
      </c>
      <c r="AQ31" s="797">
        <f t="shared" ca="1" si="20"/>
        <v>7.8412187058611522</v>
      </c>
      <c r="AR31" s="945"/>
      <c r="AS31" s="945"/>
      <c r="AT31" s="945"/>
      <c r="AU31" s="945"/>
      <c r="AV31" s="945"/>
      <c r="AW31" s="945"/>
      <c r="AX31" s="943"/>
      <c r="AY31" s="943"/>
      <c r="AZ31" s="943"/>
      <c r="BA31" s="943"/>
    </row>
    <row r="32" spans="1:59" s="2" customFormat="1" ht="13.5" customHeight="1">
      <c r="A32" s="14"/>
      <c r="B32" s="950"/>
      <c r="C32" s="3"/>
      <c r="D32" s="3"/>
      <c r="E32" s="3"/>
      <c r="F32" s="3"/>
      <c r="G32" s="4"/>
      <c r="H32" s="3"/>
      <c r="I32" s="3"/>
      <c r="J32" s="3"/>
      <c r="K32" s="3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10"/>
      <c r="AY32" s="10"/>
      <c r="AZ32" s="10"/>
      <c r="BA32" s="10"/>
      <c r="BB32" s="17"/>
      <c r="BC32" s="17"/>
      <c r="BD32" s="17"/>
      <c r="BE32" s="17"/>
      <c r="BF32" s="17"/>
      <c r="BG32" s="17"/>
    </row>
    <row r="33" spans="2:53" ht="13.5" customHeight="1">
      <c r="B33" s="3"/>
      <c r="C33" s="3"/>
      <c r="D33" s="3"/>
      <c r="E33" s="3"/>
      <c r="F33" s="3"/>
      <c r="G33" s="3"/>
      <c r="H33" s="3"/>
      <c r="I33" s="3"/>
      <c r="J33" s="3"/>
      <c r="K33" s="3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</row>
    <row r="34" spans="2:53" ht="13.5" customHeight="1">
      <c r="B34" s="3"/>
      <c r="C34" s="3"/>
      <c r="D34" s="3"/>
      <c r="E34" s="3"/>
      <c r="F34" s="3"/>
      <c r="G34" s="3"/>
      <c r="H34" s="3"/>
      <c r="I34" s="3"/>
      <c r="J34" s="3"/>
      <c r="K34" s="3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</row>
    <row r="35" spans="2:53" ht="13.5" customHeight="1">
      <c r="B35" s="3"/>
      <c r="C35" s="3"/>
      <c r="D35" s="3"/>
      <c r="E35" s="3"/>
      <c r="F35" s="3"/>
      <c r="G35" s="3"/>
      <c r="H35" s="3"/>
      <c r="I35" s="3"/>
      <c r="J35" s="3"/>
      <c r="K35" s="3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</row>
    <row r="36" spans="2:53" ht="13.5" customHeight="1">
      <c r="B36" s="3"/>
      <c r="C36" s="3"/>
      <c r="D36" s="3"/>
      <c r="E36" s="3"/>
      <c r="F36" s="3"/>
      <c r="G36" s="3"/>
      <c r="H36" s="3"/>
      <c r="I36" s="3"/>
      <c r="J36" s="3"/>
      <c r="K36" s="3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</row>
    <row r="37" spans="2:53" ht="13.5" customHeight="1">
      <c r="B37" s="3"/>
      <c r="C37" s="3"/>
      <c r="D37" s="3"/>
      <c r="E37" s="3"/>
      <c r="F37" s="3"/>
      <c r="G37" s="3"/>
      <c r="H37" s="3"/>
      <c r="I37" s="3"/>
      <c r="J37" s="3"/>
      <c r="K37" s="3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</row>
    <row r="38" spans="2:53" ht="13.5" customHeight="1">
      <c r="B38" s="3"/>
      <c r="C38" s="3"/>
      <c r="D38" s="3"/>
      <c r="E38" s="3"/>
      <c r="F38" s="3"/>
      <c r="G38" s="3"/>
      <c r="H38" s="3"/>
      <c r="I38" s="3"/>
      <c r="J38" s="3"/>
      <c r="K38" s="3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</row>
    <row r="39" spans="2:53" ht="13.5" customHeight="1">
      <c r="B39" s="3"/>
      <c r="C39" s="3"/>
      <c r="D39" s="3"/>
      <c r="E39" s="3"/>
      <c r="F39" s="3"/>
      <c r="G39" s="3"/>
      <c r="H39" s="3"/>
      <c r="I39" s="3"/>
      <c r="J39" s="3"/>
      <c r="K39" s="3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</row>
    <row r="40" spans="2:53" ht="13.5" customHeight="1">
      <c r="B40" s="3"/>
      <c r="C40" s="3"/>
      <c r="D40" s="3"/>
      <c r="E40" s="3"/>
      <c r="F40" s="3"/>
      <c r="G40" s="3"/>
      <c r="H40" s="3"/>
      <c r="I40" s="3"/>
      <c r="J40" s="3"/>
      <c r="K40" s="3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</row>
    <row r="41" spans="2:53" ht="13.5" customHeight="1">
      <c r="B41" s="3"/>
      <c r="C41" s="3"/>
      <c r="D41" s="3"/>
      <c r="E41" s="3"/>
      <c r="F41" s="3"/>
      <c r="G41" s="3"/>
      <c r="H41" s="3"/>
      <c r="I41" s="3"/>
      <c r="J41" s="3"/>
      <c r="K41" s="3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</row>
    <row r="42" spans="2:53" ht="13.5" customHeight="1">
      <c r="B42" s="3"/>
      <c r="C42" s="3"/>
      <c r="D42" s="3"/>
      <c r="E42" s="3"/>
      <c r="F42" s="3"/>
      <c r="G42" s="3"/>
      <c r="H42" s="3"/>
      <c r="I42" s="3"/>
      <c r="J42" s="3"/>
      <c r="K42" s="3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</row>
    <row r="43" spans="2:53" ht="13.5" customHeight="1">
      <c r="B43" s="3"/>
      <c r="C43" s="3"/>
      <c r="D43" s="3"/>
      <c r="E43" s="3"/>
      <c r="F43" s="3"/>
      <c r="G43" s="3"/>
      <c r="H43" s="3"/>
      <c r="I43" s="3"/>
      <c r="J43" s="3"/>
      <c r="K43" s="3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</row>
    <row r="44" spans="2:53" ht="13.5" customHeight="1">
      <c r="B44" s="3"/>
      <c r="C44" s="3"/>
      <c r="D44" s="3"/>
      <c r="E44" s="3"/>
      <c r="F44" s="3"/>
      <c r="G44" s="3"/>
      <c r="H44" s="3"/>
      <c r="I44" s="3"/>
      <c r="J44" s="3"/>
      <c r="K44" s="3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</row>
  </sheetData>
  <pageMargins left="0.7" right="0.7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0"/>
  <dimension ref="A1:BG60"/>
  <sheetViews>
    <sheetView showGridLines="0" view="pageBreakPreview" zoomScaleNormal="100" zoomScaleSheetLayoutView="100" workbookViewId="0">
      <pane xSplit="2" ySplit="6" topLeftCell="C7" activePane="bottomRight" state="frozen"/>
      <selection activeCell="B1" sqref="B1"/>
      <selection pane="topRight" activeCell="B1" sqref="B1"/>
      <selection pane="bottomLeft" activeCell="B1" sqref="B1"/>
      <selection pane="bottomRight"/>
    </sheetView>
  </sheetViews>
  <sheetFormatPr defaultColWidth="9.83203125" defaultRowHeight="13.5" customHeight="1"/>
  <cols>
    <col min="1" max="1" width="5.83203125" style="10" customWidth="1"/>
    <col min="2" max="2" width="41.5" style="3" customWidth="1"/>
    <col min="3" max="10" width="11.83203125" style="3" customWidth="1"/>
    <col min="12" max="25" width="10.1640625" style="10" bestFit="1" customWidth="1"/>
    <col min="26" max="26" width="10.5" style="10" bestFit="1" customWidth="1"/>
    <col min="27" max="43" width="10.1640625" style="10" bestFit="1" customWidth="1"/>
    <col min="44" max="59" width="9.83203125" style="10"/>
    <col min="60" max="16384" width="9.83203125" style="3"/>
  </cols>
  <sheetData>
    <row r="1" spans="2:49" ht="13.5" customHeight="1">
      <c r="L1" s="33">
        <v>40025</v>
      </c>
      <c r="M1" s="33">
        <f t="shared" ref="M1:AQ1" si="0">EOMONTH(L1,3)</f>
        <v>40117</v>
      </c>
      <c r="N1" s="33">
        <f t="shared" si="0"/>
        <v>40209</v>
      </c>
      <c r="O1" s="33">
        <f t="shared" si="0"/>
        <v>40298</v>
      </c>
      <c r="P1" s="33">
        <f t="shared" si="0"/>
        <v>40390</v>
      </c>
      <c r="Q1" s="33">
        <f t="shared" si="0"/>
        <v>40482</v>
      </c>
      <c r="R1" s="33">
        <f t="shared" si="0"/>
        <v>40574</v>
      </c>
      <c r="S1" s="33">
        <f t="shared" si="0"/>
        <v>40663</v>
      </c>
      <c r="T1" s="33">
        <f t="shared" si="0"/>
        <v>40755</v>
      </c>
      <c r="U1" s="33">
        <f t="shared" si="0"/>
        <v>40847</v>
      </c>
      <c r="V1" s="33">
        <f t="shared" si="0"/>
        <v>40939</v>
      </c>
      <c r="W1" s="33">
        <f t="shared" si="0"/>
        <v>41029</v>
      </c>
      <c r="X1" s="33">
        <f t="shared" si="0"/>
        <v>41121</v>
      </c>
      <c r="Y1" s="33">
        <f t="shared" si="0"/>
        <v>41213</v>
      </c>
      <c r="Z1" s="33">
        <f t="shared" si="0"/>
        <v>41305</v>
      </c>
      <c r="AA1" s="33">
        <f t="shared" si="0"/>
        <v>41394</v>
      </c>
      <c r="AB1" s="33">
        <f t="shared" si="0"/>
        <v>41486</v>
      </c>
      <c r="AC1" s="33">
        <f t="shared" si="0"/>
        <v>41578</v>
      </c>
      <c r="AD1" s="33">
        <f t="shared" si="0"/>
        <v>41670</v>
      </c>
      <c r="AE1" s="33">
        <f t="shared" si="0"/>
        <v>41759</v>
      </c>
      <c r="AF1" s="33">
        <f t="shared" si="0"/>
        <v>41851</v>
      </c>
      <c r="AG1" s="33">
        <f t="shared" si="0"/>
        <v>41943</v>
      </c>
      <c r="AH1" s="33">
        <f t="shared" si="0"/>
        <v>42035</v>
      </c>
      <c r="AI1" s="33">
        <f t="shared" si="0"/>
        <v>42124</v>
      </c>
      <c r="AJ1" s="33">
        <f t="shared" si="0"/>
        <v>42216</v>
      </c>
      <c r="AK1" s="33">
        <f t="shared" si="0"/>
        <v>42308</v>
      </c>
      <c r="AL1" s="33">
        <f t="shared" si="0"/>
        <v>42400</v>
      </c>
      <c r="AM1" s="33">
        <f t="shared" si="0"/>
        <v>42490</v>
      </c>
      <c r="AN1" s="33">
        <f t="shared" si="0"/>
        <v>42582</v>
      </c>
      <c r="AO1" s="33">
        <f t="shared" si="0"/>
        <v>42674</v>
      </c>
      <c r="AP1" s="33">
        <f t="shared" si="0"/>
        <v>42766</v>
      </c>
      <c r="AQ1" s="33">
        <f t="shared" si="0"/>
        <v>42855</v>
      </c>
    </row>
    <row r="2" spans="2:49" ht="13.5" customHeight="1">
      <c r="B2" s="888" t="s">
        <v>45</v>
      </c>
      <c r="K2" s="3"/>
    </row>
    <row r="3" spans="2:49" ht="13.5" customHeight="1">
      <c r="B3" s="16" t="s">
        <v>17</v>
      </c>
      <c r="K3" s="3"/>
    </row>
    <row r="4" spans="2:49" ht="13.5" customHeight="1">
      <c r="B4" s="16" t="s">
        <v>8</v>
      </c>
      <c r="C4" s="10"/>
      <c r="D4" s="10"/>
      <c r="E4" s="10"/>
      <c r="F4" s="10"/>
      <c r="G4" s="10"/>
      <c r="H4" s="10"/>
      <c r="I4" s="10"/>
      <c r="J4" s="10"/>
      <c r="K4" s="10"/>
    </row>
    <row r="5" spans="2:49" ht="13.5" customHeight="1">
      <c r="B5" s="10"/>
      <c r="C5" s="6" t="s">
        <v>12</v>
      </c>
      <c r="D5" s="5"/>
      <c r="E5" s="5"/>
      <c r="F5" s="764"/>
      <c r="G5" s="5"/>
      <c r="H5" s="5"/>
      <c r="I5" s="5"/>
      <c r="J5" s="5"/>
      <c r="K5" s="10"/>
      <c r="L5" s="32">
        <v>2010</v>
      </c>
      <c r="M5" s="30"/>
      <c r="N5" s="30"/>
      <c r="O5" s="31"/>
      <c r="P5" s="32">
        <f>L5+1</f>
        <v>2011</v>
      </c>
      <c r="Q5" s="30"/>
      <c r="R5" s="30"/>
      <c r="S5" s="31"/>
      <c r="T5" s="32">
        <f>P5+1</f>
        <v>2012</v>
      </c>
      <c r="U5" s="30"/>
      <c r="V5" s="30"/>
      <c r="W5" s="31"/>
      <c r="X5" s="32">
        <f>T5+1</f>
        <v>2013</v>
      </c>
      <c r="Y5" s="30"/>
      <c r="Z5" s="30"/>
      <c r="AA5" s="31"/>
      <c r="AB5" s="32">
        <f>X5+1</f>
        <v>2014</v>
      </c>
      <c r="AC5" s="30"/>
      <c r="AD5" s="30"/>
      <c r="AE5" s="31"/>
      <c r="AF5" s="32">
        <f>AB5+1</f>
        <v>2015</v>
      </c>
      <c r="AG5" s="30"/>
      <c r="AH5" s="30"/>
      <c r="AI5" s="31"/>
      <c r="AJ5" s="32">
        <f>AF5+1</f>
        <v>2016</v>
      </c>
      <c r="AK5" s="30"/>
      <c r="AL5" s="30"/>
      <c r="AM5" s="31"/>
      <c r="AN5" s="32">
        <f>AJ5+1</f>
        <v>2017</v>
      </c>
      <c r="AO5" s="30"/>
      <c r="AP5" s="30"/>
      <c r="AQ5" s="31"/>
    </row>
    <row r="6" spans="2:49" ht="13.5" customHeight="1">
      <c r="B6" s="91"/>
      <c r="C6" s="20">
        <v>2010</v>
      </c>
      <c r="D6" s="20">
        <f t="shared" ref="D6:J6" si="1">+C6+1</f>
        <v>2011</v>
      </c>
      <c r="E6" s="20">
        <f t="shared" si="1"/>
        <v>2012</v>
      </c>
      <c r="F6" s="20">
        <f t="shared" si="1"/>
        <v>2013</v>
      </c>
      <c r="G6" s="1071">
        <f t="shared" si="1"/>
        <v>2014</v>
      </c>
      <c r="H6" s="15">
        <f t="shared" si="1"/>
        <v>2015</v>
      </c>
      <c r="I6" s="15">
        <f t="shared" si="1"/>
        <v>2016</v>
      </c>
      <c r="J6" s="15">
        <f t="shared" si="1"/>
        <v>2017</v>
      </c>
      <c r="K6" s="10"/>
      <c r="L6" s="44">
        <v>1</v>
      </c>
      <c r="M6" s="44">
        <f>L6+1</f>
        <v>2</v>
      </c>
      <c r="N6" s="44">
        <f>M6+1</f>
        <v>3</v>
      </c>
      <c r="O6" s="44">
        <f>N6+1</f>
        <v>4</v>
      </c>
      <c r="P6" s="44">
        <v>1</v>
      </c>
      <c r="Q6" s="44">
        <f>P6+1</f>
        <v>2</v>
      </c>
      <c r="R6" s="44">
        <f>Q6+1</f>
        <v>3</v>
      </c>
      <c r="S6" s="44">
        <f>R6+1</f>
        <v>4</v>
      </c>
      <c r="T6" s="44">
        <v>1</v>
      </c>
      <c r="U6" s="44">
        <f>T6+1</f>
        <v>2</v>
      </c>
      <c r="V6" s="44">
        <f>U6+1</f>
        <v>3</v>
      </c>
      <c r="W6" s="44">
        <f>V6+1</f>
        <v>4</v>
      </c>
      <c r="X6" s="44">
        <v>1</v>
      </c>
      <c r="Y6" s="44">
        <f>X6+1</f>
        <v>2</v>
      </c>
      <c r="Z6" s="44">
        <f>Y6+1</f>
        <v>3</v>
      </c>
      <c r="AA6" s="44">
        <f>Z6+1</f>
        <v>4</v>
      </c>
      <c r="AB6" s="44">
        <v>1</v>
      </c>
      <c r="AC6" s="44">
        <f>AB6+1</f>
        <v>2</v>
      </c>
      <c r="AD6" s="44">
        <f>AC6+1</f>
        <v>3</v>
      </c>
      <c r="AE6" s="44">
        <f>AD6+1</f>
        <v>4</v>
      </c>
      <c r="AF6" s="44">
        <v>1</v>
      </c>
      <c r="AG6" s="44">
        <f>AF6+1</f>
        <v>2</v>
      </c>
      <c r="AH6" s="44">
        <f>AG6+1</f>
        <v>3</v>
      </c>
      <c r="AI6" s="44">
        <f>AH6+1</f>
        <v>4</v>
      </c>
      <c r="AJ6" s="44">
        <v>1</v>
      </c>
      <c r="AK6" s="44">
        <f>AJ6+1</f>
        <v>2</v>
      </c>
      <c r="AL6" s="44">
        <f>AK6+1</f>
        <v>3</v>
      </c>
      <c r="AM6" s="44">
        <f>AL6+1</f>
        <v>4</v>
      </c>
      <c r="AN6" s="44">
        <v>1</v>
      </c>
      <c r="AO6" s="44">
        <f>AN6+1</f>
        <v>2</v>
      </c>
      <c r="AP6" s="44">
        <f>AO6+1</f>
        <v>3</v>
      </c>
      <c r="AQ6" s="44">
        <f>AP6+1</f>
        <v>4</v>
      </c>
    </row>
    <row r="7" spans="2:49" s="97" customFormat="1" ht="13.5" customHeight="1">
      <c r="B7" s="259" t="s">
        <v>6</v>
      </c>
      <c r="C7" s="824">
        <f>BS!C9</f>
        <v>19.856999999999999</v>
      </c>
      <c r="D7" s="824">
        <f>BS!D9</f>
        <v>26.042999999999999</v>
      </c>
      <c r="E7" s="824">
        <f>BS!E9</f>
        <v>29.85</v>
      </c>
      <c r="F7" s="824">
        <f>BS!F9</f>
        <v>33.957999999999998</v>
      </c>
      <c r="G7" s="880">
        <f>BS!G9</f>
        <v>33.442999999999998</v>
      </c>
      <c r="H7" s="163">
        <f>AI7</f>
        <v>31.440406333333328</v>
      </c>
      <c r="I7" s="163">
        <f>AM7</f>
        <v>31.957938863333332</v>
      </c>
      <c r="J7" s="163">
        <f>AQ7</f>
        <v>32.484152909983329</v>
      </c>
      <c r="L7" s="889">
        <f>BS!L9</f>
        <v>22.725000000000001</v>
      </c>
      <c r="M7" s="890">
        <f>BS!M9</f>
        <v>27.161000000000001</v>
      </c>
      <c r="N7" s="890">
        <f>BS!N9</f>
        <v>23.946000000000002</v>
      </c>
      <c r="O7" s="891">
        <f>BS!O9</f>
        <v>19.856999999999999</v>
      </c>
      <c r="P7" s="889">
        <f>BS!P9</f>
        <v>24.116</v>
      </c>
      <c r="Q7" s="890">
        <f>BS!Q9</f>
        <v>24.917999999999999</v>
      </c>
      <c r="R7" s="890">
        <f>BS!R9</f>
        <v>24.900007860928543</v>
      </c>
      <c r="S7" s="891">
        <f>BS!S9</f>
        <v>26.042999999999999</v>
      </c>
      <c r="T7" s="889">
        <f>BS!T9</f>
        <v>21.823</v>
      </c>
      <c r="U7" s="890">
        <f>BS!U9</f>
        <v>28.5</v>
      </c>
      <c r="V7" s="890">
        <f>BS!V9</f>
        <v>27.978000000000002</v>
      </c>
      <c r="W7" s="891">
        <f>BS!W9</f>
        <v>29.85</v>
      </c>
      <c r="X7" s="889">
        <f>BS!X9</f>
        <v>33.302</v>
      </c>
      <c r="Y7" s="890">
        <f>BS!Y9</f>
        <v>40.087000000000003</v>
      </c>
      <c r="Z7" s="890">
        <f>BS!Z9</f>
        <v>38.664999999999999</v>
      </c>
      <c r="AA7" s="891">
        <f>BS!AA9</f>
        <v>33.957999999999998</v>
      </c>
      <c r="AB7" s="889">
        <f>BS!AB9</f>
        <v>33.841999999999999</v>
      </c>
      <c r="AC7" s="890">
        <f>BS!AC9</f>
        <v>37.670999999999999</v>
      </c>
      <c r="AD7" s="890">
        <f>BS!AD9</f>
        <v>36.033999999999999</v>
      </c>
      <c r="AE7" s="891">
        <f>BS!AE9</f>
        <v>33.442999999999998</v>
      </c>
      <c r="AF7" s="889">
        <f>BS!AF9</f>
        <v>28.846</v>
      </c>
      <c r="AG7" s="890">
        <f>BS!AG9</f>
        <v>30.58</v>
      </c>
      <c r="AH7" s="890">
        <f t="shared" ref="AH7:AQ7" si="2">(AH8*AH28)/90</f>
        <v>32.766049333333335</v>
      </c>
      <c r="AI7" s="891">
        <f t="shared" si="2"/>
        <v>31.440406333333328</v>
      </c>
      <c r="AJ7" s="889">
        <f t="shared" si="2"/>
        <v>31.32411169444444</v>
      </c>
      <c r="AK7" s="890">
        <f t="shared" si="2"/>
        <v>31.987303888888881</v>
      </c>
      <c r="AL7" s="890">
        <f t="shared" si="2"/>
        <v>33.305526596666674</v>
      </c>
      <c r="AM7" s="891">
        <f t="shared" si="2"/>
        <v>31.957938863333332</v>
      </c>
      <c r="AN7" s="889">
        <f t="shared" si="2"/>
        <v>31.835488219861109</v>
      </c>
      <c r="AO7" s="890">
        <f t="shared" si="2"/>
        <v>32.511489397222221</v>
      </c>
      <c r="AP7" s="890">
        <f t="shared" si="2"/>
        <v>33.854055749416666</v>
      </c>
      <c r="AQ7" s="891">
        <f t="shared" si="2"/>
        <v>32.484152909983329</v>
      </c>
      <c r="AR7" s="99"/>
      <c r="AS7" s="99"/>
      <c r="AT7" s="99"/>
      <c r="AU7" s="99"/>
      <c r="AV7" s="99"/>
      <c r="AW7" s="99"/>
    </row>
    <row r="8" spans="2:49" s="58" customFormat="1" ht="13.5" customHeight="1">
      <c r="B8" s="250" t="s">
        <v>36</v>
      </c>
      <c r="C8" s="85">
        <f t="shared" ref="C8:J8" si="3">(C7/C28)*365</f>
        <v>4.1972366290557579</v>
      </c>
      <c r="D8" s="85">
        <f t="shared" si="3"/>
        <v>5.6685914416192666</v>
      </c>
      <c r="E8" s="85">
        <f t="shared" si="3"/>
        <v>6.5855684161089156</v>
      </c>
      <c r="F8" s="85">
        <f t="shared" si="3"/>
        <v>9.1799178488424626</v>
      </c>
      <c r="G8" s="881">
        <f t="shared" si="3"/>
        <v>9.1879693079382658</v>
      </c>
      <c r="H8" s="85">
        <f t="shared" si="3"/>
        <v>8.5678656150428676</v>
      </c>
      <c r="I8" s="85">
        <f t="shared" si="3"/>
        <v>8.5682456893716896</v>
      </c>
      <c r="J8" s="85">
        <f t="shared" si="3"/>
        <v>8.6748268863337188</v>
      </c>
      <c r="L8" s="825">
        <f t="shared" ref="L8:AG8" si="4">L7/(L28/90)</f>
        <v>4.7621542330259841</v>
      </c>
      <c r="M8" s="892">
        <f t="shared" si="4"/>
        <v>5.7538125489882246</v>
      </c>
      <c r="N8" s="892">
        <f t="shared" si="4"/>
        <v>5.0140173978591198</v>
      </c>
      <c r="O8" s="893">
        <f t="shared" si="4"/>
        <v>4.0373067904051467</v>
      </c>
      <c r="P8" s="825">
        <f t="shared" si="4"/>
        <v>5.2608309943136371</v>
      </c>
      <c r="Q8" s="892">
        <f t="shared" si="4"/>
        <v>5.3773924219390663</v>
      </c>
      <c r="R8" s="892">
        <f t="shared" si="4"/>
        <v>5.2287262712113769</v>
      </c>
      <c r="S8" s="893">
        <f t="shared" si="4"/>
        <v>5.5979699068545496</v>
      </c>
      <c r="T8" s="825">
        <f t="shared" si="4"/>
        <v>4.8452367149281752</v>
      </c>
      <c r="U8" s="892">
        <f t="shared" si="4"/>
        <v>6.2993479622284712</v>
      </c>
      <c r="V8" s="892">
        <f t="shared" si="4"/>
        <v>5.8785681434564685</v>
      </c>
      <c r="W8" s="893">
        <f t="shared" si="4"/>
        <v>6.4965371147782021</v>
      </c>
      <c r="X8" s="825">
        <f t="shared" si="4"/>
        <v>9.2665432026242804</v>
      </c>
      <c r="Y8" s="892">
        <f t="shared" si="4"/>
        <v>10.947580828693241</v>
      </c>
      <c r="Z8" s="892">
        <f t="shared" si="4"/>
        <v>10.135849540226204</v>
      </c>
      <c r="AA8" s="893">
        <f t="shared" si="4"/>
        <v>8.6363906102967967</v>
      </c>
      <c r="AB8" s="825">
        <f t="shared" si="4"/>
        <v>9.2450728337314718</v>
      </c>
      <c r="AC8" s="892">
        <f t="shared" si="4"/>
        <v>10.193595911004211</v>
      </c>
      <c r="AD8" s="892">
        <f t="shared" si="4"/>
        <v>9.5347100537438401</v>
      </c>
      <c r="AE8" s="893">
        <f t="shared" si="4"/>
        <v>9.2222348186572951</v>
      </c>
      <c r="AF8" s="825">
        <f t="shared" si="4"/>
        <v>7.9552982922770967</v>
      </c>
      <c r="AG8" s="892">
        <f t="shared" si="4"/>
        <v>8.259408198787586</v>
      </c>
      <c r="AH8" s="894">
        <v>8.5</v>
      </c>
      <c r="AI8" s="893">
        <f t="shared" ref="AI8:AQ8" si="5">AH8</f>
        <v>8.5</v>
      </c>
      <c r="AJ8" s="825">
        <f t="shared" si="5"/>
        <v>8.5</v>
      </c>
      <c r="AK8" s="892">
        <f t="shared" si="5"/>
        <v>8.5</v>
      </c>
      <c r="AL8" s="892">
        <f t="shared" si="5"/>
        <v>8.5</v>
      </c>
      <c r="AM8" s="893">
        <f t="shared" si="5"/>
        <v>8.5</v>
      </c>
      <c r="AN8" s="825">
        <f t="shared" si="5"/>
        <v>8.5</v>
      </c>
      <c r="AO8" s="892">
        <f t="shared" si="5"/>
        <v>8.5</v>
      </c>
      <c r="AP8" s="892">
        <f t="shared" si="5"/>
        <v>8.5</v>
      </c>
      <c r="AQ8" s="893">
        <f t="shared" si="5"/>
        <v>8.5</v>
      </c>
      <c r="AR8" s="895"/>
      <c r="AS8" s="895"/>
    </row>
    <row r="9" spans="2:49" s="97" customFormat="1" ht="13.5" customHeight="1">
      <c r="B9" s="259" t="s">
        <v>14</v>
      </c>
      <c r="C9" s="821">
        <f>BS!C10</f>
        <v>25.92</v>
      </c>
      <c r="D9" s="821">
        <f>BS!D10</f>
        <v>23.526</v>
      </c>
      <c r="E9" s="821">
        <f>BS!E10</f>
        <v>23.388000000000002</v>
      </c>
      <c r="F9" s="821">
        <f>BS!F10</f>
        <v>22.491</v>
      </c>
      <c r="G9" s="882">
        <f>BS!G10</f>
        <v>25.242999999999999</v>
      </c>
      <c r="H9" s="99">
        <f>AI9</f>
        <v>24.761964266666666</v>
      </c>
      <c r="I9" s="99">
        <f>AM9</f>
        <v>25.502805045333332</v>
      </c>
      <c r="J9" s="99">
        <f>AQ9</f>
        <v>25.06700462380666</v>
      </c>
      <c r="L9" s="889">
        <f>BS!L10</f>
        <v>27.033999999999999</v>
      </c>
      <c r="M9" s="890">
        <f>BS!M10</f>
        <v>29.206</v>
      </c>
      <c r="N9" s="890">
        <f>BS!N10</f>
        <v>26.093</v>
      </c>
      <c r="O9" s="891">
        <f>BS!O10</f>
        <v>25.92</v>
      </c>
      <c r="P9" s="889">
        <f>BS!P10</f>
        <v>23.731000000000002</v>
      </c>
      <c r="Q9" s="890">
        <f>BS!Q10</f>
        <v>26.045999999999999</v>
      </c>
      <c r="R9" s="890">
        <f>BS!R10</f>
        <v>26.084499461259288</v>
      </c>
      <c r="S9" s="891">
        <f>BS!S10</f>
        <v>23.526</v>
      </c>
      <c r="T9" s="889">
        <f>BS!T10</f>
        <v>22.638999999999999</v>
      </c>
      <c r="U9" s="890">
        <f>BS!U10</f>
        <v>25.887</v>
      </c>
      <c r="V9" s="890">
        <f>BS!V10</f>
        <v>24.201000000000001</v>
      </c>
      <c r="W9" s="891">
        <f>BS!W10</f>
        <v>23.388000000000002</v>
      </c>
      <c r="X9" s="889">
        <f>BS!X10</f>
        <v>21.463999999999999</v>
      </c>
      <c r="Y9" s="890">
        <f>BS!Y10</f>
        <v>26.172000000000001</v>
      </c>
      <c r="Z9" s="890">
        <f>BS!Z10</f>
        <v>23.895</v>
      </c>
      <c r="AA9" s="891">
        <f>BS!AA10</f>
        <v>22.491</v>
      </c>
      <c r="AB9" s="889">
        <f>BS!AB10</f>
        <v>22.974</v>
      </c>
      <c r="AC9" s="890">
        <f>BS!AC10</f>
        <v>21.815000000000001</v>
      </c>
      <c r="AD9" s="890">
        <f>BS!AD10</f>
        <v>24.132999999999999</v>
      </c>
      <c r="AE9" s="891">
        <f>BS!AE10</f>
        <v>25.242999999999999</v>
      </c>
      <c r="AF9" s="889">
        <f>BS!AF10</f>
        <v>23.454999999999998</v>
      </c>
      <c r="AG9" s="890">
        <f>BS!AG10</f>
        <v>27.97</v>
      </c>
      <c r="AH9" s="890">
        <f t="shared" ref="AH9:AQ9" si="6">(AH10*AH29)/90</f>
        <v>25.822895733333336</v>
      </c>
      <c r="AI9" s="891">
        <f t="shared" si="6"/>
        <v>24.761964266666666</v>
      </c>
      <c r="AJ9" s="889">
        <f t="shared" si="6"/>
        <v>24.437813977777775</v>
      </c>
      <c r="AK9" s="890">
        <f t="shared" si="6"/>
        <v>25.207059555555556</v>
      </c>
      <c r="AL9" s="890">
        <f t="shared" si="6"/>
        <v>26.594199106666672</v>
      </c>
      <c r="AM9" s="891">
        <f t="shared" si="6"/>
        <v>25.502805045333332</v>
      </c>
      <c r="AN9" s="889">
        <f t="shared" si="6"/>
        <v>24.00744669638889</v>
      </c>
      <c r="AO9" s="890">
        <f t="shared" si="6"/>
        <v>24.769026367777773</v>
      </c>
      <c r="AP9" s="890">
        <f t="shared" si="6"/>
        <v>26.140113924193333</v>
      </c>
      <c r="AQ9" s="891">
        <f t="shared" si="6"/>
        <v>25.06700462380666</v>
      </c>
    </row>
    <row r="10" spans="2:49" s="58" customFormat="1" ht="13.5" customHeight="1">
      <c r="B10" s="250" t="s">
        <v>32</v>
      </c>
      <c r="C10" s="85">
        <f t="shared" ref="C10:J10" si="7">(C9/C29)*365</f>
        <v>18.311249433870238</v>
      </c>
      <c r="D10" s="85">
        <f t="shared" si="7"/>
        <v>16.842221912762405</v>
      </c>
      <c r="E10" s="85">
        <f t="shared" si="7"/>
        <v>16.74451174541403</v>
      </c>
      <c r="F10" s="85">
        <f t="shared" si="7"/>
        <v>19.46321669302316</v>
      </c>
      <c r="G10" s="881">
        <f t="shared" si="7"/>
        <v>20.702513414162837</v>
      </c>
      <c r="H10" s="85">
        <f t="shared" si="7"/>
        <v>19.772523879111883</v>
      </c>
      <c r="I10" s="85">
        <f t="shared" si="7"/>
        <v>20.331459382680841</v>
      </c>
      <c r="J10" s="85">
        <f t="shared" si="7"/>
        <v>20.068919998898338</v>
      </c>
      <c r="L10" s="825">
        <f>(L9/L29)*90</f>
        <v>19.387859180518589</v>
      </c>
      <c r="M10" s="892">
        <f>(M9/M29)*90</f>
        <v>21.316519341497038</v>
      </c>
      <c r="N10" s="892">
        <f t="shared" ref="N10:AG10" si="8">N9/N29*90</f>
        <v>17.493686727601848</v>
      </c>
      <c r="O10" s="893">
        <f t="shared" si="8"/>
        <v>17.458333645160568</v>
      </c>
      <c r="P10" s="825">
        <f t="shared" si="8"/>
        <v>17.482258183336199</v>
      </c>
      <c r="Q10" s="892">
        <f t="shared" si="8"/>
        <v>18.884404379244508</v>
      </c>
      <c r="R10" s="892">
        <f t="shared" si="8"/>
        <v>17.389537496117331</v>
      </c>
      <c r="S10" s="893">
        <f t="shared" si="8"/>
        <v>16.471201418925226</v>
      </c>
      <c r="T10" s="825">
        <f t="shared" si="8"/>
        <v>16.826826992162658</v>
      </c>
      <c r="U10" s="892">
        <f t="shared" si="8"/>
        <v>18.513930166399138</v>
      </c>
      <c r="V10" s="892">
        <f t="shared" si="8"/>
        <v>15.822588026762169</v>
      </c>
      <c r="W10" s="893">
        <f t="shared" si="8"/>
        <v>16.808432484229019</v>
      </c>
      <c r="X10" s="825">
        <f t="shared" si="8"/>
        <v>19.761441987028661</v>
      </c>
      <c r="Y10" s="892">
        <f t="shared" si="8"/>
        <v>24.019823788546258</v>
      </c>
      <c r="Z10" s="892">
        <f t="shared" si="8"/>
        <v>18.87192312755035</v>
      </c>
      <c r="AA10" s="893">
        <f t="shared" si="8"/>
        <v>18.071834154703236</v>
      </c>
      <c r="AB10" s="825">
        <f t="shared" si="8"/>
        <v>19.785273431893213</v>
      </c>
      <c r="AC10" s="892">
        <f t="shared" si="8"/>
        <v>17.676531227773228</v>
      </c>
      <c r="AD10" s="892">
        <f t="shared" si="8"/>
        <v>18.445448446297696</v>
      </c>
      <c r="AE10" s="893">
        <f t="shared" si="8"/>
        <v>20.334481987021707</v>
      </c>
      <c r="AF10" s="825">
        <f t="shared" si="8"/>
        <v>18.604743396525738</v>
      </c>
      <c r="AG10" s="892">
        <f t="shared" si="8"/>
        <v>21.698991466252906</v>
      </c>
      <c r="AH10" s="894">
        <v>20</v>
      </c>
      <c r="AI10" s="893">
        <f t="shared" ref="AI10:AQ10" si="9">AH10</f>
        <v>20</v>
      </c>
      <c r="AJ10" s="825">
        <f t="shared" si="9"/>
        <v>20</v>
      </c>
      <c r="AK10" s="892">
        <f t="shared" si="9"/>
        <v>20</v>
      </c>
      <c r="AL10" s="892">
        <f t="shared" si="9"/>
        <v>20</v>
      </c>
      <c r="AM10" s="893">
        <f t="shared" si="9"/>
        <v>20</v>
      </c>
      <c r="AN10" s="825">
        <f t="shared" si="9"/>
        <v>20</v>
      </c>
      <c r="AO10" s="892">
        <f t="shared" si="9"/>
        <v>20</v>
      </c>
      <c r="AP10" s="892">
        <f t="shared" si="9"/>
        <v>20</v>
      </c>
      <c r="AQ10" s="893">
        <f t="shared" si="9"/>
        <v>20</v>
      </c>
    </row>
    <row r="11" spans="2:49" s="97" customFormat="1" ht="13.5" customHeight="1">
      <c r="B11" s="259" t="s">
        <v>3</v>
      </c>
      <c r="C11" s="821">
        <f>BS!C23</f>
        <v>29.321999999999999</v>
      </c>
      <c r="D11" s="821">
        <f>BS!D23</f>
        <v>30.417999999999999</v>
      </c>
      <c r="E11" s="821">
        <f>BS!E23</f>
        <v>26.085000000000001</v>
      </c>
      <c r="F11" s="821">
        <f>BS!F23</f>
        <v>23.058</v>
      </c>
      <c r="G11" s="882">
        <f>BS!G23</f>
        <v>29.064</v>
      </c>
      <c r="H11" s="99">
        <f>AI11</f>
        <v>27.238160693333334</v>
      </c>
      <c r="I11" s="99">
        <f>AM11</f>
        <v>28.053085549866669</v>
      </c>
      <c r="J11" s="99">
        <f>AQ11</f>
        <v>27.573705086187328</v>
      </c>
      <c r="L11" s="889">
        <f>BS!L23</f>
        <v>24.117999999999999</v>
      </c>
      <c r="M11" s="890">
        <f>BS!M23</f>
        <v>25.652000000000001</v>
      </c>
      <c r="N11" s="890">
        <f>BS!N23</f>
        <v>42.725000000000001</v>
      </c>
      <c r="O11" s="891">
        <f>BS!O23</f>
        <v>29.321999999999999</v>
      </c>
      <c r="P11" s="889">
        <f>BS!P23</f>
        <v>31.95</v>
      </c>
      <c r="Q11" s="890">
        <f>BS!Q23</f>
        <v>33.383000000000003</v>
      </c>
      <c r="R11" s="890">
        <f>BS!R23</f>
        <v>33.284979492823929</v>
      </c>
      <c r="S11" s="891">
        <f>BS!S23</f>
        <v>30.417999999999999</v>
      </c>
      <c r="T11" s="889">
        <f>BS!T23</f>
        <v>29.32</v>
      </c>
      <c r="U11" s="890">
        <f>BS!U23</f>
        <v>33.969000000000001</v>
      </c>
      <c r="V11" s="890">
        <f>BS!V23</f>
        <v>33.128</v>
      </c>
      <c r="W11" s="891">
        <f>BS!W23</f>
        <v>26.085000000000001</v>
      </c>
      <c r="X11" s="889">
        <f>BS!X23</f>
        <v>19.459</v>
      </c>
      <c r="Y11" s="890">
        <f>BS!Y23</f>
        <v>23.984000000000002</v>
      </c>
      <c r="Z11" s="890">
        <f>BS!Z23</f>
        <v>19.327999999999999</v>
      </c>
      <c r="AA11" s="891">
        <f>BS!AA23</f>
        <v>23.058</v>
      </c>
      <c r="AB11" s="889">
        <f>BS!AB23</f>
        <v>23.314</v>
      </c>
      <c r="AC11" s="890">
        <f>BS!AC23</f>
        <v>21.864999999999998</v>
      </c>
      <c r="AD11" s="890">
        <f>BS!AD23</f>
        <v>22.567</v>
      </c>
      <c r="AE11" s="891">
        <f>BS!AE23</f>
        <v>29.064</v>
      </c>
      <c r="AF11" s="889">
        <f>BS!AF23</f>
        <v>28.64</v>
      </c>
      <c r="AG11" s="890">
        <f>BS!AG23</f>
        <v>32.901000000000003</v>
      </c>
      <c r="AH11" s="890">
        <f t="shared" ref="AH11:AQ11" si="10">(AH29*AH12)/90</f>
        <v>28.40518530666667</v>
      </c>
      <c r="AI11" s="891">
        <f t="shared" si="10"/>
        <v>27.238160693333334</v>
      </c>
      <c r="AJ11" s="889">
        <f t="shared" si="10"/>
        <v>26.881595375555552</v>
      </c>
      <c r="AK11" s="890">
        <f t="shared" si="10"/>
        <v>27.727765511111112</v>
      </c>
      <c r="AL11" s="890">
        <f t="shared" si="10"/>
        <v>29.253619017333339</v>
      </c>
      <c r="AM11" s="891">
        <f t="shared" si="10"/>
        <v>28.053085549866669</v>
      </c>
      <c r="AN11" s="889">
        <f t="shared" si="10"/>
        <v>26.408191366027772</v>
      </c>
      <c r="AO11" s="890">
        <f t="shared" si="10"/>
        <v>27.245929004555553</v>
      </c>
      <c r="AP11" s="890">
        <f t="shared" si="10"/>
        <v>28.754125316612665</v>
      </c>
      <c r="AQ11" s="891">
        <f t="shared" si="10"/>
        <v>27.573705086187328</v>
      </c>
    </row>
    <row r="12" spans="2:49" s="58" customFormat="1" ht="13.5" customHeight="1">
      <c r="B12" s="251" t="s">
        <v>37</v>
      </c>
      <c r="C12" s="156">
        <f t="shared" ref="C12:J12" si="11">(C11/C29)*365</f>
        <v>20.714600922065703</v>
      </c>
      <c r="D12" s="156">
        <f t="shared" si="11"/>
        <v>21.776192558973342</v>
      </c>
      <c r="E12" s="156">
        <f t="shared" si="11"/>
        <v>18.675414267108135</v>
      </c>
      <c r="F12" s="156">
        <f t="shared" si="11"/>
        <v>19.9538860214187</v>
      </c>
      <c r="G12" s="883">
        <f t="shared" si="11"/>
        <v>23.8362258792231</v>
      </c>
      <c r="H12" s="156">
        <f t="shared" si="11"/>
        <v>21.749776267023073</v>
      </c>
      <c r="I12" s="156">
        <f t="shared" si="11"/>
        <v>22.364605320948925</v>
      </c>
      <c r="J12" s="156">
        <f t="shared" si="11"/>
        <v>22.075811998788176</v>
      </c>
      <c r="L12" s="896">
        <f t="shared" ref="L12:AG12" si="12">L11/(L29/90)</f>
        <v>17.296603821696653</v>
      </c>
      <c r="M12" s="897">
        <f t="shared" si="12"/>
        <v>18.72256913470116</v>
      </c>
      <c r="N12" s="897">
        <f t="shared" si="12"/>
        <v>28.644378394082281</v>
      </c>
      <c r="O12" s="898">
        <f t="shared" si="12"/>
        <v>19.749739936087888</v>
      </c>
      <c r="P12" s="896">
        <f t="shared" si="12"/>
        <v>23.537067504849841</v>
      </c>
      <c r="Q12" s="897">
        <f t="shared" si="12"/>
        <v>24.204026391473526</v>
      </c>
      <c r="R12" s="897">
        <f t="shared" si="12"/>
        <v>22.189821959497735</v>
      </c>
      <c r="S12" s="898">
        <f t="shared" si="12"/>
        <v>21.296480692037214</v>
      </c>
      <c r="T12" s="896">
        <f t="shared" si="12"/>
        <v>21.792595406608473</v>
      </c>
      <c r="U12" s="897">
        <f t="shared" si="12"/>
        <v>24.294035377695842</v>
      </c>
      <c r="V12" s="897">
        <f t="shared" si="12"/>
        <v>21.659051119812283</v>
      </c>
      <c r="W12" s="898">
        <f t="shared" si="12"/>
        <v>18.746706060848041</v>
      </c>
      <c r="X12" s="896">
        <f t="shared" si="12"/>
        <v>17.915481719418132</v>
      </c>
      <c r="Y12" s="897">
        <f t="shared" si="12"/>
        <v>22.011747430249635</v>
      </c>
      <c r="Z12" s="897">
        <f t="shared" si="12"/>
        <v>15.264973015664077</v>
      </c>
      <c r="AA12" s="898">
        <f t="shared" si="12"/>
        <v>18.527426612384829</v>
      </c>
      <c r="AB12" s="896">
        <f t="shared" si="12"/>
        <v>20.078082388402468</v>
      </c>
      <c r="AC12" s="897">
        <f t="shared" si="12"/>
        <v>17.717045853553135</v>
      </c>
      <c r="AD12" s="897">
        <f t="shared" si="12"/>
        <v>17.248515936170392</v>
      </c>
      <c r="AE12" s="898">
        <f t="shared" si="12"/>
        <v>23.412486014768405</v>
      </c>
      <c r="AF12" s="896">
        <f t="shared" si="12"/>
        <v>22.717537875783297</v>
      </c>
      <c r="AG12" s="897">
        <f t="shared" si="12"/>
        <v>25.524437548487199</v>
      </c>
      <c r="AH12" s="899">
        <v>22</v>
      </c>
      <c r="AI12" s="898">
        <f t="shared" ref="AI12:AQ12" si="13">AH12</f>
        <v>22</v>
      </c>
      <c r="AJ12" s="896">
        <f t="shared" si="13"/>
        <v>22</v>
      </c>
      <c r="AK12" s="897">
        <f t="shared" si="13"/>
        <v>22</v>
      </c>
      <c r="AL12" s="897">
        <f t="shared" si="13"/>
        <v>22</v>
      </c>
      <c r="AM12" s="898">
        <f t="shared" si="13"/>
        <v>22</v>
      </c>
      <c r="AN12" s="896">
        <f t="shared" si="13"/>
        <v>22</v>
      </c>
      <c r="AO12" s="897">
        <f t="shared" si="13"/>
        <v>22</v>
      </c>
      <c r="AP12" s="897">
        <f t="shared" si="13"/>
        <v>22</v>
      </c>
      <c r="AQ12" s="898">
        <f t="shared" si="13"/>
        <v>22</v>
      </c>
    </row>
    <row r="13" spans="2:49" s="97" customFormat="1" ht="13.5" customHeight="1">
      <c r="B13" s="547" t="s">
        <v>96</v>
      </c>
      <c r="C13" s="611">
        <f t="shared" ref="C13:J13" si="14">C8+C10-C12</f>
        <v>1.7938851408602936</v>
      </c>
      <c r="D13" s="611">
        <f t="shared" si="14"/>
        <v>0.73462079540832903</v>
      </c>
      <c r="E13" s="611">
        <f t="shared" si="14"/>
        <v>4.654665894414812</v>
      </c>
      <c r="F13" s="611">
        <f t="shared" si="14"/>
        <v>8.6892485204469203</v>
      </c>
      <c r="G13" s="879">
        <f t="shared" si="14"/>
        <v>6.0542568428780044</v>
      </c>
      <c r="H13" s="668">
        <f t="shared" si="14"/>
        <v>6.5906132271316764</v>
      </c>
      <c r="I13" s="668">
        <f t="shared" si="14"/>
        <v>6.5350997511036049</v>
      </c>
      <c r="J13" s="668">
        <f t="shared" si="14"/>
        <v>6.6679348864438808</v>
      </c>
      <c r="L13" s="826">
        <f>L8+L10-L12</f>
        <v>6.853409591847921</v>
      </c>
      <c r="M13" s="668">
        <f t="shared" ref="M13:AQ13" si="15">M8+M10-M12</f>
        <v>8.3477627557841032</v>
      </c>
      <c r="N13" s="258">
        <f t="shared" si="15"/>
        <v>-6.1366742686213129</v>
      </c>
      <c r="O13" s="827">
        <f t="shared" si="15"/>
        <v>1.7459004994778269</v>
      </c>
      <c r="P13" s="826">
        <f t="shared" si="15"/>
        <v>-0.79397832720000494</v>
      </c>
      <c r="Q13" s="258">
        <f t="shared" si="15"/>
        <v>5.7770409710048654E-2</v>
      </c>
      <c r="R13" s="258">
        <f t="shared" si="15"/>
        <v>0.4284418078309713</v>
      </c>
      <c r="S13" s="827">
        <f t="shared" si="15"/>
        <v>0.77269063374256319</v>
      </c>
      <c r="T13" s="826">
        <f t="shared" si="15"/>
        <v>-0.1205316995176382</v>
      </c>
      <c r="U13" s="258">
        <f t="shared" si="15"/>
        <v>0.51924275093176675</v>
      </c>
      <c r="V13" s="258">
        <f t="shared" si="15"/>
        <v>4.2105050406355815E-2</v>
      </c>
      <c r="W13" s="827">
        <f t="shared" si="15"/>
        <v>4.5582635381591814</v>
      </c>
      <c r="X13" s="826">
        <f t="shared" si="15"/>
        <v>11.11250347023481</v>
      </c>
      <c r="Y13" s="258">
        <f t="shared" si="15"/>
        <v>12.95565718698986</v>
      </c>
      <c r="Z13" s="258">
        <f t="shared" si="15"/>
        <v>13.742799652112476</v>
      </c>
      <c r="AA13" s="827">
        <f t="shared" si="15"/>
        <v>8.1807981526152034</v>
      </c>
      <c r="AB13" s="826">
        <f t="shared" si="15"/>
        <v>8.9522638772222187</v>
      </c>
      <c r="AC13" s="258">
        <f t="shared" si="15"/>
        <v>10.153081285224307</v>
      </c>
      <c r="AD13" s="258">
        <f t="shared" si="15"/>
        <v>10.731642563871144</v>
      </c>
      <c r="AE13" s="827">
        <f t="shared" si="15"/>
        <v>6.1442307909105978</v>
      </c>
      <c r="AF13" s="826">
        <f t="shared" si="15"/>
        <v>3.8425038130195368</v>
      </c>
      <c r="AG13" s="258">
        <f t="shared" si="15"/>
        <v>4.4339621165532925</v>
      </c>
      <c r="AH13" s="258">
        <f t="shared" si="15"/>
        <v>6.5</v>
      </c>
      <c r="AI13" s="827">
        <f t="shared" si="15"/>
        <v>6.5</v>
      </c>
      <c r="AJ13" s="826">
        <f t="shared" si="15"/>
        <v>6.5</v>
      </c>
      <c r="AK13" s="258">
        <f t="shared" si="15"/>
        <v>6.5</v>
      </c>
      <c r="AL13" s="258">
        <f t="shared" si="15"/>
        <v>6.5</v>
      </c>
      <c r="AM13" s="827">
        <f t="shared" si="15"/>
        <v>6.5</v>
      </c>
      <c r="AN13" s="826">
        <f t="shared" si="15"/>
        <v>6.5</v>
      </c>
      <c r="AO13" s="258">
        <f t="shared" si="15"/>
        <v>6.5</v>
      </c>
      <c r="AP13" s="258">
        <f t="shared" si="15"/>
        <v>6.5</v>
      </c>
      <c r="AQ13" s="827">
        <f t="shared" si="15"/>
        <v>6.5</v>
      </c>
    </row>
    <row r="14" spans="2:49" ht="13.5" customHeight="1">
      <c r="B14" s="16"/>
      <c r="C14" s="64"/>
      <c r="D14" s="64"/>
      <c r="E14" s="64"/>
      <c r="F14" s="64"/>
      <c r="G14" s="884"/>
      <c r="H14" s="64"/>
      <c r="I14" s="64"/>
      <c r="J14" s="64"/>
      <c r="K14" s="10"/>
      <c r="L14" s="900"/>
      <c r="M14" s="901"/>
      <c r="N14" s="901"/>
      <c r="O14" s="902"/>
      <c r="P14" s="900"/>
      <c r="Q14" s="901"/>
      <c r="R14" s="901"/>
      <c r="S14" s="902"/>
      <c r="T14" s="900"/>
      <c r="U14" s="901"/>
      <c r="V14" s="901"/>
      <c r="W14" s="902"/>
      <c r="X14" s="900"/>
      <c r="Y14" s="901"/>
      <c r="Z14" s="901"/>
      <c r="AA14" s="902"/>
      <c r="AB14" s="900"/>
      <c r="AC14" s="901"/>
      <c r="AD14" s="901"/>
      <c r="AE14" s="902"/>
      <c r="AF14" s="900"/>
      <c r="AG14" s="901"/>
      <c r="AH14" s="903"/>
      <c r="AI14" s="904"/>
      <c r="AJ14" s="905"/>
      <c r="AK14" s="903"/>
      <c r="AL14" s="903"/>
      <c r="AM14" s="904"/>
      <c r="AN14" s="905"/>
      <c r="AO14" s="903"/>
      <c r="AP14" s="903"/>
      <c r="AQ14" s="904"/>
    </row>
    <row r="15" spans="2:49" ht="13.5" customHeight="1">
      <c r="B15" s="252" t="s">
        <v>97</v>
      </c>
      <c r="C15" s="253"/>
      <c r="D15" s="253"/>
      <c r="E15" s="253"/>
      <c r="F15" s="253"/>
      <c r="G15" s="885"/>
      <c r="H15" s="257"/>
      <c r="I15" s="257"/>
      <c r="J15" s="257"/>
      <c r="K15" s="10"/>
      <c r="L15" s="900"/>
      <c r="M15" s="901"/>
      <c r="N15" s="901"/>
      <c r="O15" s="902"/>
      <c r="P15" s="900"/>
      <c r="Q15" s="901"/>
      <c r="R15" s="901"/>
      <c r="S15" s="902"/>
      <c r="T15" s="900"/>
      <c r="U15" s="901"/>
      <c r="V15" s="901"/>
      <c r="W15" s="902"/>
      <c r="X15" s="900"/>
      <c r="Y15" s="901"/>
      <c r="Z15" s="901"/>
      <c r="AA15" s="902"/>
      <c r="AB15" s="900"/>
      <c r="AC15" s="901"/>
      <c r="AD15" s="901"/>
      <c r="AE15" s="902"/>
      <c r="AF15" s="900"/>
      <c r="AG15" s="901"/>
      <c r="AH15" s="903"/>
      <c r="AI15" s="904"/>
      <c r="AJ15" s="905"/>
      <c r="AK15" s="903"/>
      <c r="AL15" s="903"/>
      <c r="AM15" s="904"/>
      <c r="AN15" s="905"/>
      <c r="AO15" s="903"/>
      <c r="AP15" s="903"/>
      <c r="AQ15" s="904"/>
    </row>
    <row r="16" spans="2:49" s="62" customFormat="1" ht="13.5" customHeight="1">
      <c r="B16" s="951" t="s">
        <v>21</v>
      </c>
      <c r="C16" s="65">
        <f>BS!C11/WC!C$28</f>
        <v>6.4714930009427823E-3</v>
      </c>
      <c r="D16" s="65">
        <f>BS!D11/WC!D$28</f>
        <v>6.4762127394141344E-3</v>
      </c>
      <c r="E16" s="65">
        <f>BS!E11/WC!E$28</f>
        <v>7.0949635913160735E-3</v>
      </c>
      <c r="F16" s="65">
        <f>BS!F11/WC!F$28</f>
        <v>9.6941624685045261E-3</v>
      </c>
      <c r="G16" s="625">
        <f>BS!G11/WC!G$28</f>
        <v>1.4042355888215138E-2</v>
      </c>
      <c r="H16" s="65">
        <f>BS!H11/WC!H$28</f>
        <v>1.3918466623631285E-2</v>
      </c>
      <c r="I16" s="65">
        <f>BS!I11/WC!I$28</f>
        <v>1.3919084053000264E-2</v>
      </c>
      <c r="J16" s="65">
        <f>BS!J11/WC!J$28</f>
        <v>1.4092224820990151E-2</v>
      </c>
      <c r="K16" s="36"/>
      <c r="L16" s="906">
        <f>BS!L11/L28</f>
        <v>2.610366024029058E-2</v>
      </c>
      <c r="M16" s="907">
        <f>BS!M11/M28</f>
        <v>2.6388323325809059E-2</v>
      </c>
      <c r="N16" s="907">
        <f>BS!N11/N28</f>
        <v>2.6082829443747776E-2</v>
      </c>
      <c r="O16" s="908">
        <f>BS!O11/O28</f>
        <v>2.5245451300564326E-2</v>
      </c>
      <c r="P16" s="906">
        <f>BS!P11/P28</f>
        <v>2.7086575238870876E-2</v>
      </c>
      <c r="Q16" s="907">
        <f>BS!Q11/Q28</f>
        <v>2.679560528095222E-2</v>
      </c>
      <c r="R16" s="907">
        <f>BS!R11/R28</f>
        <v>2.607362678898912E-2</v>
      </c>
      <c r="S16" s="908">
        <f>BS!S11/S28</f>
        <v>2.5937425364222593E-2</v>
      </c>
      <c r="T16" s="906">
        <f>BS!T11/T28</f>
        <v>2.6790934500358937E-2</v>
      </c>
      <c r="U16" s="907">
        <f>BS!U11/U28</f>
        <v>2.667092353598487E-2</v>
      </c>
      <c r="V16" s="907">
        <f>BS!V11/V28</f>
        <v>2.5353750183849711E-2</v>
      </c>
      <c r="W16" s="908">
        <f>BS!W11/W28</f>
        <v>2.838501866862703E-2</v>
      </c>
      <c r="X16" s="906">
        <f>BS!X11/X28</f>
        <v>3.6291008251891375E-2</v>
      </c>
      <c r="Y16" s="907">
        <f>BS!Y11/Y28</f>
        <v>3.5617726934806034E-2</v>
      </c>
      <c r="Z16" s="907">
        <f>BS!Z11/Z28</f>
        <v>0.10923013739328501</v>
      </c>
      <c r="AA16" s="908">
        <f>BS!AA11/AA28</f>
        <v>3.6987427835095246E-2</v>
      </c>
      <c r="AB16" s="906">
        <f>BS!AB11/AB28</f>
        <v>3.9729973379794746E-2</v>
      </c>
      <c r="AC16" s="907">
        <f>BS!AC11/AC28</f>
        <v>3.9353577871316901E-2</v>
      </c>
      <c r="AD16" s="907">
        <f>BS!AD11/AD28</f>
        <v>5.4425928757070786E-2</v>
      </c>
      <c r="AE16" s="908">
        <f>BS!AE11/AE28</f>
        <v>5.7161941471515543E-2</v>
      </c>
      <c r="AF16" s="906">
        <f>BS!AF11/AF28</f>
        <v>5.7167196276287684E-2</v>
      </c>
      <c r="AG16" s="907">
        <f>BS!AG11/AG28</f>
        <v>5.5969029470019797E-2</v>
      </c>
      <c r="AH16" s="909">
        <v>5.6000000000000001E-2</v>
      </c>
      <c r="AI16" s="908">
        <f t="shared" ref="AI16:AQ16" si="16">AH16</f>
        <v>5.6000000000000001E-2</v>
      </c>
      <c r="AJ16" s="906">
        <f t="shared" si="16"/>
        <v>5.6000000000000001E-2</v>
      </c>
      <c r="AK16" s="907">
        <f t="shared" si="16"/>
        <v>5.6000000000000001E-2</v>
      </c>
      <c r="AL16" s="907">
        <f t="shared" si="16"/>
        <v>5.6000000000000001E-2</v>
      </c>
      <c r="AM16" s="908">
        <f t="shared" si="16"/>
        <v>5.6000000000000001E-2</v>
      </c>
      <c r="AN16" s="906">
        <f t="shared" si="16"/>
        <v>5.6000000000000001E-2</v>
      </c>
      <c r="AO16" s="907">
        <f t="shared" si="16"/>
        <v>5.6000000000000001E-2</v>
      </c>
      <c r="AP16" s="907">
        <f t="shared" si="16"/>
        <v>5.6000000000000001E-2</v>
      </c>
      <c r="AQ16" s="908">
        <f t="shared" si="16"/>
        <v>5.6000000000000001E-2</v>
      </c>
      <c r="AR16" s="36"/>
      <c r="AS16" s="36"/>
      <c r="AT16" s="36"/>
    </row>
    <row r="17" spans="1:59" s="62" customFormat="1" ht="13.5" customHeight="1">
      <c r="B17" s="951" t="s">
        <v>98</v>
      </c>
      <c r="C17" s="910">
        <f>BS!C12/C28</f>
        <v>0</v>
      </c>
      <c r="D17" s="910">
        <f>BS!D12/D28</f>
        <v>0</v>
      </c>
      <c r="E17" s="910">
        <f>BS!E12/E28</f>
        <v>0</v>
      </c>
      <c r="F17" s="910">
        <f>BS!F12/F28</f>
        <v>4.7326532335353291E-2</v>
      </c>
      <c r="G17" s="911">
        <f>BS!G12/G28</f>
        <v>1.9437703605127987E-2</v>
      </c>
      <c r="H17" s="910">
        <f>BS!H12/H28</f>
        <v>1.8640803513791899E-2</v>
      </c>
      <c r="I17" s="910">
        <f>BS!I12/I28</f>
        <v>1.864163042812535E-2</v>
      </c>
      <c r="J17" s="910">
        <f>BS!J12/J28</f>
        <v>1.8873515385254665E-2</v>
      </c>
      <c r="K17" s="36"/>
      <c r="L17" s="912">
        <f>BS!L12/L28</f>
        <v>0</v>
      </c>
      <c r="M17" s="910">
        <f>BS!M12/M28</f>
        <v>0</v>
      </c>
      <c r="N17" s="910">
        <f>BS!N12/N28</f>
        <v>0</v>
      </c>
      <c r="O17" s="911">
        <f>BS!O12/O28</f>
        <v>0</v>
      </c>
      <c r="P17" s="912">
        <f>BS!P12/P28</f>
        <v>0</v>
      </c>
      <c r="Q17" s="910">
        <f>BS!Q12/Q28</f>
        <v>0</v>
      </c>
      <c r="R17" s="910">
        <f>BS!R12/R28</f>
        <v>0</v>
      </c>
      <c r="S17" s="911">
        <f>BS!S12/S28</f>
        <v>0</v>
      </c>
      <c r="T17" s="912">
        <f>BS!T12/T28</f>
        <v>0</v>
      </c>
      <c r="U17" s="910">
        <f>BS!U12/U28</f>
        <v>1.2883578717290668E-2</v>
      </c>
      <c r="V17" s="910">
        <f>BS!V12/V28</f>
        <v>0</v>
      </c>
      <c r="W17" s="911">
        <f>BS!W12/W28</f>
        <v>0</v>
      </c>
      <c r="X17" s="912">
        <f>BS!X12/X28</f>
        <v>0</v>
      </c>
      <c r="Y17" s="910">
        <f>BS!Y12/Y28</f>
        <v>3.1096478584758239E-2</v>
      </c>
      <c r="Z17" s="910">
        <f>BS!Z12/Z28</f>
        <v>6.4068320900847894E-2</v>
      </c>
      <c r="AA17" s="911">
        <f>BS!AA12/AA28</f>
        <v>0.18057121542230775</v>
      </c>
      <c r="AB17" s="912">
        <f>BS!AB12/AB28</f>
        <v>0.13468549001514649</v>
      </c>
      <c r="AC17" s="910">
        <f>BS!AC12/AC28</f>
        <v>0.16698436560432955</v>
      </c>
      <c r="AD17" s="910">
        <f>BS!AD12/AD28</f>
        <v>0.16193419025554784</v>
      </c>
      <c r="AE17" s="911">
        <f>BS!AE12/AE28</f>
        <v>7.9124677131240218E-2</v>
      </c>
      <c r="AF17" s="912">
        <f>BS!AF12/AF28</f>
        <v>6.7738960167432236E-2</v>
      </c>
      <c r="AG17" s="910">
        <f>BS!AG12/AG28</f>
        <v>7.5424644379088884E-2</v>
      </c>
      <c r="AH17" s="624">
        <v>7.4999999999999997E-2</v>
      </c>
      <c r="AI17" s="911">
        <f t="shared" ref="AI17:AQ17" si="17">AH17</f>
        <v>7.4999999999999997E-2</v>
      </c>
      <c r="AJ17" s="912">
        <f t="shared" si="17"/>
        <v>7.4999999999999997E-2</v>
      </c>
      <c r="AK17" s="910">
        <f t="shared" si="17"/>
        <v>7.4999999999999997E-2</v>
      </c>
      <c r="AL17" s="910">
        <f t="shared" si="17"/>
        <v>7.4999999999999997E-2</v>
      </c>
      <c r="AM17" s="911">
        <f t="shared" si="17"/>
        <v>7.4999999999999997E-2</v>
      </c>
      <c r="AN17" s="912">
        <f t="shared" si="17"/>
        <v>7.4999999999999997E-2</v>
      </c>
      <c r="AO17" s="910">
        <f t="shared" si="17"/>
        <v>7.4999999999999997E-2</v>
      </c>
      <c r="AP17" s="910">
        <f t="shared" si="17"/>
        <v>7.4999999999999997E-2</v>
      </c>
      <c r="AQ17" s="911">
        <f t="shared" si="17"/>
        <v>7.4999999999999997E-2</v>
      </c>
      <c r="AR17" s="36"/>
      <c r="AS17" s="36"/>
      <c r="AT17" s="36"/>
    </row>
    <row r="18" spans="1:59" s="62" customFormat="1" ht="13.5" customHeight="1">
      <c r="B18" s="951" t="s">
        <v>31</v>
      </c>
      <c r="C18" s="910">
        <f>BS!C13/C28</f>
        <v>1.2560777019279548E-3</v>
      </c>
      <c r="D18" s="910">
        <f>BS!D13/D28</f>
        <v>8.623023592258599E-4</v>
      </c>
      <c r="E18" s="910">
        <f>BS!E13/E28</f>
        <v>1.6471098812690665E-3</v>
      </c>
      <c r="F18" s="910">
        <f>BS!F13/F28</f>
        <v>3.8749987038899599E-3</v>
      </c>
      <c r="G18" s="911">
        <f>BS!G13/G28</f>
        <v>3.222305186398424E-3</v>
      </c>
      <c r="H18" s="910">
        <f>BS!H13/H28</f>
        <v>3.7281607027583796E-3</v>
      </c>
      <c r="I18" s="910">
        <f>BS!I13/I28</f>
        <v>3.7283260856250705E-3</v>
      </c>
      <c r="J18" s="910">
        <f>BS!J13/J28</f>
        <v>3.7747030770509333E-3</v>
      </c>
      <c r="K18" s="36"/>
      <c r="L18" s="912">
        <f>BS!L13/L28</f>
        <v>8.5824718263947091E-3</v>
      </c>
      <c r="M18" s="910">
        <f>BS!M13/M28</f>
        <v>7.8169317424861186E-3</v>
      </c>
      <c r="N18" s="910">
        <f>BS!N13/N28</f>
        <v>6.158348901757235E-3</v>
      </c>
      <c r="O18" s="911">
        <f>BS!O13/O28</f>
        <v>4.8999896081363776E-3</v>
      </c>
      <c r="P18" s="912">
        <f>BS!P13/P28</f>
        <v>1.1169122031384069E-2</v>
      </c>
      <c r="Q18" s="910">
        <f>BS!Q13/Q28</f>
        <v>8.2365014890443729E-3</v>
      </c>
      <c r="R18" s="910">
        <f>BS!R13/R28</f>
        <v>4.9846995527263131E-3</v>
      </c>
      <c r="S18" s="911">
        <f>BS!S13/S28</f>
        <v>3.4535466921423452E-3</v>
      </c>
      <c r="T18" s="912">
        <f>BS!T13/T28</f>
        <v>9.6235207629742376E-3</v>
      </c>
      <c r="U18" s="910">
        <f>BS!U13/U28</f>
        <v>7.9889976300698707E-3</v>
      </c>
      <c r="V18" s="910">
        <f>BS!V13/V28</f>
        <v>7.1578819579818792E-3</v>
      </c>
      <c r="W18" s="911">
        <f>BS!W13/W28</f>
        <v>6.5896384283530979E-3</v>
      </c>
      <c r="X18" s="912">
        <f>BS!X13/X28</f>
        <v>1.2951357434586214E-2</v>
      </c>
      <c r="Y18" s="910">
        <f>BS!Y13/Y28</f>
        <v>1.715646857125518E-2</v>
      </c>
      <c r="Z18" s="910">
        <f>BS!Z13/Z28</f>
        <v>1.430148461643768E-2</v>
      </c>
      <c r="AA18" s="911">
        <f>BS!AA13/AA28</f>
        <v>1.4784798107817123E-2</v>
      </c>
      <c r="AB18" s="912">
        <f>BS!AB13/AB28</f>
        <v>1.8597719222095074E-2</v>
      </c>
      <c r="AC18" s="910">
        <f>BS!AC13/AC28</f>
        <v>1.7540589296452195E-2</v>
      </c>
      <c r="AD18" s="910">
        <f>BS!AD13/AD28</f>
        <v>1.2104124281161432E-2</v>
      </c>
      <c r="AE18" s="911">
        <f>BS!AE13/AE28</f>
        <v>1.3116974240971165E-2</v>
      </c>
      <c r="AF18" s="912">
        <f>BS!AF13/AF28</f>
        <v>1.9090460591834921E-2</v>
      </c>
      <c r="AG18" s="910">
        <f>BS!AG13/AG28</f>
        <v>1.6802712922393614E-2</v>
      </c>
      <c r="AH18" s="624">
        <v>1.4999999999999999E-2</v>
      </c>
      <c r="AI18" s="911">
        <f t="shared" ref="AI18:AQ18" si="18">AH18</f>
        <v>1.4999999999999999E-2</v>
      </c>
      <c r="AJ18" s="912">
        <f t="shared" si="18"/>
        <v>1.4999999999999999E-2</v>
      </c>
      <c r="AK18" s="910">
        <f t="shared" si="18"/>
        <v>1.4999999999999999E-2</v>
      </c>
      <c r="AL18" s="910">
        <f t="shared" si="18"/>
        <v>1.4999999999999999E-2</v>
      </c>
      <c r="AM18" s="911">
        <f t="shared" si="18"/>
        <v>1.4999999999999999E-2</v>
      </c>
      <c r="AN18" s="912">
        <f t="shared" si="18"/>
        <v>1.4999999999999999E-2</v>
      </c>
      <c r="AO18" s="910">
        <f t="shared" si="18"/>
        <v>1.4999999999999999E-2</v>
      </c>
      <c r="AP18" s="910">
        <f t="shared" si="18"/>
        <v>1.4999999999999999E-2</v>
      </c>
      <c r="AQ18" s="911">
        <f t="shared" si="18"/>
        <v>1.4999999999999999E-2</v>
      </c>
      <c r="AR18" s="36"/>
      <c r="AS18" s="36"/>
      <c r="AT18" s="36"/>
    </row>
    <row r="19" spans="1:59" ht="13.5" customHeight="1">
      <c r="B19" s="952" t="s">
        <v>99</v>
      </c>
      <c r="C19" s="910">
        <f>BS!C25/WC!C28</f>
        <v>0</v>
      </c>
      <c r="D19" s="910">
        <f>BS!D25/WC!D28</f>
        <v>1.2236225524865434E-2</v>
      </c>
      <c r="E19" s="910">
        <f>BS!E25/WC!E28</f>
        <v>1.2845039297926214E-2</v>
      </c>
      <c r="F19" s="910">
        <f>BS!F25/WC!F28</f>
        <v>1.2106408412420734E-2</v>
      </c>
      <c r="G19" s="911">
        <f>BS!G25/WC!G28</f>
        <v>1.3430411455479348E-2</v>
      </c>
      <c r="H19" s="910">
        <f>BS!H25/WC!H28</f>
        <v>1.4912642811033518E-2</v>
      </c>
      <c r="I19" s="910">
        <f>BS!I25/WC!I28</f>
        <v>1.4913304342500282E-2</v>
      </c>
      <c r="J19" s="910">
        <f>BS!J25/WC!J28</f>
        <v>1.5098812308203733E-2</v>
      </c>
      <c r="K19" s="254"/>
      <c r="L19" s="912">
        <f>BS!L25/WC!L28</f>
        <v>0</v>
      </c>
      <c r="M19" s="910">
        <f>BS!M25/WC!M28</f>
        <v>0</v>
      </c>
      <c r="N19" s="910">
        <f>BS!N25/WC!N28</f>
        <v>0</v>
      </c>
      <c r="O19" s="911">
        <f>BS!O25/WC!O28</f>
        <v>0</v>
      </c>
      <c r="P19" s="912">
        <f>BS!P25/WC!P28</f>
        <v>0</v>
      </c>
      <c r="Q19" s="910">
        <f>BS!Q25/WC!Q28</f>
        <v>0</v>
      </c>
      <c r="R19" s="910">
        <f>BS!R25/WC!R28</f>
        <v>0</v>
      </c>
      <c r="S19" s="911">
        <f>BS!S25/WC!S28</f>
        <v>4.9006448531167895E-2</v>
      </c>
      <c r="T19" s="912">
        <f>BS!T25/WC!T28</f>
        <v>4.7049420146486713E-2</v>
      </c>
      <c r="U19" s="910">
        <f>BS!U25/WC!U28</f>
        <v>4.9586797156083842E-2</v>
      </c>
      <c r="V19" s="910">
        <f>BS!V25/WC!V28</f>
        <v>4.9281060094924826E-2</v>
      </c>
      <c r="W19" s="911">
        <f>BS!W25/WC!W28</f>
        <v>5.1389506877406128E-2</v>
      </c>
      <c r="X19" s="912">
        <f>BS!X25/WC!X28</f>
        <v>7.40042233359407E-2</v>
      </c>
      <c r="Y19" s="910">
        <f>BS!Y25/WC!Y28</f>
        <v>7.3678141736584185E-2</v>
      </c>
      <c r="Z19" s="910">
        <f>BS!Z25/WC!Z28</f>
        <v>4.847067321835833E-2</v>
      </c>
      <c r="AA19" s="911">
        <f>BS!AA25/WC!AA28</f>
        <v>4.6191190724460755E-2</v>
      </c>
      <c r="AB19" s="912">
        <f>BS!AB25/WC!AB28</f>
        <v>5.4345285613251214E-2</v>
      </c>
      <c r="AC19" s="910">
        <f>BS!AC25/WC!AC28</f>
        <v>6.0450992182802178E-2</v>
      </c>
      <c r="AD19" s="910">
        <f>BS!AD25/WC!AD28</f>
        <v>4.9004504133689272E-2</v>
      </c>
      <c r="AE19" s="911">
        <f>BS!AE25/WC!AE28</f>
        <v>5.4670911324841975E-2</v>
      </c>
      <c r="AF19" s="912">
        <f>BS!AF25/WC!AF28</f>
        <v>5.3434903980805346E-2</v>
      </c>
      <c r="AG19" s="910">
        <f>BS!AG25/WC!AG28</f>
        <v>4.5348418462277169E-2</v>
      </c>
      <c r="AH19" s="624">
        <v>0.06</v>
      </c>
      <c r="AI19" s="911">
        <f t="shared" ref="AI19:AQ19" si="19">AH19</f>
        <v>0.06</v>
      </c>
      <c r="AJ19" s="912">
        <f t="shared" si="19"/>
        <v>0.06</v>
      </c>
      <c r="AK19" s="910">
        <f t="shared" si="19"/>
        <v>0.06</v>
      </c>
      <c r="AL19" s="910">
        <f t="shared" si="19"/>
        <v>0.06</v>
      </c>
      <c r="AM19" s="911">
        <f t="shared" si="19"/>
        <v>0.06</v>
      </c>
      <c r="AN19" s="912">
        <f t="shared" si="19"/>
        <v>0.06</v>
      </c>
      <c r="AO19" s="910">
        <f t="shared" si="19"/>
        <v>0.06</v>
      </c>
      <c r="AP19" s="910">
        <f t="shared" si="19"/>
        <v>0.06</v>
      </c>
      <c r="AQ19" s="911">
        <f t="shared" si="19"/>
        <v>0.06</v>
      </c>
      <c r="AR19" s="254"/>
      <c r="AS19" s="254"/>
      <c r="AT19" s="254"/>
    </row>
    <row r="20" spans="1:59" ht="13.5" customHeight="1">
      <c r="B20" s="953" t="s">
        <v>59</v>
      </c>
      <c r="C20" s="910">
        <f>BS!C26/WC!C$28</f>
        <v>2.2900688207810497E-2</v>
      </c>
      <c r="D20" s="910">
        <f>BS!D26/WC!D$28</f>
        <v>2.1482420600796942E-2</v>
      </c>
      <c r="E20" s="910">
        <f>BS!E26/WC!E$28</f>
        <v>2.0251895989695439E-2</v>
      </c>
      <c r="F20" s="910">
        <f>BS!F26/WC!F$28</f>
        <v>2.2381228179061678E-2</v>
      </c>
      <c r="G20" s="911">
        <f>BS!G26/WC!G$28</f>
        <v>2.063524799932558E-2</v>
      </c>
      <c r="H20" s="910">
        <f>BS!H26/WC!H$28</f>
        <v>1.7398083279539109E-2</v>
      </c>
      <c r="I20" s="910">
        <f>BS!I26/WC!I$28</f>
        <v>1.7398855066250329E-2</v>
      </c>
      <c r="J20" s="910">
        <f>BS!J26/WC!J$28</f>
        <v>1.7615281026237689E-2</v>
      </c>
      <c r="K20" s="254"/>
      <c r="L20" s="912">
        <f>BS!L26/WC!L$28</f>
        <v>5.0800968613206661E-2</v>
      </c>
      <c r="M20" s="910">
        <f>BS!M26/WC!M$28</f>
        <v>5.6232008228844742E-2</v>
      </c>
      <c r="N20" s="910">
        <f>BS!N26/WC!N$28</f>
        <v>6.6436649504563516E-2</v>
      </c>
      <c r="O20" s="911">
        <f>BS!O26/WC!O$28</f>
        <v>8.9336140642578638E-2</v>
      </c>
      <c r="P20" s="912">
        <f>BS!P26/WC!P$28</f>
        <v>6.6527537412195872E-2</v>
      </c>
      <c r="Q20" s="910">
        <f>BS!Q26/WC!Q$28</f>
        <v>7.841101461229695E-2</v>
      </c>
      <c r="R20" s="910">
        <f>BS!R26/WC!R$28</f>
        <v>7.6243223459562151E-2</v>
      </c>
      <c r="S20" s="911">
        <f>BS!S26/WC!S$28</f>
        <v>8.6037735849056607E-2</v>
      </c>
      <c r="T20" s="912">
        <f>BS!T26/WC!T$28</f>
        <v>7.2303452971548818E-2</v>
      </c>
      <c r="U20" s="910">
        <f>BS!U26/WC!U$28</f>
        <v>7.0717241548681808E-2</v>
      </c>
      <c r="V20" s="910">
        <f>BS!V26/WC!V$28</f>
        <v>7.664256581819541E-2</v>
      </c>
      <c r="W20" s="911">
        <f>BS!W26/WC!W$28</f>
        <v>8.1022324969530476E-2</v>
      </c>
      <c r="X20" s="912">
        <f>BS!X26/WC!X$28</f>
        <v>7.6023138686808406E-2</v>
      </c>
      <c r="Y20" s="910">
        <f>BS!Y26/WC!Y$28</f>
        <v>7.9264462684529149E-2</v>
      </c>
      <c r="Z20" s="910">
        <f>BS!Z26/WC!Z$28</f>
        <v>7.2247255483934861E-2</v>
      </c>
      <c r="AA20" s="911">
        <f>BS!AA26/WC!AA$28</f>
        <v>8.539407760323503E-2</v>
      </c>
      <c r="AB20" s="912">
        <f>BS!AB26/WC!AB$28</f>
        <v>7.0405434528561323E-2</v>
      </c>
      <c r="AC20" s="910">
        <f>BS!AC26/WC!AC$28</f>
        <v>8.337041491280818E-2</v>
      </c>
      <c r="AD20" s="910">
        <f>BS!AD26/WC!AD$28</f>
        <v>7.292168922653558E-2</v>
      </c>
      <c r="AE20" s="911">
        <f>BS!AE26/WC!AE$28</f>
        <v>8.3999497504373855E-2</v>
      </c>
      <c r="AF20" s="912">
        <f>BS!AF26/WC!AF$28</f>
        <v>7.8607959159284299E-2</v>
      </c>
      <c r="AG20" s="910">
        <f>BS!AG26/WC!AG$28</f>
        <v>5.994238040933917E-2</v>
      </c>
      <c r="AH20" s="624">
        <v>7.0000000000000007E-2</v>
      </c>
      <c r="AI20" s="911">
        <f t="shared" ref="AI20:AQ20" si="20">AH20</f>
        <v>7.0000000000000007E-2</v>
      </c>
      <c r="AJ20" s="912">
        <f t="shared" si="20"/>
        <v>7.0000000000000007E-2</v>
      </c>
      <c r="AK20" s="910">
        <f t="shared" si="20"/>
        <v>7.0000000000000007E-2</v>
      </c>
      <c r="AL20" s="910">
        <f t="shared" si="20"/>
        <v>7.0000000000000007E-2</v>
      </c>
      <c r="AM20" s="911">
        <f t="shared" si="20"/>
        <v>7.0000000000000007E-2</v>
      </c>
      <c r="AN20" s="912">
        <f t="shared" si="20"/>
        <v>7.0000000000000007E-2</v>
      </c>
      <c r="AO20" s="910">
        <f t="shared" si="20"/>
        <v>7.0000000000000007E-2</v>
      </c>
      <c r="AP20" s="910">
        <f t="shared" si="20"/>
        <v>7.0000000000000007E-2</v>
      </c>
      <c r="AQ20" s="911">
        <f t="shared" si="20"/>
        <v>7.0000000000000007E-2</v>
      </c>
      <c r="AR20" s="254"/>
      <c r="AS20" s="254"/>
      <c r="AT20" s="254"/>
    </row>
    <row r="21" spans="1:59" ht="13.5" customHeight="1">
      <c r="B21" s="953" t="s">
        <v>60</v>
      </c>
      <c r="C21" s="910">
        <f>BS!C27/WC!C$28</f>
        <v>1.3994060704052109E-2</v>
      </c>
      <c r="D21" s="910">
        <f>BS!D27/WC!D$28</f>
        <v>1.553933255650585E-2</v>
      </c>
      <c r="E21" s="910">
        <f>BS!E27/WC!E$28</f>
        <v>1.5763294896739811E-2</v>
      </c>
      <c r="F21" s="910">
        <f>BS!F27/WC!F$28</f>
        <v>1.5606646156033873E-2</v>
      </c>
      <c r="G21" s="911">
        <f>BS!G27/WC!G$28</f>
        <v>1.4959143488549938E-2</v>
      </c>
      <c r="H21" s="910">
        <f>BS!H27/WC!H$28</f>
        <v>1.4912642811033518E-2</v>
      </c>
      <c r="I21" s="910">
        <f>BS!I27/WC!I$28</f>
        <v>1.4913304342500282E-2</v>
      </c>
      <c r="J21" s="910">
        <f>BS!J27/WC!J$28</f>
        <v>1.5098812308203733E-2</v>
      </c>
      <c r="K21" s="254"/>
      <c r="L21" s="912">
        <f>BS!L27/WC!L$28</f>
        <v>5.4668436248486531E-2</v>
      </c>
      <c r="M21" s="910">
        <f>BS!M27/WC!M$28</f>
        <v>5.7790216242553205E-2</v>
      </c>
      <c r="N21" s="910">
        <f>BS!N27/WC!N$28</f>
        <v>6.0120095946470997E-2</v>
      </c>
      <c r="O21" s="911">
        <f>BS!O27/WC!O$28</f>
        <v>5.4591170530482049E-2</v>
      </c>
      <c r="P21" s="912">
        <f>BS!P27/WC!P$28</f>
        <v>5.8851189870226833E-2</v>
      </c>
      <c r="Q21" s="910">
        <f>BS!Q27/WC!Q$28</f>
        <v>5.9055835567299528E-2</v>
      </c>
      <c r="R21" s="910">
        <f>BS!R27/WC!R$28</f>
        <v>0</v>
      </c>
      <c r="S21" s="911">
        <f>BS!S27/WC!S$28</f>
        <v>6.2235490804872222E-2</v>
      </c>
      <c r="T21" s="912">
        <f>BS!T27/WC!T$28</f>
        <v>6.6824386164431218E-2</v>
      </c>
      <c r="U21" s="910">
        <f>BS!U27/WC!U$28</f>
        <v>6.680501491950834E-2</v>
      </c>
      <c r="V21" s="910">
        <f>BS!V27/WC!V$28</f>
        <v>6.2947805359773457E-2</v>
      </c>
      <c r="W21" s="911">
        <f>BS!W27/WC!W$28</f>
        <v>6.3064653421291902E-2</v>
      </c>
      <c r="X21" s="912">
        <f>BS!X27/WC!X$28</f>
        <v>8.1745975309252691E-2</v>
      </c>
      <c r="Y21" s="910">
        <f>BS!Y27/WC!Y$28</f>
        <v>7.7022044878700069E-2</v>
      </c>
      <c r="Z21" s="910">
        <f>BS!Z27/WC!Z$28</f>
        <v>6.0814805968758108E-2</v>
      </c>
      <c r="AA21" s="911">
        <f>BS!AA27/WC!AA$28</f>
        <v>5.9546113480107493E-2</v>
      </c>
      <c r="AB21" s="912">
        <f>BS!AB27/WC!AB$28</f>
        <v>6.5737033653160276E-2</v>
      </c>
      <c r="AC21" s="910">
        <f>BS!AC27/WC!AC$28</f>
        <v>6.4660252555622383E-2</v>
      </c>
      <c r="AD21" s="910">
        <f>BS!AD27/WC!AD$28</f>
        <v>6.5433419966365994E-2</v>
      </c>
      <c r="AE21" s="911">
        <f>BS!AE27/WC!AE$28</f>
        <v>6.0893890694945323E-2</v>
      </c>
      <c r="AF21" s="912">
        <f>BS!AF27/WC!AF$28</f>
        <v>5.9345898921680088E-2</v>
      </c>
      <c r="AG21" s="910">
        <f>BS!AG27/WC!AG$28</f>
        <v>6.1878038533101247E-2</v>
      </c>
      <c r="AH21" s="624">
        <v>0.06</v>
      </c>
      <c r="AI21" s="911">
        <f t="shared" ref="AI21:AQ21" si="21">AH21</f>
        <v>0.06</v>
      </c>
      <c r="AJ21" s="912">
        <f t="shared" si="21"/>
        <v>0.06</v>
      </c>
      <c r="AK21" s="910">
        <f t="shared" si="21"/>
        <v>0.06</v>
      </c>
      <c r="AL21" s="910">
        <f t="shared" si="21"/>
        <v>0.06</v>
      </c>
      <c r="AM21" s="911">
        <f t="shared" si="21"/>
        <v>0.06</v>
      </c>
      <c r="AN21" s="912">
        <f t="shared" si="21"/>
        <v>0.06</v>
      </c>
      <c r="AO21" s="910">
        <f t="shared" si="21"/>
        <v>0.06</v>
      </c>
      <c r="AP21" s="910">
        <f t="shared" si="21"/>
        <v>0.06</v>
      </c>
      <c r="AQ21" s="911">
        <f t="shared" si="21"/>
        <v>0.06</v>
      </c>
      <c r="AR21" s="254"/>
      <c r="AS21" s="254"/>
      <c r="AT21" s="254"/>
    </row>
    <row r="22" spans="1:59" ht="13.5" customHeight="1">
      <c r="B22" s="953" t="s">
        <v>61</v>
      </c>
      <c r="C22" s="910">
        <f>BS!C28/WC!C$28</f>
        <v>0</v>
      </c>
      <c r="D22" s="910">
        <f>BS!D28/WC!D$28</f>
        <v>0</v>
      </c>
      <c r="E22" s="910">
        <f>BS!E28/WC!E$28</f>
        <v>1.2967136984537718E-2</v>
      </c>
      <c r="F22" s="910">
        <f>BS!F28/WC!F$28</f>
        <v>9.5652920987650668E-3</v>
      </c>
      <c r="G22" s="911">
        <f>BS!G28/WC!G$28</f>
        <v>9.7602502574231191E-3</v>
      </c>
      <c r="H22" s="910">
        <f>BS!H28/WC!H$28</f>
        <v>8.4504975929189947E-3</v>
      </c>
      <c r="I22" s="910">
        <f>BS!I28/WC!I$28</f>
        <v>8.4508724607501601E-3</v>
      </c>
      <c r="J22" s="910">
        <f>BS!J28/WC!J$28</f>
        <v>8.55599364131545E-3</v>
      </c>
      <c r="K22" s="254"/>
      <c r="L22" s="912">
        <f>BS!L28/WC!L$28</f>
        <v>0</v>
      </c>
      <c r="M22" s="910">
        <f>BS!M28/WC!M$28</f>
        <v>0</v>
      </c>
      <c r="N22" s="910">
        <f>BS!N28/WC!N$28</f>
        <v>0</v>
      </c>
      <c r="O22" s="911">
        <f>BS!O28/WC!O$28</f>
        <v>0</v>
      </c>
      <c r="P22" s="912">
        <f>BS!P28/WC!P$28</f>
        <v>0</v>
      </c>
      <c r="Q22" s="910">
        <f>BS!Q28/WC!Q$28</f>
        <v>0</v>
      </c>
      <c r="R22" s="910">
        <f>BS!R28/WC!R$28</f>
        <v>0</v>
      </c>
      <c r="S22" s="911">
        <f>BS!S28/WC!S$28</f>
        <v>0</v>
      </c>
      <c r="T22" s="912">
        <f>BS!T28/WC!T$28</f>
        <v>3.4995966558203674E-2</v>
      </c>
      <c r="U22" s="910">
        <f>BS!U28/WC!U$28</f>
        <v>3.1941255203408771E-2</v>
      </c>
      <c r="V22" s="910">
        <f>BS!V28/WC!V$28</f>
        <v>4.9260048699744839E-2</v>
      </c>
      <c r="W22" s="911">
        <f>BS!W28/WC!W$28</f>
        <v>5.1877986496682203E-2</v>
      </c>
      <c r="X22" s="912">
        <f>BS!X28/WC!X$28</f>
        <v>4.3977108653510219E-2</v>
      </c>
      <c r="Y22" s="910">
        <f>BS!Y28/WC!Y$28</f>
        <v>4.0767095022075234E-2</v>
      </c>
      <c r="Z22" s="910">
        <f>BS!Z28/WC!Z$28</f>
        <v>5.1630980918732035E-2</v>
      </c>
      <c r="AA22" s="911">
        <f>BS!AA28/WC!AA$28</f>
        <v>3.6495731567748116E-2</v>
      </c>
      <c r="AB22" s="912">
        <f>BS!AB28/WC!AB$28</f>
        <v>3.5823450670665259E-2</v>
      </c>
      <c r="AC22" s="910">
        <f>BS!AC28/WC!AC$28</f>
        <v>3.3144918821407097E-2</v>
      </c>
      <c r="AD22" s="910">
        <f>BS!AD28/WC!AD$28</f>
        <v>5.0471581621252933E-2</v>
      </c>
      <c r="AE22" s="911">
        <f>BS!AE28/WC!AE$28</f>
        <v>3.9730858440241323E-2</v>
      </c>
      <c r="AF22" s="912">
        <f>BS!AF28/WC!AF$28</f>
        <v>3.5962382906223861E-2</v>
      </c>
      <c r="AG22" s="910">
        <f>BS!AG28/WC!AG$28</f>
        <v>3.3587419722705715E-2</v>
      </c>
      <c r="AH22" s="624">
        <v>3.4000000000000002E-2</v>
      </c>
      <c r="AI22" s="911">
        <f t="shared" ref="AI22:AQ22" si="22">AH22</f>
        <v>3.4000000000000002E-2</v>
      </c>
      <c r="AJ22" s="912">
        <f t="shared" si="22"/>
        <v>3.4000000000000002E-2</v>
      </c>
      <c r="AK22" s="910">
        <f t="shared" si="22"/>
        <v>3.4000000000000002E-2</v>
      </c>
      <c r="AL22" s="910">
        <f t="shared" si="22"/>
        <v>3.4000000000000002E-2</v>
      </c>
      <c r="AM22" s="911">
        <f t="shared" si="22"/>
        <v>3.4000000000000002E-2</v>
      </c>
      <c r="AN22" s="912">
        <f t="shared" si="22"/>
        <v>3.4000000000000002E-2</v>
      </c>
      <c r="AO22" s="910">
        <f t="shared" si="22"/>
        <v>3.4000000000000002E-2</v>
      </c>
      <c r="AP22" s="910">
        <f t="shared" si="22"/>
        <v>3.4000000000000002E-2</v>
      </c>
      <c r="AQ22" s="911">
        <f t="shared" si="22"/>
        <v>3.4000000000000002E-2</v>
      </c>
      <c r="AR22" s="254"/>
      <c r="AS22" s="254"/>
      <c r="AT22" s="254"/>
    </row>
    <row r="23" spans="1:59" ht="13.5" customHeight="1">
      <c r="B23" s="953" t="s">
        <v>62</v>
      </c>
      <c r="C23" s="910">
        <f>BS!C29/WC!C$28</f>
        <v>2.942487971999138E-2</v>
      </c>
      <c r="D23" s="910">
        <f>BS!D29/WC!D$28</f>
        <v>2.0113828682108596E-2</v>
      </c>
      <c r="E23" s="910">
        <f>BS!E29/WC!E$28</f>
        <v>9.3543752376220451E-3</v>
      </c>
      <c r="F23" s="910">
        <f>BS!F29/WC!F$28</f>
        <v>2.6545074263402149E-2</v>
      </c>
      <c r="G23" s="911">
        <f>BS!G29/WC!G$28</f>
        <v>2.6930823934629582E-2</v>
      </c>
      <c r="H23" s="910">
        <f>BS!H29/WC!H$28</f>
        <v>2.3114596357101953E-2</v>
      </c>
      <c r="I23" s="910">
        <f>BS!I29/WC!I$28</f>
        <v>2.3115621730875436E-2</v>
      </c>
      <c r="J23" s="910">
        <f>BS!J29/WC!J$28</f>
        <v>2.3403159077715788E-2</v>
      </c>
      <c r="K23" s="254"/>
      <c r="L23" s="912">
        <f>BS!L29/WC!L$28</f>
        <v>0.13078373847443417</v>
      </c>
      <c r="M23" s="910">
        <f>BS!M29/WC!M$28</f>
        <v>0.14425663827213092</v>
      </c>
      <c r="N23" s="910">
        <f>BS!N29/WC!N$28</f>
        <v>0.15591766843561186</v>
      </c>
      <c r="O23" s="911">
        <f>BS!O29/WC!O$28</f>
        <v>0.1147871701148075</v>
      </c>
      <c r="P23" s="912">
        <f>BS!P29/WC!P$28</f>
        <v>0.12400197786535973</v>
      </c>
      <c r="Q23" s="910">
        <f>BS!Q29/WC!Q$28</f>
        <v>0.13113421541029047</v>
      </c>
      <c r="R23" s="910">
        <f>BS!R29/WC!R$28</f>
        <v>0.18493195921731903</v>
      </c>
      <c r="S23" s="911">
        <f>BS!S29/WC!S$28</f>
        <v>8.0556484356341052E-2</v>
      </c>
      <c r="T23" s="912">
        <f>BS!T29/WC!T$28</f>
        <v>4.121758136574559E-2</v>
      </c>
      <c r="U23" s="910">
        <f>BS!U29/WC!U$28</f>
        <v>4.5114628485823399E-2</v>
      </c>
      <c r="V23" s="910">
        <f>BS!V29/WC!V$28</f>
        <v>4.534725999733856E-2</v>
      </c>
      <c r="W23" s="911">
        <f>BS!W29/WC!W$28</f>
        <v>3.742430984117158E-2</v>
      </c>
      <c r="X23" s="912">
        <f>BS!X29/WC!X$28</f>
        <v>7.8246109800550939E-2</v>
      </c>
      <c r="Y23" s="910">
        <f>BS!Y29/WC!Y$28</f>
        <v>0.10483530821865851</v>
      </c>
      <c r="Z23" s="910">
        <f>BS!Z29/WC!Z$28</f>
        <v>0.10267359118725625</v>
      </c>
      <c r="AA23" s="911">
        <f>BS!AA29/WC!AA$28</f>
        <v>0.10128095355165778</v>
      </c>
      <c r="AB23" s="912">
        <f>BS!AB29/WC!AB$28</f>
        <v>0.12166374765138155</v>
      </c>
      <c r="AC23" s="910">
        <f>BS!AC29/WC!AC$28</f>
        <v>0.11686109440769696</v>
      </c>
      <c r="AD23" s="910">
        <f>BS!AD29/WC!AD$28</f>
        <v>0.10444474498136017</v>
      </c>
      <c r="AE23" s="911">
        <f>BS!AE29/WC!AE$28</f>
        <v>0.10962677443767983</v>
      </c>
      <c r="AF23" s="912">
        <f>BS!AF29/WC!AF$28</f>
        <v>9.1900803147627788E-2</v>
      </c>
      <c r="AG23" s="910">
        <f>BS!AG29/WC!AG$28</f>
        <v>0.11849528839805533</v>
      </c>
      <c r="AH23" s="624">
        <v>9.2999999999999999E-2</v>
      </c>
      <c r="AI23" s="911">
        <f t="shared" ref="AI23:AQ23" si="23">AH23</f>
        <v>9.2999999999999999E-2</v>
      </c>
      <c r="AJ23" s="912">
        <f t="shared" si="23"/>
        <v>9.2999999999999999E-2</v>
      </c>
      <c r="AK23" s="910">
        <f t="shared" si="23"/>
        <v>9.2999999999999999E-2</v>
      </c>
      <c r="AL23" s="910">
        <f t="shared" si="23"/>
        <v>9.2999999999999999E-2</v>
      </c>
      <c r="AM23" s="911">
        <f t="shared" si="23"/>
        <v>9.2999999999999999E-2</v>
      </c>
      <c r="AN23" s="912">
        <f t="shared" si="23"/>
        <v>9.2999999999999999E-2</v>
      </c>
      <c r="AO23" s="910">
        <f t="shared" si="23"/>
        <v>9.2999999999999999E-2</v>
      </c>
      <c r="AP23" s="910">
        <f t="shared" si="23"/>
        <v>9.2999999999999999E-2</v>
      </c>
      <c r="AQ23" s="911">
        <f t="shared" si="23"/>
        <v>9.2999999999999999E-2</v>
      </c>
      <c r="AR23" s="254"/>
      <c r="AS23" s="254"/>
      <c r="AT23" s="254"/>
    </row>
    <row r="24" spans="1:59" ht="13.5" customHeight="1">
      <c r="B24" s="953" t="s">
        <v>64</v>
      </c>
      <c r="C24" s="910">
        <f>BS!C32/C$28</f>
        <v>1.5286042886164267E-2</v>
      </c>
      <c r="D24" s="910">
        <f>BS!D32/D$28</f>
        <v>1.7702244490746647E-2</v>
      </c>
      <c r="E24" s="910">
        <f>BS!E32/E$28</f>
        <v>1.8549177261058755E-2</v>
      </c>
      <c r="F24" s="910">
        <f>BS!F32/F$28</f>
        <v>2.3803986686357664E-2</v>
      </c>
      <c r="G24" s="911">
        <f>BS!G32/G$28</f>
        <v>2.6894694374025252E-2</v>
      </c>
      <c r="H24" s="910">
        <f>BS!H32/H$28</f>
        <v>2.3114596357101953E-2</v>
      </c>
      <c r="I24" s="910">
        <f>BS!I32/I$28</f>
        <v>2.3115621730875436E-2</v>
      </c>
      <c r="J24" s="910">
        <f>BS!J32/J$28</f>
        <v>2.3403159077715788E-2</v>
      </c>
      <c r="K24" s="254"/>
      <c r="L24" s="912">
        <f>BS!L32/$L$28</f>
        <v>5.1771910217006605E-2</v>
      </c>
      <c r="M24" s="910">
        <f>BS!M32/$L$28</f>
        <v>5.6880413523330522E-2</v>
      </c>
      <c r="N24" s="910">
        <f>BS!N32/$L$28</f>
        <v>5.7343764552482059E-2</v>
      </c>
      <c r="O24" s="911">
        <f>BS!O32/$L$28</f>
        <v>6.1460370680823315E-2</v>
      </c>
      <c r="P24" s="912">
        <f>BS!P32/$L$28</f>
        <v>6.0568594579491472E-2</v>
      </c>
      <c r="Q24" s="910">
        <f>BS!Q32/$L$28</f>
        <v>6.5558349632113239E-2</v>
      </c>
      <c r="R24" s="910">
        <f>BS!R32/$L$28</f>
        <v>6.5558349632113239E-2</v>
      </c>
      <c r="S24" s="911">
        <f>BS!S32/$L$28</f>
        <v>6.911846884604636E-2</v>
      </c>
      <c r="T24" s="912">
        <f>BS!T32/$L$28</f>
        <v>7.1318804135233296E-2</v>
      </c>
      <c r="U24" s="910">
        <f>BS!U32/$L$28</f>
        <v>6.4908726832448527E-2</v>
      </c>
      <c r="V24" s="910">
        <f>BS!V32/$L$28</f>
        <v>6.6228928005960683E-2</v>
      </c>
      <c r="W24" s="911">
        <f>BS!W32/$L$28</f>
        <v>7.1453851168855345E-2</v>
      </c>
      <c r="X24" s="912">
        <f>BS!X32/$L$28</f>
        <v>7.1225668249976698E-2</v>
      </c>
      <c r="Y24" s="910">
        <f>BS!Y32/$L$28</f>
        <v>7.332355406538138E-2</v>
      </c>
      <c r="Z24" s="910">
        <f>BS!Z32/$L$28</f>
        <v>6.593089317313959E-2</v>
      </c>
      <c r="AA24" s="911">
        <f>BS!AA32/$L$28</f>
        <v>7.4834683803669547E-2</v>
      </c>
      <c r="AB24" s="912">
        <f>BS!AB32/$L$28</f>
        <v>8.4525472664617657E-2</v>
      </c>
      <c r="AC24" s="910">
        <f>BS!AC32/$L$28</f>
        <v>8.3549874266554899E-2</v>
      </c>
      <c r="AD24" s="910">
        <f>BS!AD32/$L$28</f>
        <v>8.4131973549408573E-2</v>
      </c>
      <c r="AE24" s="911">
        <f>BS!AE32/$L$28</f>
        <v>8.3195957902579859E-2</v>
      </c>
      <c r="AF24" s="912">
        <f>BS!AF32/$L$28</f>
        <v>9.4851913942442009E-2</v>
      </c>
      <c r="AG24" s="910">
        <f>BS!AG32/$L$28</f>
        <v>9.250023283971312E-2</v>
      </c>
      <c r="AH24" s="624">
        <v>9.2999999999999999E-2</v>
      </c>
      <c r="AI24" s="911">
        <f t="shared" ref="AI24:AQ24" si="24">AH24</f>
        <v>9.2999999999999999E-2</v>
      </c>
      <c r="AJ24" s="912">
        <f t="shared" si="24"/>
        <v>9.2999999999999999E-2</v>
      </c>
      <c r="AK24" s="910">
        <f t="shared" si="24"/>
        <v>9.2999999999999999E-2</v>
      </c>
      <c r="AL24" s="910">
        <f t="shared" si="24"/>
        <v>9.2999999999999999E-2</v>
      </c>
      <c r="AM24" s="911">
        <f t="shared" si="24"/>
        <v>9.2999999999999999E-2</v>
      </c>
      <c r="AN24" s="912">
        <f t="shared" si="24"/>
        <v>9.2999999999999999E-2</v>
      </c>
      <c r="AO24" s="910">
        <f t="shared" si="24"/>
        <v>9.2999999999999999E-2</v>
      </c>
      <c r="AP24" s="910">
        <f t="shared" si="24"/>
        <v>9.2999999999999999E-2</v>
      </c>
      <c r="AQ24" s="911">
        <f t="shared" si="24"/>
        <v>9.2999999999999999E-2</v>
      </c>
      <c r="AR24" s="254"/>
      <c r="AS24" s="254"/>
      <c r="AT24" s="254"/>
    </row>
    <row r="25" spans="1:59" ht="13.5" customHeight="1">
      <c r="B25" s="953" t="s">
        <v>21</v>
      </c>
      <c r="C25" s="910">
        <f>BS!C33/C$28</f>
        <v>3.91115610109775E-2</v>
      </c>
      <c r="D25" s="910">
        <f>BS!D33/D$28</f>
        <v>3.3858188831097265E-2</v>
      </c>
      <c r="E25" s="910">
        <f>BS!E33/E$28</f>
        <v>3.1273327760359716E-2</v>
      </c>
      <c r="F25" s="910">
        <f>BS!F33/F$28</f>
        <v>2.8589224955821165E-2</v>
      </c>
      <c r="G25" s="911">
        <f>BS!G33/G$28</f>
        <v>2.4710361355821976E-2</v>
      </c>
      <c r="H25" s="910">
        <f>BS!H33/H$28</f>
        <v>1.8889347560642457E-2</v>
      </c>
      <c r="I25" s="910">
        <f>BS!I33/I$28</f>
        <v>1.8890185500500357E-2</v>
      </c>
      <c r="J25" s="910">
        <f>BS!J33/J$28</f>
        <v>1.912516225705806E-2</v>
      </c>
      <c r="K25" s="254"/>
      <c r="L25" s="912">
        <f>BS!L33/$L$28</f>
        <v>0.16496693676073387</v>
      </c>
      <c r="M25" s="910">
        <f>BS!M33/$L$28</f>
        <v>0.16489009965539719</v>
      </c>
      <c r="N25" s="910">
        <f>BS!N33/$L$28</f>
        <v>0.1819083542889075</v>
      </c>
      <c r="O25" s="911">
        <f>BS!O33/$L$28</f>
        <v>0.15725528546148829</v>
      </c>
      <c r="P25" s="912">
        <f>BS!P33/$L$28</f>
        <v>0.15704340132252956</v>
      </c>
      <c r="Q25" s="910">
        <f>BS!Q33/$L$28</f>
        <v>0.15704340132252956</v>
      </c>
      <c r="R25" s="910">
        <f>BS!R33/$L$28</f>
        <v>0.15782861832914213</v>
      </c>
      <c r="S25" s="911">
        <f>BS!S33/$L$28</f>
        <v>0.13219940393033433</v>
      </c>
      <c r="T25" s="912">
        <f>BS!T33/$L$28</f>
        <v>0.13219940393033433</v>
      </c>
      <c r="U25" s="910">
        <f>BS!U33/$L$28</f>
        <v>0.13219940393033433</v>
      </c>
      <c r="V25" s="910">
        <f>BS!V33/$L$28</f>
        <v>0.13219940393033433</v>
      </c>
      <c r="W25" s="911">
        <f>BS!W33/$L$28</f>
        <v>0.12046893918226689</v>
      </c>
      <c r="X25" s="912">
        <f>BS!X33/$L$28</f>
        <v>0.12046893918226689</v>
      </c>
      <c r="Y25" s="910">
        <f>BS!Y33/$L$28</f>
        <v>0.12046893918226689</v>
      </c>
      <c r="Z25" s="910">
        <f>BS!Z33/$L$28</f>
        <v>0.21138120517835521</v>
      </c>
      <c r="AA25" s="911">
        <f>BS!AA33/$L$28</f>
        <v>8.9878457669740133E-2</v>
      </c>
      <c r="AB25" s="912">
        <f>BS!AB33/$L$28</f>
        <v>9.7496973083729135E-2</v>
      </c>
      <c r="AC25" s="910">
        <f>BS!AC33/$L$28</f>
        <v>8.9878457669740133E-2</v>
      </c>
      <c r="AD25" s="910">
        <f>BS!AD33/$L$28</f>
        <v>9.8158237869050924E-2</v>
      </c>
      <c r="AE25" s="911">
        <f>BS!AE33/$L$28</f>
        <v>7.6438949427214298E-2</v>
      </c>
      <c r="AF25" s="912">
        <f>BS!AF33/$L$28</f>
        <v>7.6438949427214298E-2</v>
      </c>
      <c r="AG25" s="910">
        <f>BS!AG33/$L$28</f>
        <v>7.6438949427214298E-2</v>
      </c>
      <c r="AH25" s="624">
        <v>7.5999999999999998E-2</v>
      </c>
      <c r="AI25" s="911">
        <f t="shared" ref="AI25:AQ25" si="25">AH25</f>
        <v>7.5999999999999998E-2</v>
      </c>
      <c r="AJ25" s="912">
        <f t="shared" si="25"/>
        <v>7.5999999999999998E-2</v>
      </c>
      <c r="AK25" s="910">
        <f t="shared" si="25"/>
        <v>7.5999999999999998E-2</v>
      </c>
      <c r="AL25" s="910">
        <f t="shared" si="25"/>
        <v>7.5999999999999998E-2</v>
      </c>
      <c r="AM25" s="911">
        <f t="shared" si="25"/>
        <v>7.5999999999999998E-2</v>
      </c>
      <c r="AN25" s="912">
        <f t="shared" si="25"/>
        <v>7.5999999999999998E-2</v>
      </c>
      <c r="AO25" s="910">
        <f t="shared" si="25"/>
        <v>7.5999999999999998E-2</v>
      </c>
      <c r="AP25" s="910">
        <f t="shared" si="25"/>
        <v>7.5999999999999998E-2</v>
      </c>
      <c r="AQ25" s="911">
        <f t="shared" si="25"/>
        <v>7.5999999999999998E-2</v>
      </c>
      <c r="AR25" s="254"/>
      <c r="AS25" s="254"/>
      <c r="AT25" s="254"/>
    </row>
    <row r="26" spans="1:59" ht="13.5" customHeight="1">
      <c r="B26" s="953" t="s">
        <v>65</v>
      </c>
      <c r="C26" s="910">
        <f>BS!C34/C$28</f>
        <v>1.4056603992114912E-2</v>
      </c>
      <c r="D26" s="910">
        <f>BS!D34/D$28</f>
        <v>1.4597121126646335E-2</v>
      </c>
      <c r="E26" s="910">
        <f>BS!E34/E$28</f>
        <v>1.5169730895489821E-2</v>
      </c>
      <c r="F26" s="910">
        <f>BS!F34/F$28</f>
        <v>4.7333938678441765E-3</v>
      </c>
      <c r="G26" s="911">
        <f>BS!G34/G$28</f>
        <v>4.918136437264028E-3</v>
      </c>
      <c r="H26" s="910">
        <f>BS!H34/H$28</f>
        <v>3.7281607027583796E-3</v>
      </c>
      <c r="I26" s="910">
        <f>BS!I34/I$28</f>
        <v>3.7283260856250705E-3</v>
      </c>
      <c r="J26" s="910">
        <f>BS!J34/J$28</f>
        <v>3.7747030770509333E-3</v>
      </c>
      <c r="K26" s="254"/>
      <c r="L26" s="912">
        <f>BS!L34/$L$28</f>
        <v>5.5581167924001106E-2</v>
      </c>
      <c r="M26" s="910">
        <f>BS!M34/$L$28</f>
        <v>5.6044518953152642E-2</v>
      </c>
      <c r="N26" s="910">
        <f>BS!N34/$L$28</f>
        <v>5.6323926608922409E-2</v>
      </c>
      <c r="O26" s="911">
        <f>BS!O34/$L$28</f>
        <v>5.6517183570829833E-2</v>
      </c>
      <c r="P26" s="912">
        <f>BS!P34/$L$28</f>
        <v>5.6673186178634614E-2</v>
      </c>
      <c r="Q26" s="910">
        <f>BS!Q34/$L$28</f>
        <v>5.6826860389307988E-2</v>
      </c>
      <c r="R26" s="910">
        <f>BS!R34/$L$28</f>
        <v>5.7991058955015357E-2</v>
      </c>
      <c r="S26" s="911">
        <f>BS!S34/$L$28</f>
        <v>5.6994504982769853E-2</v>
      </c>
      <c r="T26" s="912">
        <f>BS!T34/$L$28</f>
        <v>5.6975877805718528E-2</v>
      </c>
      <c r="U26" s="910">
        <f>BS!U34/$L$28</f>
        <v>5.6954922231535796E-2</v>
      </c>
      <c r="V26" s="910">
        <f>BS!V34/$L$28</f>
        <v>5.6950265437272968E-2</v>
      </c>
      <c r="W26" s="911">
        <f>BS!W34/$L$28</f>
        <v>5.8435782807115574E-2</v>
      </c>
      <c r="X26" s="912">
        <f>BS!X34/$L$28</f>
        <v>5.9078420415386038E-2</v>
      </c>
      <c r="Y26" s="910">
        <f>BS!Y34/$L$28</f>
        <v>6.2242712116978662E-2</v>
      </c>
      <c r="Z26" s="910">
        <f>BS!Z34/$L$28</f>
        <v>1.438716587501164E-2</v>
      </c>
      <c r="AA26" s="911">
        <f>BS!AA34/$L$28</f>
        <v>1.4880786066871564E-2</v>
      </c>
      <c r="AB26" s="912">
        <f>BS!AB34/$L$28</f>
        <v>1.474108223898668E-2</v>
      </c>
      <c r="AC26" s="910">
        <f>BS!AC34/$L$28</f>
        <v>1.5032131880413522E-2</v>
      </c>
      <c r="AD26" s="910">
        <f>BS!AD34/$L$28</f>
        <v>1.4710813076278287E-2</v>
      </c>
      <c r="AE26" s="911">
        <f>BS!AE34/$L$28</f>
        <v>1.521374685666387E-2</v>
      </c>
      <c r="AF26" s="912">
        <f>BS!AF34/$L$28</f>
        <v>1.5185806091086893E-2</v>
      </c>
      <c r="AG26" s="910">
        <f>BS!AG34/$L$28</f>
        <v>1.5274285182080653E-2</v>
      </c>
      <c r="AH26" s="624">
        <v>1.4999999999999999E-2</v>
      </c>
      <c r="AI26" s="911">
        <f t="shared" ref="AI26:AQ26" si="26">AH26</f>
        <v>1.4999999999999999E-2</v>
      </c>
      <c r="AJ26" s="912">
        <f t="shared" si="26"/>
        <v>1.4999999999999999E-2</v>
      </c>
      <c r="AK26" s="910">
        <f t="shared" si="26"/>
        <v>1.4999999999999999E-2</v>
      </c>
      <c r="AL26" s="910">
        <f t="shared" si="26"/>
        <v>1.4999999999999999E-2</v>
      </c>
      <c r="AM26" s="911">
        <f t="shared" si="26"/>
        <v>1.4999999999999999E-2</v>
      </c>
      <c r="AN26" s="912">
        <f t="shared" si="26"/>
        <v>1.4999999999999999E-2</v>
      </c>
      <c r="AO26" s="910">
        <f t="shared" si="26"/>
        <v>1.4999999999999999E-2</v>
      </c>
      <c r="AP26" s="910">
        <f t="shared" si="26"/>
        <v>1.4999999999999999E-2</v>
      </c>
      <c r="AQ26" s="911">
        <f t="shared" si="26"/>
        <v>1.4999999999999999E-2</v>
      </c>
      <c r="AR26" s="254"/>
      <c r="AS26" s="254"/>
      <c r="AT26" s="254"/>
    </row>
    <row r="27" spans="1:59" ht="13.5" customHeight="1">
      <c r="B27" s="953" t="s">
        <v>1</v>
      </c>
      <c r="C27" s="910">
        <f>BS!C35/C$28</f>
        <v>5.8200004169552538E-3</v>
      </c>
      <c r="D27" s="910">
        <f>BS!D35/D$28</f>
        <v>7.4202131783176863E-3</v>
      </c>
      <c r="E27" s="910">
        <f>BS!E35/E$28</f>
        <v>5.8226089857852902E-3</v>
      </c>
      <c r="F27" s="910">
        <f>BS!F35/F$28</f>
        <v>6.9938097784466528E-3</v>
      </c>
      <c r="G27" s="911">
        <f>BS!G35/G$28</f>
        <v>3.7326352299345447E-3</v>
      </c>
      <c r="H27" s="910">
        <f>BS!H35/H$28</f>
        <v>2.733984515356145E-3</v>
      </c>
      <c r="I27" s="910">
        <f>BS!I35/I$28</f>
        <v>2.7341057961250514E-3</v>
      </c>
      <c r="J27" s="910">
        <f>BS!J35/J$28</f>
        <v>2.7681155898373511E-3</v>
      </c>
      <c r="K27" s="254"/>
      <c r="L27" s="913">
        <f>BS!L35/$L$28</f>
        <v>2.9111949334078416E-2</v>
      </c>
      <c r="M27" s="914">
        <f>BS!M35/$L$28</f>
        <v>3.0141100866163728E-2</v>
      </c>
      <c r="N27" s="914">
        <f>BS!N35/$L$28</f>
        <v>3.1123684455620748E-2</v>
      </c>
      <c r="O27" s="915">
        <f>BS!O35/$L$28</f>
        <v>2.3400391170718075E-2</v>
      </c>
      <c r="P27" s="913">
        <f>BS!P35/$L$28</f>
        <v>2.402440160193722E-2</v>
      </c>
      <c r="Q27" s="914">
        <f>BS!Q35/$L$28</f>
        <v>2.4646083636024958E-2</v>
      </c>
      <c r="R27" s="914">
        <f>BS!R35/$L$28</f>
        <v>0</v>
      </c>
      <c r="S27" s="915">
        <f>BS!S35/$L$28</f>
        <v>2.8972245506193529E-2</v>
      </c>
      <c r="T27" s="913">
        <f>BS!T35/$L$28</f>
        <v>2.8979230697587774E-2</v>
      </c>
      <c r="U27" s="914">
        <f>BS!U35/$L$28</f>
        <v>2.9682406631275023E-2</v>
      </c>
      <c r="V27" s="914">
        <f>BS!V35/$L$28</f>
        <v>2.5656607991058952E-2</v>
      </c>
      <c r="W27" s="915">
        <f>BS!W35/$L$28</f>
        <v>2.2429449566918128E-2</v>
      </c>
      <c r="X27" s="913">
        <f>BS!X35/$L$28</f>
        <v>2.6771910217006607E-2</v>
      </c>
      <c r="Y27" s="914">
        <f>BS!Y35/$L$28</f>
        <v>2.712349818385023E-2</v>
      </c>
      <c r="Z27" s="914">
        <f>BS!Z35/$L$28</f>
        <v>2.5263108875849861E-2</v>
      </c>
      <c r="AA27" s="915">
        <f>BS!AA35/$L$28</f>
        <v>2.1987054111949331E-2</v>
      </c>
      <c r="AB27" s="913">
        <f>BS!AB35/$L$28</f>
        <v>2.2876501816149756E-2</v>
      </c>
      <c r="AC27" s="914">
        <f>BS!AC35/$L$28</f>
        <v>2.2154698705411192E-2</v>
      </c>
      <c r="AD27" s="914">
        <f>BS!AD35/$L$28</f>
        <v>2.23619260501071E-2</v>
      </c>
      <c r="AE27" s="915">
        <f>BS!AE35/$L$28</f>
        <v>1.1546521374685663E-2</v>
      </c>
      <c r="AF27" s="913">
        <f>BS!AF35/$L$28</f>
        <v>1.1306696470149947E-2</v>
      </c>
      <c r="AG27" s="914">
        <f>BS!AG35/$L$28</f>
        <v>1.1397503958275121E-2</v>
      </c>
      <c r="AH27" s="916">
        <v>1.0999999999999999E-2</v>
      </c>
      <c r="AI27" s="915">
        <f t="shared" ref="AI27:AQ27" si="27">AH27</f>
        <v>1.0999999999999999E-2</v>
      </c>
      <c r="AJ27" s="913">
        <f t="shared" si="27"/>
        <v>1.0999999999999999E-2</v>
      </c>
      <c r="AK27" s="914">
        <f t="shared" si="27"/>
        <v>1.0999999999999999E-2</v>
      </c>
      <c r="AL27" s="914">
        <f t="shared" si="27"/>
        <v>1.0999999999999999E-2</v>
      </c>
      <c r="AM27" s="915">
        <f t="shared" si="27"/>
        <v>1.0999999999999999E-2</v>
      </c>
      <c r="AN27" s="913">
        <f t="shared" si="27"/>
        <v>1.0999999999999999E-2</v>
      </c>
      <c r="AO27" s="914">
        <f t="shared" si="27"/>
        <v>1.0999999999999999E-2</v>
      </c>
      <c r="AP27" s="914">
        <f t="shared" si="27"/>
        <v>1.0999999999999999E-2</v>
      </c>
      <c r="AQ27" s="915">
        <f t="shared" si="27"/>
        <v>1.0999999999999999E-2</v>
      </c>
      <c r="AR27" s="254"/>
      <c r="AS27" s="254"/>
      <c r="AT27" s="254"/>
    </row>
    <row r="28" spans="1:59" s="134" customFormat="1" ht="13.5" customHeight="1">
      <c r="A28" s="133"/>
      <c r="B28" s="255" t="s">
        <v>95</v>
      </c>
      <c r="C28" s="822">
        <f>IS!C7</f>
        <v>1726.8040000000001</v>
      </c>
      <c r="D28" s="822">
        <f>IS!D7</f>
        <v>1676.9060000000002</v>
      </c>
      <c r="E28" s="822">
        <f>IS!E7</f>
        <v>1654.413</v>
      </c>
      <c r="F28" s="822">
        <f>IS!F7</f>
        <v>1350.194</v>
      </c>
      <c r="G28" s="886">
        <f>IS!G7</f>
        <v>1328.5520000000001</v>
      </c>
      <c r="H28" s="822">
        <f>IS!H7</f>
        <v>1339.3940600000001</v>
      </c>
      <c r="I28" s="822">
        <f>IS!I7</f>
        <v>1361.3810933999998</v>
      </c>
      <c r="J28" s="822">
        <f>IS!J7</f>
        <v>1366.7956683749999</v>
      </c>
      <c r="K28" s="133"/>
      <c r="L28" s="830">
        <f>IS!L7</f>
        <v>429.48000000000008</v>
      </c>
      <c r="M28" s="831">
        <f>IS!M7</f>
        <v>424.84699999999998</v>
      </c>
      <c r="N28" s="831">
        <f>IS!N7</f>
        <v>429.82299999999998</v>
      </c>
      <c r="O28" s="832">
        <f>IS!O7</f>
        <v>442.654</v>
      </c>
      <c r="P28" s="830">
        <f>IS!P7</f>
        <v>412.56599999999997</v>
      </c>
      <c r="Q28" s="831">
        <f>IS!Q7</f>
        <v>417.04600000000005</v>
      </c>
      <c r="R28" s="831">
        <f>IS!R7</f>
        <v>428.59399999999994</v>
      </c>
      <c r="S28" s="832">
        <f>IS!S7</f>
        <v>418.7</v>
      </c>
      <c r="T28" s="830">
        <f>IS!T7</f>
        <v>405.36099999999999</v>
      </c>
      <c r="U28" s="831">
        <f>IS!U7</f>
        <v>407.185</v>
      </c>
      <c r="V28" s="831">
        <f>IS!V7</f>
        <v>428.33899999999994</v>
      </c>
      <c r="W28" s="832">
        <f>IS!W7</f>
        <v>413.52800000000002</v>
      </c>
      <c r="X28" s="830">
        <f>IS!X7</f>
        <v>323.44100000000003</v>
      </c>
      <c r="Y28" s="831">
        <f>IS!Y7</f>
        <v>329.55499999999995</v>
      </c>
      <c r="Z28" s="831">
        <f>IS!Z7</f>
        <v>343.32099999999997</v>
      </c>
      <c r="AA28" s="832">
        <f>IS!AA7</f>
        <v>353.87700000000001</v>
      </c>
      <c r="AB28" s="830">
        <f>IS!AB7</f>
        <v>329.44900000000001</v>
      </c>
      <c r="AC28" s="831">
        <f>IS!AC7</f>
        <v>332.59999999999997</v>
      </c>
      <c r="AD28" s="831">
        <f>IS!AD7</f>
        <v>340.13200000000001</v>
      </c>
      <c r="AE28" s="832">
        <f>IS!AE7</f>
        <v>326.37099999999998</v>
      </c>
      <c r="AF28" s="830">
        <f>IS!AF7</f>
        <v>326.34100000000001</v>
      </c>
      <c r="AG28" s="831">
        <f>IS!AG7</f>
        <v>333.22</v>
      </c>
      <c r="AH28" s="831">
        <f>IS!AH7</f>
        <v>346.93464</v>
      </c>
      <c r="AI28" s="832">
        <f>IS!AI7</f>
        <v>332.89841999999999</v>
      </c>
      <c r="AJ28" s="830">
        <f>IS!AJ7</f>
        <v>331.66706499999998</v>
      </c>
      <c r="AK28" s="831">
        <f>IS!AK7</f>
        <v>338.68909999999994</v>
      </c>
      <c r="AL28" s="831">
        <f>IS!AL7</f>
        <v>352.64675220000004</v>
      </c>
      <c r="AM28" s="832">
        <f>IS!AM7</f>
        <v>338.37817619999998</v>
      </c>
      <c r="AN28" s="830">
        <f>IS!AN7</f>
        <v>337.08163997499997</v>
      </c>
      <c r="AO28" s="831">
        <f>IS!AO7</f>
        <v>344.23929949999996</v>
      </c>
      <c r="AP28" s="831">
        <f>IS!AP7</f>
        <v>358.45470793499999</v>
      </c>
      <c r="AQ28" s="832">
        <f>IS!AQ7</f>
        <v>343.94985434099993</v>
      </c>
      <c r="AR28" s="133"/>
      <c r="AS28" s="133"/>
      <c r="AT28" s="133"/>
      <c r="AU28" s="133"/>
      <c r="AV28" s="133"/>
      <c r="AW28" s="133"/>
      <c r="AX28" s="133"/>
      <c r="AY28" s="133"/>
      <c r="AZ28" s="133"/>
      <c r="BA28" s="133"/>
      <c r="BB28" s="133"/>
      <c r="BC28" s="133"/>
      <c r="BD28" s="133"/>
      <c r="BE28" s="133"/>
      <c r="BF28" s="133"/>
      <c r="BG28" s="133"/>
    </row>
    <row r="29" spans="1:59" s="134" customFormat="1" ht="13.5" customHeight="1" thickBot="1">
      <c r="A29" s="133"/>
      <c r="B29" s="256" t="s">
        <v>80</v>
      </c>
      <c r="C29" s="823">
        <f>IS!C14</f>
        <v>516.66600000000005</v>
      </c>
      <c r="D29" s="823">
        <f>IS!D14</f>
        <v>509.84900000000005</v>
      </c>
      <c r="E29" s="823">
        <f>IS!E14</f>
        <v>509.81600000000003</v>
      </c>
      <c r="F29" s="823">
        <f>IS!F14</f>
        <v>421.78099999999995</v>
      </c>
      <c r="G29" s="887">
        <f>IS!G14</f>
        <v>445.05200000000002</v>
      </c>
      <c r="H29" s="823">
        <f>IS!H14</f>
        <v>457.10487000000001</v>
      </c>
      <c r="I29" s="823">
        <f>IS!I14</f>
        <v>457.83844958400005</v>
      </c>
      <c r="J29" s="823">
        <f>IS!J14</f>
        <v>455.90179681775004</v>
      </c>
      <c r="K29" s="133"/>
      <c r="L29" s="917">
        <f>IS!L14</f>
        <v>125.494</v>
      </c>
      <c r="M29" s="918">
        <f>IS!M14</f>
        <v>123.31</v>
      </c>
      <c r="N29" s="918">
        <f>IS!N14</f>
        <v>134.24100000000001</v>
      </c>
      <c r="O29" s="919">
        <f>IS!O14</f>
        <v>133.62100000000001</v>
      </c>
      <c r="P29" s="917">
        <f>IS!P14</f>
        <v>122.169</v>
      </c>
      <c r="Q29" s="918">
        <f>IS!Q14</f>
        <v>124.131</v>
      </c>
      <c r="R29" s="918">
        <f>IS!R14</f>
        <v>135.001</v>
      </c>
      <c r="S29" s="919">
        <f>IS!S14</f>
        <v>128.548</v>
      </c>
      <c r="T29" s="917">
        <f>IS!T14</f>
        <v>121.087</v>
      </c>
      <c r="U29" s="918">
        <f>IS!U14</f>
        <v>125.842</v>
      </c>
      <c r="V29" s="918">
        <f>IS!V14</f>
        <v>137.65700000000001</v>
      </c>
      <c r="W29" s="919">
        <f>IS!W14</f>
        <v>125.23</v>
      </c>
      <c r="X29" s="917">
        <f>IS!X14</f>
        <v>97.754000000000005</v>
      </c>
      <c r="Y29" s="918">
        <f>IS!Y14</f>
        <v>98.063999999999993</v>
      </c>
      <c r="Z29" s="918">
        <f>IS!Z14</f>
        <v>113.955</v>
      </c>
      <c r="AA29" s="919">
        <f>IS!AA14</f>
        <v>112.008</v>
      </c>
      <c r="AB29" s="917">
        <f>IS!AB14</f>
        <v>104.505</v>
      </c>
      <c r="AC29" s="918">
        <f>IS!AC14</f>
        <v>111.071</v>
      </c>
      <c r="AD29" s="918">
        <f>IS!AD14</f>
        <v>117.751</v>
      </c>
      <c r="AE29" s="919">
        <f>IS!AE14</f>
        <v>111.72499999999999</v>
      </c>
      <c r="AF29" s="917">
        <f>IS!AF14</f>
        <v>113.46299999999999</v>
      </c>
      <c r="AG29" s="918">
        <f>IS!AG14</f>
        <v>116.01</v>
      </c>
      <c r="AH29" s="918">
        <f>IS!AH14</f>
        <v>116.20303080000001</v>
      </c>
      <c r="AI29" s="919">
        <f>IS!AI14</f>
        <v>111.4288392</v>
      </c>
      <c r="AJ29" s="917">
        <f>IS!AJ14</f>
        <v>109.97016289999999</v>
      </c>
      <c r="AK29" s="918">
        <f>IS!AK14</f>
        <v>113.43176800000001</v>
      </c>
      <c r="AL29" s="918">
        <f>IS!AL14</f>
        <v>119.67389598000001</v>
      </c>
      <c r="AM29" s="919">
        <f>IS!AM14</f>
        <v>114.76262270399999</v>
      </c>
      <c r="AN29" s="917">
        <f>IS!AN14</f>
        <v>108.03351013374999</v>
      </c>
      <c r="AO29" s="918">
        <f>IS!AO14</f>
        <v>111.46061865499999</v>
      </c>
      <c r="AP29" s="918">
        <f>IS!AP14</f>
        <v>117.63051265887</v>
      </c>
      <c r="AQ29" s="919">
        <f>IS!AQ14</f>
        <v>112.80152080712998</v>
      </c>
      <c r="AR29" s="133"/>
      <c r="AS29" s="133"/>
      <c r="AT29" s="133"/>
      <c r="AU29" s="133"/>
      <c r="AV29" s="133"/>
      <c r="AW29" s="133"/>
      <c r="AX29" s="133"/>
      <c r="AY29" s="133"/>
      <c r="AZ29" s="133"/>
      <c r="BA29" s="133"/>
      <c r="BB29" s="133"/>
      <c r="BC29" s="133"/>
      <c r="BD29" s="133"/>
      <c r="BE29" s="133"/>
      <c r="BF29" s="133"/>
      <c r="BG29" s="133"/>
    </row>
    <row r="30" spans="1:59" ht="13.5" customHeight="1"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59" ht="13.5" customHeight="1"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59" s="4" customFormat="1" ht="13.5" customHeight="1">
      <c r="A32" s="78"/>
      <c r="B32" s="78"/>
      <c r="C32" s="78"/>
      <c r="D32" s="78"/>
      <c r="E32" s="78"/>
      <c r="F32" s="78"/>
      <c r="G32" s="78"/>
      <c r="H32" s="78"/>
      <c r="I32" s="78"/>
      <c r="J32" s="78"/>
      <c r="K32" s="78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</row>
    <row r="33" spans="1:59" s="4" customFormat="1" ht="13.5" customHeight="1">
      <c r="A33" s="78"/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</row>
    <row r="34" spans="1:59" s="4" customFormat="1" ht="13.5" customHeight="1">
      <c r="A34" s="78"/>
      <c r="B34" s="78"/>
      <c r="C34" s="78"/>
      <c r="D34" s="78"/>
      <c r="E34" s="78"/>
      <c r="F34" s="78"/>
      <c r="G34" s="78"/>
      <c r="H34" s="78"/>
      <c r="I34" s="78"/>
      <c r="J34" s="78"/>
      <c r="K34" s="78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</row>
    <row r="35" spans="1:59" s="4" customFormat="1" ht="13.5" customHeight="1">
      <c r="A35" s="78"/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</row>
    <row r="36" spans="1:59" s="4" customFormat="1" ht="13.5" customHeight="1">
      <c r="A36" s="78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</row>
    <row r="37" spans="1:59" s="4" customFormat="1" ht="13.5" customHeight="1">
      <c r="A37" s="78"/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</row>
    <row r="38" spans="1:59" s="4" customFormat="1" ht="13.5" customHeight="1">
      <c r="A38" s="78"/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</row>
    <row r="39" spans="1:59" s="4" customFormat="1" ht="13.5" customHeight="1">
      <c r="A39" s="78"/>
      <c r="B39" s="78"/>
      <c r="C39" s="78"/>
      <c r="D39" s="78"/>
      <c r="E39" s="78"/>
      <c r="F39" s="78"/>
      <c r="G39" s="78"/>
      <c r="H39" s="78"/>
      <c r="I39" s="78"/>
      <c r="J39" s="78"/>
      <c r="K39" s="78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</row>
    <row r="40" spans="1:59" s="4" customFormat="1" ht="13.5" customHeight="1">
      <c r="A40" s="78"/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</row>
    <row r="41" spans="1:59" s="4" customFormat="1" ht="13.5" customHeight="1">
      <c r="A41" s="78"/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</row>
    <row r="42" spans="1:59" s="4" customFormat="1" ht="13.5" customHeight="1">
      <c r="A42" s="78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</row>
    <row r="43" spans="1:59" s="4" customFormat="1" ht="13.5" customHeight="1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</row>
    <row r="44" spans="1:59" s="4" customFormat="1" ht="13.5" customHeight="1">
      <c r="A44" s="78"/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</row>
    <row r="45" spans="1:59" s="4" customFormat="1" ht="13.5" customHeight="1">
      <c r="A45" s="78"/>
      <c r="B45" s="78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</row>
    <row r="46" spans="1:59" s="4" customFormat="1" ht="13.5" customHeight="1">
      <c r="A46" s="78"/>
      <c r="B46" s="7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</row>
    <row r="47" spans="1:59" s="4" customFormat="1" ht="13.5" customHeight="1">
      <c r="A47" s="78"/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</row>
    <row r="48" spans="1:59" s="4" customFormat="1" ht="13.5" customHeight="1">
      <c r="A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</row>
    <row r="49" spans="1:59" s="4" customFormat="1" ht="13.5" customHeight="1">
      <c r="A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</row>
    <row r="50" spans="1:59" s="4" customFormat="1" ht="13.5" customHeight="1">
      <c r="A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</row>
    <row r="51" spans="1:59" s="4" customFormat="1" ht="13.5" customHeight="1">
      <c r="A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</row>
    <row r="52" spans="1:59" s="4" customFormat="1" ht="13.5" customHeight="1">
      <c r="A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</row>
    <row r="53" spans="1:59" s="4" customFormat="1" ht="13.5" customHeight="1">
      <c r="A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</row>
    <row r="54" spans="1:59" s="4" customFormat="1" ht="13.5" customHeight="1">
      <c r="A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</row>
    <row r="55" spans="1:59" s="4" customFormat="1" ht="13.5" customHeight="1">
      <c r="A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</row>
    <row r="56" spans="1:59" s="4" customFormat="1" ht="13.5" customHeight="1">
      <c r="A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</row>
    <row r="57" spans="1:59" s="4" customFormat="1" ht="13.5" customHeight="1">
      <c r="A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</row>
    <row r="58" spans="1:59" ht="13.5" customHeight="1">
      <c r="K58" s="3"/>
    </row>
    <row r="59" spans="1:59" ht="13.5" customHeight="1"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</row>
    <row r="60" spans="1:59" ht="13.5" customHeight="1"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</row>
  </sheetData>
  <pageMargins left="0.7" right="0.7" top="0.75" bottom="0.75" header="0.3" footer="0.3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1">
    <pageSetUpPr fitToPage="1"/>
  </sheetPr>
  <dimension ref="B1:BH30"/>
  <sheetViews>
    <sheetView showGridLines="0" view="pageBreakPreview" zoomScaleNormal="100" zoomScaleSheetLayoutView="100" workbookViewId="0"/>
  </sheetViews>
  <sheetFormatPr defaultRowHeight="13.5" customHeight="1"/>
  <cols>
    <col min="1" max="1" width="5.83203125" style="3" customWidth="1"/>
    <col min="2" max="2" width="47" style="3" customWidth="1"/>
    <col min="3" max="5" width="11" style="3" customWidth="1"/>
    <col min="6" max="6" width="9.83203125" style="2" customWidth="1"/>
    <col min="7" max="12" width="9.83203125" style="3" customWidth="1"/>
    <col min="13" max="18" width="9.83203125" style="10" customWidth="1"/>
    <col min="19" max="60" width="9.33203125" style="10"/>
    <col min="61" max="16384" width="9.33203125" style="3"/>
  </cols>
  <sheetData>
    <row r="1" spans="2:18" ht="13.5" customHeight="1">
      <c r="G1" s="33">
        <v>41851</v>
      </c>
      <c r="H1" s="33">
        <v>41943</v>
      </c>
      <c r="I1" s="33">
        <v>42035</v>
      </c>
      <c r="J1" s="33">
        <v>42124</v>
      </c>
      <c r="K1" s="33">
        <v>42216</v>
      </c>
      <c r="L1" s="33">
        <v>42308</v>
      </c>
      <c r="M1" s="33">
        <v>42400</v>
      </c>
      <c r="N1" s="33">
        <v>42490</v>
      </c>
      <c r="O1" s="33">
        <v>42582</v>
      </c>
      <c r="P1" s="33">
        <v>42674</v>
      </c>
      <c r="Q1" s="33">
        <v>42766</v>
      </c>
      <c r="R1" s="33">
        <v>42855</v>
      </c>
    </row>
    <row r="2" spans="2:18" ht="13.5" customHeight="1">
      <c r="B2" s="888" t="s">
        <v>45</v>
      </c>
      <c r="F2" s="3"/>
    </row>
    <row r="3" spans="2:18" ht="13.5" customHeight="1">
      <c r="B3" s="3" t="s">
        <v>113</v>
      </c>
      <c r="F3" s="3"/>
    </row>
    <row r="4" spans="2:18" ht="13.5" customHeight="1">
      <c r="B4" s="3" t="s">
        <v>8</v>
      </c>
      <c r="F4" s="3"/>
    </row>
    <row r="5" spans="2:18" s="10" customFormat="1" ht="13.5" customHeight="1">
      <c r="C5" s="6" t="s">
        <v>12</v>
      </c>
      <c r="D5" s="5"/>
      <c r="E5" s="5"/>
      <c r="F5" s="920"/>
      <c r="G5" s="32">
        <v>2015</v>
      </c>
      <c r="H5" s="30"/>
      <c r="I5" s="30"/>
      <c r="J5" s="31"/>
      <c r="K5" s="32">
        <v>2016</v>
      </c>
      <c r="L5" s="30"/>
      <c r="M5" s="30"/>
      <c r="N5" s="31"/>
      <c r="O5" s="32">
        <v>2017</v>
      </c>
      <c r="P5" s="30"/>
      <c r="Q5" s="30"/>
      <c r="R5" s="31"/>
    </row>
    <row r="6" spans="2:18" s="10" customFormat="1" ht="13.5" customHeight="1">
      <c r="B6" s="91"/>
      <c r="C6" s="15">
        <v>2015</v>
      </c>
      <c r="D6" s="15">
        <f>C6+1</f>
        <v>2016</v>
      </c>
      <c r="E6" s="15">
        <f t="shared" ref="E6" si="0">D6+1</f>
        <v>2017</v>
      </c>
      <c r="G6" s="44">
        <v>1</v>
      </c>
      <c r="H6" s="44">
        <v>2</v>
      </c>
      <c r="I6" s="44">
        <v>3</v>
      </c>
      <c r="J6" s="44">
        <v>4</v>
      </c>
      <c r="K6" s="44">
        <v>1</v>
      </c>
      <c r="L6" s="44">
        <v>2</v>
      </c>
      <c r="M6" s="44">
        <v>3</v>
      </c>
      <c r="N6" s="44">
        <v>4</v>
      </c>
      <c r="O6" s="44">
        <v>1</v>
      </c>
      <c r="P6" s="44">
        <v>2</v>
      </c>
      <c r="Q6" s="44">
        <v>3</v>
      </c>
      <c r="R6" s="44">
        <v>4</v>
      </c>
    </row>
    <row r="7" spans="2:18" s="97" customFormat="1" ht="13.5" customHeight="1">
      <c r="B7" s="921" t="s">
        <v>145</v>
      </c>
      <c r="C7" s="265">
        <f>BS!G37</f>
        <v>385.58800000000002</v>
      </c>
      <c r="D7" s="265">
        <f ca="1">BS!H37</f>
        <v>377.3573657491408</v>
      </c>
      <c r="E7" s="265">
        <f ca="1">BS!I37</f>
        <v>369.2048738430334</v>
      </c>
      <c r="G7" s="393">
        <f>BS!AE37</f>
        <v>385.58800000000002</v>
      </c>
      <c r="H7" s="394">
        <f>G11</f>
        <v>373</v>
      </c>
      <c r="I7" s="394">
        <f t="shared" ref="I7:R7" si="1">H11</f>
        <v>374</v>
      </c>
      <c r="J7" s="395">
        <f t="shared" ca="1" si="1"/>
        <v>376.00173246224296</v>
      </c>
      <c r="K7" s="394">
        <f t="shared" ca="1" si="1"/>
        <v>377.3573657491408</v>
      </c>
      <c r="L7" s="394">
        <f t="shared" ca="1" si="1"/>
        <v>374.83406980321922</v>
      </c>
      <c r="M7" s="394">
        <f t="shared" ca="1" si="1"/>
        <v>372.6814174157509</v>
      </c>
      <c r="N7" s="395">
        <f t="shared" ca="1" si="1"/>
        <v>371.20388175807102</v>
      </c>
      <c r="O7" s="394">
        <f t="shared" ca="1" si="1"/>
        <v>369.2048738430334</v>
      </c>
      <c r="P7" s="394">
        <f t="shared" ca="1" si="1"/>
        <v>369.92017993788102</v>
      </c>
      <c r="Q7" s="394">
        <f t="shared" ca="1" si="1"/>
        <v>371.1342905626351</v>
      </c>
      <c r="R7" s="395">
        <f t="shared" ca="1" si="1"/>
        <v>373.24796252347312</v>
      </c>
    </row>
    <row r="8" spans="2:18" s="136" customFormat="1" ht="13.5" customHeight="1">
      <c r="B8" s="922" t="s">
        <v>0</v>
      </c>
      <c r="C8" s="104">
        <f ca="1">IS!H29</f>
        <v>33.020012223818085</v>
      </c>
      <c r="D8" s="104">
        <f ca="1">IS!I29</f>
        <v>43.471762314349391</v>
      </c>
      <c r="E8" s="104">
        <f ca="1">IS!J29</f>
        <v>47.265455715595316</v>
      </c>
      <c r="G8" s="372">
        <f>IS!AF29</f>
        <v>-1.0159999999999787</v>
      </c>
      <c r="H8" s="266">
        <f>IS!AG29</f>
        <v>6.0770000000000266</v>
      </c>
      <c r="I8" s="266">
        <f ca="1">IS!AH29</f>
        <v>14.317947953802037</v>
      </c>
      <c r="J8" s="381">
        <f ca="1">IS!AI29</f>
        <v>13.641064270015997</v>
      </c>
      <c r="K8" s="266">
        <f ca="1">IS!AJ29</f>
        <v>10.433413090821197</v>
      </c>
      <c r="L8" s="266">
        <f ca="1">IS!AK29</f>
        <v>10.770292994855421</v>
      </c>
      <c r="M8" s="266">
        <f ca="1">IS!AL29</f>
        <v>11.411646070224766</v>
      </c>
      <c r="N8" s="381">
        <f ca="1">IS!AM29</f>
        <v>10.856410158448021</v>
      </c>
      <c r="O8" s="266">
        <f ca="1">IS!AN29</f>
        <v>14.227106492067104</v>
      </c>
      <c r="P8" s="266">
        <f ca="1">IS!AO29</f>
        <v>14.689168221576324</v>
      </c>
      <c r="Q8" s="266">
        <f ca="1">IS!AP29</f>
        <v>15.551986757262997</v>
      </c>
      <c r="R8" s="381">
        <f ca="1">IS!AQ29</f>
        <v>14.834615839840513</v>
      </c>
    </row>
    <row r="9" spans="2:18" s="136" customFormat="1" ht="13.5" customHeight="1">
      <c r="B9" s="922" t="s">
        <v>146</v>
      </c>
      <c r="C9" s="104">
        <f>SUM(G9:J9)</f>
        <v>-10</v>
      </c>
      <c r="D9" s="104">
        <f>SUM(K9:N9)</f>
        <v>-20</v>
      </c>
      <c r="E9" s="104">
        <f>SUM(O9:R9)</f>
        <v>-20</v>
      </c>
      <c r="G9" s="373">
        <v>0</v>
      </c>
      <c r="H9" s="104">
        <v>0</v>
      </c>
      <c r="I9" s="158">
        <v>-5</v>
      </c>
      <c r="J9" s="382">
        <f t="shared" ref="J9:R9" si="2">I9</f>
        <v>-5</v>
      </c>
      <c r="K9" s="158">
        <f t="shared" si="2"/>
        <v>-5</v>
      </c>
      <c r="L9" s="158">
        <f t="shared" si="2"/>
        <v>-5</v>
      </c>
      <c r="M9" s="158">
        <f t="shared" si="2"/>
        <v>-5</v>
      </c>
      <c r="N9" s="382">
        <f t="shared" si="2"/>
        <v>-5</v>
      </c>
      <c r="O9" s="158">
        <f t="shared" si="2"/>
        <v>-5</v>
      </c>
      <c r="P9" s="158">
        <f t="shared" si="2"/>
        <v>-5</v>
      </c>
      <c r="Q9" s="158">
        <f t="shared" si="2"/>
        <v>-5</v>
      </c>
      <c r="R9" s="158">
        <f t="shared" si="2"/>
        <v>-5</v>
      </c>
    </row>
    <row r="10" spans="2:18" s="136" customFormat="1" ht="13.5" customHeight="1">
      <c r="B10" s="922" t="s">
        <v>108</v>
      </c>
      <c r="C10" s="151">
        <f>SUM(G10:J10)</f>
        <v>-29.261236474677254</v>
      </c>
      <c r="D10" s="151">
        <f>SUM(K10:N10)</f>
        <v>-31.624254220456798</v>
      </c>
      <c r="E10" s="151">
        <f>SUM(O10:R10)</f>
        <v>-33.826744786494515</v>
      </c>
      <c r="G10" s="374">
        <f>G16</f>
        <v>-7.3125899999999993</v>
      </c>
      <c r="H10" s="151">
        <f t="shared" ref="H10:R10" si="3">H16</f>
        <v>-7.3469999999999995</v>
      </c>
      <c r="I10" s="151">
        <f t="shared" si="3"/>
        <v>-7.3162154915590856</v>
      </c>
      <c r="J10" s="383">
        <f t="shared" si="3"/>
        <v>-7.2854309831181716</v>
      </c>
      <c r="K10" s="151">
        <f t="shared" si="3"/>
        <v>-7.9567090367427999</v>
      </c>
      <c r="L10" s="151">
        <f t="shared" si="3"/>
        <v>-7.922945382323733</v>
      </c>
      <c r="M10" s="151">
        <f t="shared" si="3"/>
        <v>-7.8891817279046661</v>
      </c>
      <c r="N10" s="383">
        <f t="shared" si="3"/>
        <v>-7.8554180734855992</v>
      </c>
      <c r="O10" s="151">
        <f t="shared" si="3"/>
        <v>-8.51180039721946</v>
      </c>
      <c r="P10" s="151">
        <f t="shared" si="3"/>
        <v>-8.475057596822241</v>
      </c>
      <c r="Q10" s="151">
        <f t="shared" si="3"/>
        <v>-8.4383147964250202</v>
      </c>
      <c r="R10" s="383">
        <f t="shared" si="3"/>
        <v>-8.4015719960278012</v>
      </c>
    </row>
    <row r="11" spans="2:18" s="264" customFormat="1" ht="13.5" customHeight="1">
      <c r="B11" s="923" t="s">
        <v>147</v>
      </c>
      <c r="C11" s="263">
        <f ca="1">SUM(C7:C10)</f>
        <v>379.34677574914082</v>
      </c>
      <c r="D11" s="263">
        <f ca="1">SUM(D7:D10)</f>
        <v>369.2048738430334</v>
      </c>
      <c r="E11" s="263">
        <f ca="1">SUM(E7:E10)</f>
        <v>362.6435847721342</v>
      </c>
      <c r="G11" s="396">
        <v>373</v>
      </c>
      <c r="H11" s="397">
        <v>374</v>
      </c>
      <c r="I11" s="397">
        <f t="shared" ref="I11:R11" ca="1" si="4">SUM(I7:I10)</f>
        <v>376.00173246224296</v>
      </c>
      <c r="J11" s="398">
        <f t="shared" ca="1" si="4"/>
        <v>377.3573657491408</v>
      </c>
      <c r="K11" s="397">
        <f t="shared" ca="1" si="4"/>
        <v>374.83406980321922</v>
      </c>
      <c r="L11" s="397">
        <f t="shared" ca="1" si="4"/>
        <v>372.6814174157509</v>
      </c>
      <c r="M11" s="397">
        <f t="shared" ca="1" si="4"/>
        <v>371.20388175807102</v>
      </c>
      <c r="N11" s="398">
        <f t="shared" ca="1" si="4"/>
        <v>369.2048738430334</v>
      </c>
      <c r="O11" s="397">
        <f t="shared" ca="1" si="4"/>
        <v>369.92017993788102</v>
      </c>
      <c r="P11" s="397">
        <f t="shared" ca="1" si="4"/>
        <v>371.1342905626351</v>
      </c>
      <c r="Q11" s="397">
        <f t="shared" ca="1" si="4"/>
        <v>373.24796252347312</v>
      </c>
      <c r="R11" s="398">
        <f t="shared" ca="1" si="4"/>
        <v>374.68100636728582</v>
      </c>
    </row>
    <row r="12" spans="2:18" s="10" customFormat="1" ht="13.5" customHeight="1">
      <c r="B12" s="924"/>
      <c r="C12" s="19"/>
      <c r="D12" s="19"/>
      <c r="E12" s="19"/>
      <c r="G12" s="739"/>
      <c r="H12" s="740"/>
      <c r="I12" s="740"/>
      <c r="J12" s="741"/>
      <c r="K12" s="9"/>
      <c r="L12" s="9"/>
      <c r="M12" s="9"/>
      <c r="N12" s="384"/>
      <c r="O12" s="9"/>
      <c r="P12" s="9"/>
      <c r="Q12" s="9"/>
      <c r="R12" s="384"/>
    </row>
    <row r="13" spans="2:18" s="10" customFormat="1" ht="13.5" customHeight="1">
      <c r="B13" s="925" t="s">
        <v>148</v>
      </c>
      <c r="C13" s="78"/>
      <c r="D13" s="78"/>
      <c r="E13" s="78"/>
      <c r="G13" s="376"/>
      <c r="H13" s="78"/>
      <c r="I13" s="78"/>
      <c r="J13" s="385"/>
      <c r="K13" s="78"/>
      <c r="L13" s="78"/>
      <c r="M13" s="78"/>
      <c r="N13" s="385"/>
      <c r="O13" s="78"/>
      <c r="P13" s="78"/>
      <c r="Q13" s="78"/>
      <c r="R13" s="385"/>
    </row>
    <row r="14" spans="2:18" s="58" customFormat="1" ht="13.5" customHeight="1">
      <c r="B14" s="926" t="s">
        <v>109</v>
      </c>
      <c r="C14" s="85">
        <f>AVERAGE(G14:J14)</f>
        <v>23.597771350546175</v>
      </c>
      <c r="D14" s="85">
        <f>AVERAGE(K14:N14)</f>
        <v>23.253128103277053</v>
      </c>
      <c r="E14" s="85">
        <f>AVERAGE(O14:R14)</f>
        <v>22.855908639523324</v>
      </c>
      <c r="G14" s="377">
        <f>IS!AF31</f>
        <v>23.588999999999999</v>
      </c>
      <c r="H14" s="73">
        <f>IS!AG31</f>
        <v>23.7</v>
      </c>
      <c r="I14" s="73">
        <f>IS!AH31</f>
        <v>23.600695134061567</v>
      </c>
      <c r="J14" s="386">
        <f>IS!AI31</f>
        <v>23.501390268123135</v>
      </c>
      <c r="K14" s="73">
        <f>IS!AJ31</f>
        <v>23.402085402184703</v>
      </c>
      <c r="L14" s="73">
        <f>IS!AK31</f>
        <v>23.302780536246271</v>
      </c>
      <c r="M14" s="73">
        <f>IS!AL31</f>
        <v>23.203475670307839</v>
      </c>
      <c r="N14" s="386">
        <f>IS!AM31</f>
        <v>23.104170804369407</v>
      </c>
      <c r="O14" s="73">
        <f>IS!AN31</f>
        <v>23.004865938430974</v>
      </c>
      <c r="P14" s="73">
        <f>IS!AO31</f>
        <v>22.905561072492542</v>
      </c>
      <c r="Q14" s="73">
        <f>IS!AP31</f>
        <v>22.80625620655411</v>
      </c>
      <c r="R14" s="386">
        <f>IS!AQ31</f>
        <v>22.706951340615678</v>
      </c>
    </row>
    <row r="15" spans="2:18" s="10" customFormat="1" ht="13.5" customHeight="1">
      <c r="B15" s="927" t="s">
        <v>110</v>
      </c>
      <c r="C15" s="79">
        <f>SUM(G15:J15)</f>
        <v>1.24</v>
      </c>
      <c r="D15" s="79">
        <f>SUM(K15:N15)</f>
        <v>1.36</v>
      </c>
      <c r="E15" s="79">
        <f>SUM(O15:R15)</f>
        <v>1.48</v>
      </c>
      <c r="G15" s="378">
        <v>0.31</v>
      </c>
      <c r="H15" s="41">
        <f>G15</f>
        <v>0.31</v>
      </c>
      <c r="I15" s="54">
        <v>0.31</v>
      </c>
      <c r="J15" s="387">
        <f>I15</f>
        <v>0.31</v>
      </c>
      <c r="K15" s="54">
        <v>0.34</v>
      </c>
      <c r="L15" s="41">
        <f t="shared" ref="L15:R15" si="5">K15</f>
        <v>0.34</v>
      </c>
      <c r="M15" s="41">
        <f t="shared" si="5"/>
        <v>0.34</v>
      </c>
      <c r="N15" s="387">
        <f t="shared" si="5"/>
        <v>0.34</v>
      </c>
      <c r="O15" s="54">
        <v>0.37</v>
      </c>
      <c r="P15" s="41">
        <f t="shared" si="5"/>
        <v>0.37</v>
      </c>
      <c r="Q15" s="41">
        <f t="shared" si="5"/>
        <v>0.37</v>
      </c>
      <c r="R15" s="387">
        <f t="shared" si="5"/>
        <v>0.37</v>
      </c>
    </row>
    <row r="16" spans="2:18" s="10" customFormat="1" ht="13.5" customHeight="1">
      <c r="B16" s="928" t="s">
        <v>111</v>
      </c>
      <c r="C16" s="104">
        <f>SUM(G16:J16)</f>
        <v>-29.261236474677254</v>
      </c>
      <c r="D16" s="104">
        <f>SUM(K16:N16)</f>
        <v>-31.624254220456798</v>
      </c>
      <c r="E16" s="104">
        <f>SUM(O16:R16)</f>
        <v>-33.826744786494515</v>
      </c>
      <c r="G16" s="379">
        <f>-G15*G14</f>
        <v>-7.3125899999999993</v>
      </c>
      <c r="H16" s="87">
        <f t="shared" ref="H16:R16" si="6">-H15*H14</f>
        <v>-7.3469999999999995</v>
      </c>
      <c r="I16" s="87">
        <f t="shared" si="6"/>
        <v>-7.3162154915590856</v>
      </c>
      <c r="J16" s="388">
        <f t="shared" si="6"/>
        <v>-7.2854309831181716</v>
      </c>
      <c r="K16" s="87">
        <f t="shared" si="6"/>
        <v>-7.9567090367427999</v>
      </c>
      <c r="L16" s="87">
        <f t="shared" si="6"/>
        <v>-7.922945382323733</v>
      </c>
      <c r="M16" s="87">
        <f t="shared" si="6"/>
        <v>-7.8891817279046661</v>
      </c>
      <c r="N16" s="388">
        <f t="shared" si="6"/>
        <v>-7.8554180734855992</v>
      </c>
      <c r="O16" s="87">
        <f t="shared" si="6"/>
        <v>-8.51180039721946</v>
      </c>
      <c r="P16" s="87">
        <f t="shared" si="6"/>
        <v>-8.475057596822241</v>
      </c>
      <c r="Q16" s="87">
        <f t="shared" si="6"/>
        <v>-8.4383147964250202</v>
      </c>
      <c r="R16" s="388">
        <f t="shared" si="6"/>
        <v>-8.4015719960278012</v>
      </c>
    </row>
    <row r="17" spans="2:18" s="57" customFormat="1" ht="13.5" customHeight="1">
      <c r="B17" s="929" t="s">
        <v>0</v>
      </c>
      <c r="C17" s="83">
        <f ca="1">SUM(G17:J17)</f>
        <v>33.020012223818078</v>
      </c>
      <c r="D17" s="83">
        <f ca="1">SUM(K17:N17)</f>
        <v>43.471762314349405</v>
      </c>
      <c r="E17" s="83">
        <f ca="1">SUM(O17:R17)</f>
        <v>59.302877310746936</v>
      </c>
      <c r="G17" s="738">
        <f>IS!AF29</f>
        <v>-1.0159999999999787</v>
      </c>
      <c r="H17" s="83">
        <f>IS!AG29</f>
        <v>6.0770000000000266</v>
      </c>
      <c r="I17" s="83">
        <f ca="1">IS!AH29</f>
        <v>14.317947953802037</v>
      </c>
      <c r="J17" s="389">
        <f ca="1">IS!AI29</f>
        <v>13.641064270015997</v>
      </c>
      <c r="K17" s="83">
        <f ca="1">IS!AJ29</f>
        <v>10.433413090821197</v>
      </c>
      <c r="L17" s="83">
        <f ca="1">IS!AK29</f>
        <v>10.770292994855421</v>
      </c>
      <c r="M17" s="83">
        <f ca="1">IS!AL29</f>
        <v>11.411646070224766</v>
      </c>
      <c r="N17" s="389">
        <f ca="1">IS!AM29</f>
        <v>10.856410158448021</v>
      </c>
      <c r="O17" s="83">
        <f ca="1">IS!AN29</f>
        <v>14.227106492067104</v>
      </c>
      <c r="P17" s="83">
        <f ca="1">IS!AO29</f>
        <v>14.689168221576324</v>
      </c>
      <c r="Q17" s="83">
        <f ca="1">IS!AP29</f>
        <v>15.551986757262997</v>
      </c>
      <c r="R17" s="389">
        <f ca="1">IS!AQ29</f>
        <v>14.834615839840513</v>
      </c>
    </row>
    <row r="18" spans="2:18" s="37" customFormat="1" ht="13.5" customHeight="1">
      <c r="B18" s="930" t="s">
        <v>112</v>
      </c>
      <c r="C18" s="103">
        <f ca="1">-C16/C17</f>
        <v>0.88616673659407263</v>
      </c>
      <c r="D18" s="103">
        <f ca="1">-D16/D17</f>
        <v>0.72746657915034851</v>
      </c>
      <c r="E18" s="103">
        <f ca="1">-E16/E17</f>
        <v>0.57040646795673089</v>
      </c>
      <c r="F18" s="102"/>
      <c r="G18" s="380">
        <f>-G16/G17</f>
        <v>-7.1974311023623549</v>
      </c>
      <c r="H18" s="103">
        <f t="shared" ref="H18:R18" si="7">-H16/H17</f>
        <v>1.2089846963962427</v>
      </c>
      <c r="I18" s="103">
        <f t="shared" ca="1" si="7"/>
        <v>0.510982126430786</v>
      </c>
      <c r="J18" s="390">
        <f t="shared" ca="1" si="7"/>
        <v>0.53408083408360252</v>
      </c>
      <c r="K18" s="103">
        <f t="shared" ca="1" si="7"/>
        <v>0.76261803951218232</v>
      </c>
      <c r="L18" s="103">
        <f t="shared" ca="1" si="7"/>
        <v>0.73562951222480555</v>
      </c>
      <c r="M18" s="103">
        <f t="shared" ca="1" si="7"/>
        <v>0.69132723529597506</v>
      </c>
      <c r="N18" s="390">
        <f t="shared" ca="1" si="7"/>
        <v>0.72357417957102788</v>
      </c>
      <c r="O18" s="103">
        <f t="shared" ca="1" si="7"/>
        <v>0.59828050081480422</v>
      </c>
      <c r="P18" s="103">
        <f t="shared" ca="1" si="7"/>
        <v>0.5769596664005503</v>
      </c>
      <c r="Q18" s="103">
        <f t="shared" ca="1" si="7"/>
        <v>0.54258757598827101</v>
      </c>
      <c r="R18" s="390">
        <f t="shared" ca="1" si="7"/>
        <v>0.56634914491443455</v>
      </c>
    </row>
    <row r="19" spans="2:18" s="37" customFormat="1" ht="13.5" customHeight="1">
      <c r="B19" s="930" t="s">
        <v>337</v>
      </c>
      <c r="C19" s="103">
        <f>C15/1.1-1</f>
        <v>0.1272727272727272</v>
      </c>
      <c r="D19" s="103">
        <f>D15/C15-1</f>
        <v>9.6774193548387233E-2</v>
      </c>
      <c r="E19" s="103">
        <f>E15/D15-1</f>
        <v>8.8235294117646967E-2</v>
      </c>
      <c r="F19" s="102"/>
      <c r="G19" s="399">
        <v>0.12</v>
      </c>
      <c r="H19" s="391">
        <v>0.12</v>
      </c>
      <c r="I19" s="391">
        <v>0.12</v>
      </c>
      <c r="J19" s="392">
        <v>0.12</v>
      </c>
      <c r="K19" s="391">
        <f>K15/G15-1</f>
        <v>9.6774193548387233E-2</v>
      </c>
      <c r="L19" s="391">
        <f t="shared" ref="L19:R19" si="8">L15/H15-1</f>
        <v>9.6774193548387233E-2</v>
      </c>
      <c r="M19" s="391">
        <f t="shared" si="8"/>
        <v>9.6774193548387233E-2</v>
      </c>
      <c r="N19" s="392">
        <f t="shared" si="8"/>
        <v>9.6774193548387233E-2</v>
      </c>
      <c r="O19" s="391">
        <f t="shared" si="8"/>
        <v>8.8235294117646967E-2</v>
      </c>
      <c r="P19" s="391">
        <f t="shared" si="8"/>
        <v>8.8235294117646967E-2</v>
      </c>
      <c r="Q19" s="391">
        <f t="shared" si="8"/>
        <v>8.8235294117646967E-2</v>
      </c>
      <c r="R19" s="392">
        <f t="shared" si="8"/>
        <v>8.8235294117646967E-2</v>
      </c>
    </row>
    <row r="20" spans="2:18" s="10" customFormat="1" ht="13.5" customHeight="1"/>
    <row r="21" spans="2:18" s="10" customFormat="1" ht="13.5" customHeight="1"/>
    <row r="22" spans="2:18" s="10" customFormat="1" ht="13.5" customHeight="1"/>
    <row r="23" spans="2:18" s="10" customFormat="1" ht="13.5" customHeight="1"/>
    <row r="24" spans="2:18" s="10" customFormat="1" ht="13.5" customHeight="1"/>
    <row r="25" spans="2:18" s="10" customFormat="1" ht="13.5" customHeight="1"/>
    <row r="26" spans="2:18" s="10" customFormat="1" ht="13.5" customHeight="1"/>
    <row r="27" spans="2:18" ht="13.5" customHeight="1">
      <c r="F27" s="3"/>
    </row>
    <row r="28" spans="2:18" ht="13.5" customHeight="1">
      <c r="F28" s="3"/>
    </row>
    <row r="29" spans="2:18" ht="13.5" customHeight="1">
      <c r="F29" s="3"/>
    </row>
    <row r="30" spans="2:18" ht="13.5" customHeight="1">
      <c r="F30" s="3"/>
    </row>
  </sheetData>
  <pageMargins left="0.7" right="0.7" top="0.75" bottom="0.75" header="0.3" footer="0.3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9">
    <pageSetUpPr fitToPage="1"/>
  </sheetPr>
  <dimension ref="B1:BH33"/>
  <sheetViews>
    <sheetView showGridLines="0" view="pageBreakPreview" zoomScaleNormal="100" zoomScaleSheetLayoutView="100" workbookViewId="0"/>
  </sheetViews>
  <sheetFormatPr defaultRowHeight="13.5" customHeight="1"/>
  <cols>
    <col min="1" max="1" width="5.83203125" style="3" customWidth="1"/>
    <col min="2" max="2" width="47" style="3" customWidth="1"/>
    <col min="3" max="5" width="11" style="3" customWidth="1"/>
    <col min="6" max="6" width="9.83203125" customWidth="1"/>
    <col min="7" max="12" width="9.83203125" style="3" customWidth="1"/>
    <col min="13" max="18" width="9.83203125" style="10" customWidth="1"/>
    <col min="19" max="60" width="9.33203125" style="10"/>
    <col min="61" max="16384" width="9.33203125" style="3"/>
  </cols>
  <sheetData>
    <row r="1" spans="2:19" ht="13.5" customHeight="1">
      <c r="G1" s="33">
        <v>41851</v>
      </c>
      <c r="H1" s="33">
        <v>41943</v>
      </c>
      <c r="I1" s="33">
        <v>42035</v>
      </c>
      <c r="J1" s="33">
        <v>42124</v>
      </c>
      <c r="K1" s="33">
        <v>42216</v>
      </c>
      <c r="L1" s="33">
        <v>42308</v>
      </c>
      <c r="M1" s="33">
        <v>42400</v>
      </c>
      <c r="N1" s="33">
        <v>42490</v>
      </c>
      <c r="O1" s="33">
        <v>42582</v>
      </c>
      <c r="P1" s="33">
        <v>42674</v>
      </c>
      <c r="Q1" s="33">
        <v>42766</v>
      </c>
      <c r="R1" s="33">
        <v>42855</v>
      </c>
    </row>
    <row r="2" spans="2:19" ht="13.5" customHeight="1">
      <c r="B2" s="437" t="s">
        <v>45</v>
      </c>
    </row>
    <row r="3" spans="2:19" ht="13.5" customHeight="1">
      <c r="B3" s="3" t="s">
        <v>23</v>
      </c>
    </row>
    <row r="4" spans="2:19" ht="13.5" customHeight="1">
      <c r="B4" s="3" t="s">
        <v>8</v>
      </c>
    </row>
    <row r="5" spans="2:19" s="10" customFormat="1" ht="13.5" customHeight="1">
      <c r="C5" s="6" t="s">
        <v>12</v>
      </c>
      <c r="D5" s="5"/>
      <c r="E5" s="5"/>
      <c r="F5" s="17"/>
      <c r="G5" s="32">
        <v>2015</v>
      </c>
      <c r="H5" s="30"/>
      <c r="I5" s="30"/>
      <c r="J5" s="31"/>
      <c r="K5" s="32">
        <v>2016</v>
      </c>
      <c r="L5" s="30"/>
      <c r="M5" s="30"/>
      <c r="N5" s="31"/>
      <c r="O5" s="32">
        <v>2017</v>
      </c>
      <c r="P5" s="30"/>
      <c r="Q5" s="30"/>
      <c r="R5" s="31"/>
    </row>
    <row r="6" spans="2:19" s="10" customFormat="1" ht="13.5" customHeight="1">
      <c r="B6" s="91"/>
      <c r="C6" s="15">
        <v>2015</v>
      </c>
      <c r="D6" s="15">
        <f>C6+1</f>
        <v>2016</v>
      </c>
      <c r="E6" s="15">
        <f t="shared" ref="E6" si="0">D6+1</f>
        <v>2017</v>
      </c>
      <c r="F6" s="17"/>
      <c r="G6" s="44">
        <v>1</v>
      </c>
      <c r="H6" s="44">
        <v>2</v>
      </c>
      <c r="I6" s="44">
        <v>3</v>
      </c>
      <c r="J6" s="44">
        <v>4</v>
      </c>
      <c r="K6" s="44">
        <v>1</v>
      </c>
      <c r="L6" s="44">
        <v>2</v>
      </c>
      <c r="M6" s="44">
        <v>3</v>
      </c>
      <c r="N6" s="44">
        <v>4</v>
      </c>
      <c r="O6" s="44">
        <v>1</v>
      </c>
      <c r="P6" s="44">
        <v>2</v>
      </c>
      <c r="Q6" s="44">
        <v>3</v>
      </c>
      <c r="R6" s="44">
        <v>4</v>
      </c>
    </row>
    <row r="7" spans="2:19" s="133" customFormat="1" ht="13.5" customHeight="1">
      <c r="B7" s="109" t="s">
        <v>115</v>
      </c>
      <c r="C7" s="828">
        <f>CF!H26</f>
        <v>7.8259999999999996</v>
      </c>
      <c r="D7" s="828">
        <f ca="1">CF!I26</f>
        <v>83.263065437151397</v>
      </c>
      <c r="E7" s="828">
        <f ca="1">CF!J26</f>
        <v>215.89887880656738</v>
      </c>
      <c r="F7" s="223"/>
      <c r="G7" s="830"/>
      <c r="H7" s="831"/>
      <c r="I7" s="831">
        <f ca="1">CF!AH14+CF!AH18</f>
        <v>6.782740233802059</v>
      </c>
      <c r="J7" s="831">
        <f ca="1">CF!AI14+CF!AI18</f>
        <v>19.902915203349309</v>
      </c>
      <c r="K7" s="831">
        <f ca="1">CF!AJ14+CF!AJ18</f>
        <v>6.525035320821182</v>
      </c>
      <c r="L7" s="831">
        <f ca="1">CF!AK14+CF!AK18</f>
        <v>9.5828751681887638</v>
      </c>
      <c r="M7" s="831">
        <f ca="1">CF!AL14+CF!AL18</f>
        <v>12.952892868758134</v>
      </c>
      <c r="N7" s="831">
        <f ca="1">CF!AM14+CF!AM18</f>
        <v>3.5750100116480183</v>
      </c>
      <c r="O7" s="831">
        <f ca="1">CF!AN14+CF!AN18</f>
        <v>10.527762320544838</v>
      </c>
      <c r="P7" s="831">
        <f ca="1">CF!AO14+CF!AO18</f>
        <v>13.888738322504139</v>
      </c>
      <c r="Q7" s="831">
        <f ca="1">CF!AP14+CF!AP18</f>
        <v>17.526720039210105</v>
      </c>
      <c r="R7" s="832">
        <f ca="1">CF!AQ14+CF!AQ18</f>
        <v>7.8412187058611522</v>
      </c>
      <c r="S7" s="132"/>
    </row>
    <row r="8" spans="2:19" s="10" customFormat="1" ht="13.5" customHeight="1">
      <c r="B8" s="108" t="s">
        <v>116</v>
      </c>
      <c r="C8" s="87">
        <f>SUM(G8:J8)</f>
        <v>-10</v>
      </c>
      <c r="D8" s="87">
        <f>SUM(K8:N8)</f>
        <v>-20</v>
      </c>
      <c r="E8" s="87">
        <f>SUM(O8:R8)</f>
        <v>-20</v>
      </c>
      <c r="F8" s="17"/>
      <c r="G8" s="400"/>
      <c r="H8" s="84"/>
      <c r="I8" s="267">
        <f>Equity!I9</f>
        <v>-5</v>
      </c>
      <c r="J8" s="267">
        <f>Equity!J9</f>
        <v>-5</v>
      </c>
      <c r="K8" s="267">
        <f>Equity!K9</f>
        <v>-5</v>
      </c>
      <c r="L8" s="267">
        <f>Equity!L9</f>
        <v>-5</v>
      </c>
      <c r="M8" s="267">
        <f>Equity!M9</f>
        <v>-5</v>
      </c>
      <c r="N8" s="267">
        <f>Equity!N9</f>
        <v>-5</v>
      </c>
      <c r="O8" s="267">
        <f>Equity!O9</f>
        <v>-5</v>
      </c>
      <c r="P8" s="267">
        <f>Equity!P9</f>
        <v>-5</v>
      </c>
      <c r="Q8" s="267">
        <f>Equity!Q9</f>
        <v>-5</v>
      </c>
      <c r="R8" s="406">
        <f>Equity!R9</f>
        <v>-5</v>
      </c>
      <c r="S8" s="78"/>
    </row>
    <row r="9" spans="2:19" s="10" customFormat="1" ht="13.5" customHeight="1">
      <c r="B9" s="108" t="s">
        <v>117</v>
      </c>
      <c r="C9" s="87">
        <f>Equity!C10</f>
        <v>-29.261236474677254</v>
      </c>
      <c r="D9" s="87">
        <f>Equity!D10</f>
        <v>-31.624254220456798</v>
      </c>
      <c r="E9" s="87">
        <f>Equity!E10</f>
        <v>-33.826744786494515</v>
      </c>
      <c r="F9" s="17"/>
      <c r="G9" s="400"/>
      <c r="H9" s="84"/>
      <c r="I9" s="267">
        <f>Equity!I10</f>
        <v>-7.3162154915590856</v>
      </c>
      <c r="J9" s="267">
        <f>Equity!J10</f>
        <v>-7.2854309831181716</v>
      </c>
      <c r="K9" s="267">
        <f>Equity!K10</f>
        <v>-7.9567090367427999</v>
      </c>
      <c r="L9" s="267">
        <f>Equity!L10</f>
        <v>-7.922945382323733</v>
      </c>
      <c r="M9" s="267">
        <f>Equity!M10</f>
        <v>-7.8891817279046661</v>
      </c>
      <c r="N9" s="267">
        <f>Equity!N10</f>
        <v>-7.8554180734855992</v>
      </c>
      <c r="O9" s="267">
        <f>Equity!O10</f>
        <v>-8.51180039721946</v>
      </c>
      <c r="P9" s="267">
        <f>Equity!P10</f>
        <v>-8.475057596822241</v>
      </c>
      <c r="Q9" s="267">
        <f>Equity!Q10</f>
        <v>-8.4383147964250202</v>
      </c>
      <c r="R9" s="406">
        <f>Equity!R10</f>
        <v>-8.4015719960278012</v>
      </c>
      <c r="S9" s="78"/>
    </row>
    <row r="10" spans="2:19" s="10" customFormat="1" ht="13.5" customHeight="1">
      <c r="B10" s="108" t="s">
        <v>118</v>
      </c>
      <c r="C10" s="113" t="s">
        <v>100</v>
      </c>
      <c r="D10" s="113" t="s">
        <v>100</v>
      </c>
      <c r="E10" s="113" t="s">
        <v>100</v>
      </c>
      <c r="F10" s="17"/>
      <c r="G10" s="401"/>
      <c r="H10" s="7"/>
      <c r="I10" s="74">
        <f>CF!AH26</f>
        <v>3.7370000000000001</v>
      </c>
      <c r="J10" s="74">
        <f ca="1">CF!AI26</f>
        <v>5</v>
      </c>
      <c r="K10" s="74">
        <f ca="1">CF!AJ26</f>
        <v>5</v>
      </c>
      <c r="L10" s="74">
        <f ca="1">CF!AK26</f>
        <v>5</v>
      </c>
      <c r="M10" s="74">
        <f ca="1">CF!AL26</f>
        <v>5</v>
      </c>
      <c r="N10" s="74">
        <f ca="1">CF!AM26</f>
        <v>5</v>
      </c>
      <c r="O10" s="74">
        <f ca="1">CF!AN26</f>
        <v>5</v>
      </c>
      <c r="P10" s="74">
        <f ca="1">CF!AO26</f>
        <v>5</v>
      </c>
      <c r="Q10" s="74">
        <f ca="1">CF!AP26</f>
        <v>5</v>
      </c>
      <c r="R10" s="407">
        <f ca="1">CF!AQ26</f>
        <v>5</v>
      </c>
      <c r="S10" s="78"/>
    </row>
    <row r="11" spans="2:19" s="10" customFormat="1" ht="13.5" customHeight="1">
      <c r="B11" s="108" t="s">
        <v>119</v>
      </c>
      <c r="C11" s="113" t="s">
        <v>100</v>
      </c>
      <c r="D11" s="113" t="s">
        <v>100</v>
      </c>
      <c r="E11" s="113" t="s">
        <v>100</v>
      </c>
      <c r="F11" s="17"/>
      <c r="G11" s="375"/>
      <c r="H11" s="9"/>
      <c r="I11" s="75">
        <v>-5</v>
      </c>
      <c r="J11" s="261">
        <f>I11</f>
        <v>-5</v>
      </c>
      <c r="K11" s="261">
        <f t="shared" ref="K11:R11" si="1">J11</f>
        <v>-5</v>
      </c>
      <c r="L11" s="261">
        <f t="shared" si="1"/>
        <v>-5</v>
      </c>
      <c r="M11" s="261">
        <f t="shared" si="1"/>
        <v>-5</v>
      </c>
      <c r="N11" s="261">
        <f t="shared" si="1"/>
        <v>-5</v>
      </c>
      <c r="O11" s="261">
        <f t="shared" si="1"/>
        <v>-5</v>
      </c>
      <c r="P11" s="261">
        <f t="shared" si="1"/>
        <v>-5</v>
      </c>
      <c r="Q11" s="261">
        <f t="shared" si="1"/>
        <v>-5</v>
      </c>
      <c r="R11" s="408">
        <f t="shared" si="1"/>
        <v>-5</v>
      </c>
      <c r="S11" s="78"/>
    </row>
    <row r="12" spans="2:19" s="10" customFormat="1" ht="13.5" customHeight="1">
      <c r="B12" s="109" t="s">
        <v>120</v>
      </c>
      <c r="C12" s="113" t="s">
        <v>100</v>
      </c>
      <c r="D12" s="113" t="s">
        <v>100</v>
      </c>
      <c r="E12" s="113" t="s">
        <v>100</v>
      </c>
      <c r="F12" s="17"/>
      <c r="G12" s="400"/>
      <c r="H12" s="84"/>
      <c r="I12" s="87">
        <f ca="1">SUM(I7:I11)</f>
        <v>-6.7964752577570264</v>
      </c>
      <c r="J12" s="87">
        <f t="shared" ref="J12:R12" ca="1" si="2">SUM(J7:J11)</f>
        <v>7.6174842202311375</v>
      </c>
      <c r="K12" s="87">
        <f t="shared" ca="1" si="2"/>
        <v>-6.431673715921618</v>
      </c>
      <c r="L12" s="87">
        <f t="shared" ca="1" si="2"/>
        <v>-3.3400702141349692</v>
      </c>
      <c r="M12" s="87">
        <f t="shared" ca="1" si="2"/>
        <v>6.3711140853468073E-2</v>
      </c>
      <c r="N12" s="87">
        <f t="shared" ca="1" si="2"/>
        <v>-9.2804080618375799</v>
      </c>
      <c r="O12" s="87">
        <f t="shared" ca="1" si="2"/>
        <v>-2.9840380766746222</v>
      </c>
      <c r="P12" s="87">
        <f t="shared" ca="1" si="2"/>
        <v>0.41368072568189795</v>
      </c>
      <c r="Q12" s="87">
        <f t="shared" ca="1" si="2"/>
        <v>4.0884052427850843</v>
      </c>
      <c r="R12" s="388">
        <f t="shared" ca="1" si="2"/>
        <v>-5.560353290166649</v>
      </c>
      <c r="S12" s="78"/>
    </row>
    <row r="13" spans="2:19" s="10" customFormat="1" ht="13.5" customHeight="1">
      <c r="B13" s="110" t="s">
        <v>126</v>
      </c>
      <c r="C13" s="113" t="s">
        <v>100</v>
      </c>
      <c r="D13" s="113" t="s">
        <v>100</v>
      </c>
      <c r="E13" s="113" t="s">
        <v>100</v>
      </c>
      <c r="F13" s="17"/>
      <c r="G13" s="833"/>
      <c r="H13" s="834"/>
      <c r="I13" s="835">
        <f t="shared" ref="I13:R13" ca="1" si="3">-MAX(0,MIN(I16,SUM(I12),H19))</f>
        <v>0</v>
      </c>
      <c r="J13" s="835">
        <f t="shared" ca="1" si="3"/>
        <v>-7.6174842202311375</v>
      </c>
      <c r="K13" s="835">
        <f t="shared" ca="1" si="3"/>
        <v>0</v>
      </c>
      <c r="L13" s="835">
        <f t="shared" ca="1" si="3"/>
        <v>0</v>
      </c>
      <c r="M13" s="835">
        <f t="shared" ca="1" si="3"/>
        <v>-6.3711140853468073E-2</v>
      </c>
      <c r="N13" s="835">
        <f t="shared" ca="1" si="3"/>
        <v>0</v>
      </c>
      <c r="O13" s="835">
        <f t="shared" ca="1" si="3"/>
        <v>0</v>
      </c>
      <c r="P13" s="835">
        <f t="shared" ca="1" si="3"/>
        <v>-0.41368072568189795</v>
      </c>
      <c r="Q13" s="835">
        <f t="shared" ca="1" si="3"/>
        <v>-4.0884052427850843</v>
      </c>
      <c r="R13" s="836">
        <f t="shared" ca="1" si="3"/>
        <v>0</v>
      </c>
      <c r="S13" s="78"/>
    </row>
    <row r="14" spans="2:19" s="10" customFormat="1" ht="13.5" customHeight="1">
      <c r="B14" s="109"/>
      <c r="C14" s="84"/>
      <c r="D14" s="84"/>
      <c r="E14" s="84"/>
      <c r="F14" s="17"/>
      <c r="G14" s="400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409"/>
      <c r="S14" s="78"/>
    </row>
    <row r="15" spans="2:19" s="10" customFormat="1" ht="13.5" customHeight="1">
      <c r="B15" s="111" t="s">
        <v>149</v>
      </c>
      <c r="C15" s="12"/>
      <c r="D15" s="12"/>
      <c r="E15" s="12"/>
      <c r="F15" s="17"/>
      <c r="G15" s="40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410"/>
      <c r="S15" s="78"/>
    </row>
    <row r="16" spans="2:19" s="262" customFormat="1" ht="13.5" customHeight="1">
      <c r="B16" s="277" t="s">
        <v>121</v>
      </c>
      <c r="C16" s="278" t="s">
        <v>100</v>
      </c>
      <c r="D16" s="278">
        <f ca="1">K16</f>
        <v>464.17899103752592</v>
      </c>
      <c r="E16" s="278">
        <f ca="1">O16</f>
        <v>483.16743188856663</v>
      </c>
      <c r="F16" s="260"/>
      <c r="G16" s="837"/>
      <c r="H16" s="838">
        <v>0</v>
      </c>
      <c r="I16" s="838">
        <f>H19</f>
        <v>465</v>
      </c>
      <c r="J16" s="838">
        <f t="shared" ref="J16:R16" ca="1" si="4">I19</f>
        <v>471.79647525775704</v>
      </c>
      <c r="K16" s="838">
        <f t="shared" ca="1" si="4"/>
        <v>464.17899103752592</v>
      </c>
      <c r="L16" s="838">
        <f t="shared" ca="1" si="4"/>
        <v>470.61066475344751</v>
      </c>
      <c r="M16" s="838">
        <f t="shared" ca="1" si="4"/>
        <v>473.95073496758249</v>
      </c>
      <c r="N16" s="838">
        <f t="shared" ca="1" si="4"/>
        <v>473.88702382672903</v>
      </c>
      <c r="O16" s="838">
        <f t="shared" ca="1" si="4"/>
        <v>483.16743188856663</v>
      </c>
      <c r="P16" s="838">
        <f t="shared" ca="1" si="4"/>
        <v>486.15146996524123</v>
      </c>
      <c r="Q16" s="838">
        <f t="shared" ca="1" si="4"/>
        <v>485.73778923955933</v>
      </c>
      <c r="R16" s="839">
        <f t="shared" ca="1" si="4"/>
        <v>481.64938399677425</v>
      </c>
      <c r="S16" s="87"/>
    </row>
    <row r="17" spans="2:19" s="262" customFormat="1" ht="13.5" customHeight="1">
      <c r="B17" s="277" t="s">
        <v>124</v>
      </c>
      <c r="C17" s="278" t="s">
        <v>100</v>
      </c>
      <c r="D17" s="278">
        <f ca="1">SUM(K17:N17)</f>
        <v>19.052151991894167</v>
      </c>
      <c r="E17" s="278">
        <f ca="1">SUM(O17:R17)</f>
        <v>8.5443913668412712</v>
      </c>
      <c r="F17" s="260"/>
      <c r="G17" s="379"/>
      <c r="H17" s="87">
        <v>0</v>
      </c>
      <c r="I17" s="87">
        <f t="shared" ref="I17:R17" ca="1" si="5">MIN(MAX(0,-I12),I20-I16)</f>
        <v>6.7964752577570264</v>
      </c>
      <c r="J17" s="87">
        <f t="shared" ca="1" si="5"/>
        <v>0</v>
      </c>
      <c r="K17" s="87">
        <f t="shared" ca="1" si="5"/>
        <v>6.431673715921618</v>
      </c>
      <c r="L17" s="87">
        <f t="shared" ca="1" si="5"/>
        <v>3.3400702141349692</v>
      </c>
      <c r="M17" s="87">
        <f t="shared" ca="1" si="5"/>
        <v>0</v>
      </c>
      <c r="N17" s="87">
        <f t="shared" ca="1" si="5"/>
        <v>9.2804080618375799</v>
      </c>
      <c r="O17" s="87">
        <f t="shared" ca="1" si="5"/>
        <v>2.9840380766746222</v>
      </c>
      <c r="P17" s="87">
        <f t="shared" ca="1" si="5"/>
        <v>0</v>
      </c>
      <c r="Q17" s="87">
        <f t="shared" ca="1" si="5"/>
        <v>0</v>
      </c>
      <c r="R17" s="388">
        <f t="shared" ca="1" si="5"/>
        <v>5.560353290166649</v>
      </c>
      <c r="S17" s="87"/>
    </row>
    <row r="18" spans="2:19" s="10" customFormat="1" ht="13.5" customHeight="1">
      <c r="B18" s="112" t="s">
        <v>125</v>
      </c>
      <c r="C18" s="113" t="s">
        <v>100</v>
      </c>
      <c r="D18" s="113">
        <f ca="1">SUM(K18:N18)</f>
        <v>-6.3711140853468073E-2</v>
      </c>
      <c r="E18" s="113">
        <f ca="1">SUM(O18:R18)</f>
        <v>-4.5020859684669823</v>
      </c>
      <c r="F18" s="17"/>
      <c r="G18" s="376"/>
      <c r="H18" s="87">
        <v>0</v>
      </c>
      <c r="I18" s="87">
        <f t="shared" ref="I18:R18" ca="1" si="6">I13</f>
        <v>0</v>
      </c>
      <c r="J18" s="87">
        <f t="shared" ca="1" si="6"/>
        <v>-7.6174842202311375</v>
      </c>
      <c r="K18" s="87">
        <f t="shared" ca="1" si="6"/>
        <v>0</v>
      </c>
      <c r="L18" s="87">
        <f t="shared" ca="1" si="6"/>
        <v>0</v>
      </c>
      <c r="M18" s="87">
        <f t="shared" ca="1" si="6"/>
        <v>-6.3711140853468073E-2</v>
      </c>
      <c r="N18" s="87">
        <f t="shared" ca="1" si="6"/>
        <v>0</v>
      </c>
      <c r="O18" s="87">
        <f t="shared" ca="1" si="6"/>
        <v>0</v>
      </c>
      <c r="P18" s="87">
        <f t="shared" ca="1" si="6"/>
        <v>-0.41368072568189795</v>
      </c>
      <c r="Q18" s="87">
        <f t="shared" ca="1" si="6"/>
        <v>-4.0884052427850843</v>
      </c>
      <c r="R18" s="388">
        <f t="shared" ca="1" si="6"/>
        <v>0</v>
      </c>
      <c r="S18" s="78"/>
    </row>
    <row r="19" spans="2:19" s="262" customFormat="1" ht="13.5" customHeight="1">
      <c r="B19" s="277" t="s">
        <v>18</v>
      </c>
      <c r="C19" s="278" t="s">
        <v>100</v>
      </c>
      <c r="D19" s="278">
        <f ca="1">N19</f>
        <v>483.16743188856663</v>
      </c>
      <c r="E19" s="278">
        <f ca="1">R19</f>
        <v>487.20973728694088</v>
      </c>
      <c r="F19" s="260"/>
      <c r="G19" s="840"/>
      <c r="H19" s="841">
        <v>465</v>
      </c>
      <c r="I19" s="841">
        <f ca="1">SUM(I16:I17)</f>
        <v>471.79647525775704</v>
      </c>
      <c r="J19" s="841">
        <f t="shared" ref="J19:R19" ca="1" si="7">SUM(J16:J18)</f>
        <v>464.17899103752592</v>
      </c>
      <c r="K19" s="841">
        <f t="shared" ca="1" si="7"/>
        <v>470.61066475344751</v>
      </c>
      <c r="L19" s="841">
        <f t="shared" ca="1" si="7"/>
        <v>473.95073496758249</v>
      </c>
      <c r="M19" s="841">
        <f t="shared" ca="1" si="7"/>
        <v>473.88702382672903</v>
      </c>
      <c r="N19" s="841">
        <f t="shared" ca="1" si="7"/>
        <v>483.16743188856663</v>
      </c>
      <c r="O19" s="841">
        <f t="shared" ca="1" si="7"/>
        <v>486.15146996524123</v>
      </c>
      <c r="P19" s="841">
        <f t="shared" ca="1" si="7"/>
        <v>485.73778923955933</v>
      </c>
      <c r="Q19" s="841">
        <f t="shared" ca="1" si="7"/>
        <v>481.64938399677425</v>
      </c>
      <c r="R19" s="842">
        <f t="shared" ca="1" si="7"/>
        <v>487.20973728694088</v>
      </c>
      <c r="S19" s="87"/>
    </row>
    <row r="20" spans="2:19" s="63" customFormat="1" ht="13.5" customHeight="1">
      <c r="B20" s="275" t="s">
        <v>122</v>
      </c>
      <c r="C20" s="276" t="s">
        <v>100</v>
      </c>
      <c r="D20" s="107">
        <f>N20</f>
        <v>750</v>
      </c>
      <c r="E20" s="107">
        <f>R20</f>
        <v>750</v>
      </c>
      <c r="F20" s="89"/>
      <c r="G20" s="843"/>
      <c r="H20" s="844">
        <v>750</v>
      </c>
      <c r="I20" s="844">
        <v>750</v>
      </c>
      <c r="J20" s="844">
        <v>750</v>
      </c>
      <c r="K20" s="844">
        <v>750</v>
      </c>
      <c r="L20" s="844">
        <v>750</v>
      </c>
      <c r="M20" s="844">
        <v>750</v>
      </c>
      <c r="N20" s="844">
        <v>750</v>
      </c>
      <c r="O20" s="844">
        <v>750</v>
      </c>
      <c r="P20" s="844">
        <v>750</v>
      </c>
      <c r="Q20" s="844">
        <v>750</v>
      </c>
      <c r="R20" s="845">
        <v>750</v>
      </c>
      <c r="S20" s="107"/>
    </row>
    <row r="21" spans="2:19" s="63" customFormat="1" ht="13.5" customHeight="1">
      <c r="B21" s="275" t="s">
        <v>123</v>
      </c>
      <c r="C21" s="276" t="s">
        <v>100</v>
      </c>
      <c r="D21" s="107">
        <f ca="1">N21</f>
        <v>266.83256811143337</v>
      </c>
      <c r="E21" s="107">
        <f ca="1">R21</f>
        <v>262.79026271305912</v>
      </c>
      <c r="F21" s="89"/>
      <c r="G21" s="846"/>
      <c r="H21" s="847">
        <f t="shared" ref="H21:R21" si="8">H20-H19</f>
        <v>285</v>
      </c>
      <c r="I21" s="847">
        <f t="shared" ca="1" si="8"/>
        <v>278.20352474224296</v>
      </c>
      <c r="J21" s="847">
        <f t="shared" ca="1" si="8"/>
        <v>285.82100896247408</v>
      </c>
      <c r="K21" s="847">
        <f t="shared" ca="1" si="8"/>
        <v>279.38933524655249</v>
      </c>
      <c r="L21" s="847">
        <f t="shared" ca="1" si="8"/>
        <v>276.04926503241751</v>
      </c>
      <c r="M21" s="847">
        <f t="shared" ca="1" si="8"/>
        <v>276.11297617327097</v>
      </c>
      <c r="N21" s="847">
        <f t="shared" ca="1" si="8"/>
        <v>266.83256811143337</v>
      </c>
      <c r="O21" s="847">
        <f t="shared" ca="1" si="8"/>
        <v>263.84853003475877</v>
      </c>
      <c r="P21" s="847">
        <f t="shared" ca="1" si="8"/>
        <v>264.26221076044067</v>
      </c>
      <c r="Q21" s="847">
        <f t="shared" ca="1" si="8"/>
        <v>268.35061600322575</v>
      </c>
      <c r="R21" s="848">
        <f t="shared" ca="1" si="8"/>
        <v>262.79026271305912</v>
      </c>
      <c r="S21" s="107"/>
    </row>
    <row r="22" spans="2:19" s="10" customFormat="1" ht="13.5" customHeight="1">
      <c r="B22" s="112"/>
      <c r="C22" s="78"/>
      <c r="D22" s="78"/>
      <c r="E22" s="78"/>
      <c r="F22" s="17"/>
      <c r="G22" s="376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385"/>
      <c r="S22" s="78"/>
    </row>
    <row r="23" spans="2:19" s="10" customFormat="1" ht="13.5" customHeight="1">
      <c r="B23" s="111" t="s">
        <v>129</v>
      </c>
      <c r="C23" s="84"/>
      <c r="D23" s="84"/>
      <c r="E23" s="84"/>
      <c r="F23" s="17"/>
      <c r="G23" s="401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409"/>
      <c r="S23" s="78"/>
    </row>
    <row r="24" spans="2:19" s="57" customFormat="1" ht="13.5" customHeight="1">
      <c r="B24" s="273" t="s">
        <v>128</v>
      </c>
      <c r="C24" s="274">
        <f ca="1">AVERAGE(G24:J24)</f>
        <v>468.19298538826001</v>
      </c>
      <c r="D24" s="274">
        <f ca="1">AVERAGE(K24:N24)</f>
        <v>473.03040875270136</v>
      </c>
      <c r="E24" s="274">
        <f ca="1">AVERAGE(O24:R24)</f>
        <v>484.68180694733212</v>
      </c>
      <c r="F24" s="45"/>
      <c r="G24" s="849"/>
      <c r="H24" s="850"/>
      <c r="I24" s="850">
        <f t="shared" ref="I24:R24" ca="1" si="9">AVERAGE(H19:I19)</f>
        <v>468.39823762887852</v>
      </c>
      <c r="J24" s="850">
        <f t="shared" ca="1" si="9"/>
        <v>467.98773314764151</v>
      </c>
      <c r="K24" s="850">
        <f t="shared" ca="1" si="9"/>
        <v>467.39482789548674</v>
      </c>
      <c r="L24" s="850">
        <f t="shared" ca="1" si="9"/>
        <v>472.28069986051503</v>
      </c>
      <c r="M24" s="850">
        <f t="shared" ca="1" si="9"/>
        <v>473.91887939715576</v>
      </c>
      <c r="N24" s="850">
        <f t="shared" ca="1" si="9"/>
        <v>478.52722785764786</v>
      </c>
      <c r="O24" s="850">
        <f t="shared" ca="1" si="9"/>
        <v>484.6594509269039</v>
      </c>
      <c r="P24" s="850">
        <f t="shared" ca="1" si="9"/>
        <v>485.94462960240025</v>
      </c>
      <c r="Q24" s="850">
        <f t="shared" ca="1" si="9"/>
        <v>483.69358661816682</v>
      </c>
      <c r="R24" s="851">
        <f t="shared" ca="1" si="9"/>
        <v>484.42956064185756</v>
      </c>
      <c r="S24" s="83"/>
    </row>
    <row r="25" spans="2:19" s="37" customFormat="1" ht="13.5" customHeight="1">
      <c r="B25" s="268" t="s">
        <v>127</v>
      </c>
      <c r="C25" s="269">
        <f>AVERAGE(G25:J25)</f>
        <v>0.02</v>
      </c>
      <c r="D25" s="269">
        <f>AVERAGE(K25:N25)</f>
        <v>0.02</v>
      </c>
      <c r="E25" s="269">
        <f>AVERAGE(O25:R25)</f>
        <v>0.02</v>
      </c>
      <c r="F25" s="55"/>
      <c r="G25" s="403"/>
      <c r="H25" s="77"/>
      <c r="I25" s="40">
        <v>0.02</v>
      </c>
      <c r="J25" s="39">
        <f>I25</f>
        <v>0.02</v>
      </c>
      <c r="K25" s="39">
        <f t="shared" ref="K25:R25" si="10">J25</f>
        <v>0.02</v>
      </c>
      <c r="L25" s="39">
        <f t="shared" si="10"/>
        <v>0.02</v>
      </c>
      <c r="M25" s="39">
        <f t="shared" si="10"/>
        <v>0.02</v>
      </c>
      <c r="N25" s="39">
        <f t="shared" si="10"/>
        <v>0.02</v>
      </c>
      <c r="O25" s="39">
        <f t="shared" si="10"/>
        <v>0.02</v>
      </c>
      <c r="P25" s="39">
        <f t="shared" si="10"/>
        <v>0.02</v>
      </c>
      <c r="Q25" s="39">
        <f t="shared" si="10"/>
        <v>0.02</v>
      </c>
      <c r="R25" s="412">
        <f t="shared" si="10"/>
        <v>0.02</v>
      </c>
      <c r="S25" s="77"/>
    </row>
    <row r="26" spans="2:19" s="47" customFormat="1" ht="13.5" customHeight="1">
      <c r="B26" s="270" t="s">
        <v>129</v>
      </c>
      <c r="C26" s="41">
        <f ca="1">SUM(G26:J26)</f>
        <v>4.6819298538826004</v>
      </c>
      <c r="D26" s="41">
        <f ca="1">SUM(K26:N26)</f>
        <v>9.460608175054027</v>
      </c>
      <c r="E26" s="41">
        <f ca="1">SUM(O26:R26)</f>
        <v>9.6936361389466441</v>
      </c>
      <c r="F26" s="46"/>
      <c r="G26" s="404"/>
      <c r="H26" s="79"/>
      <c r="I26" s="79">
        <f ca="1">(I24*I25)/4</f>
        <v>2.3419911881443927</v>
      </c>
      <c r="J26" s="79">
        <f t="shared" ref="J26:R26" ca="1" si="11">(J24*J25)/4</f>
        <v>2.3399386657382077</v>
      </c>
      <c r="K26" s="79">
        <f t="shared" ca="1" si="11"/>
        <v>2.3369741394774337</v>
      </c>
      <c r="L26" s="79">
        <f t="shared" ca="1" si="11"/>
        <v>2.361403499302575</v>
      </c>
      <c r="M26" s="79">
        <f t="shared" ca="1" si="11"/>
        <v>2.3695943969857787</v>
      </c>
      <c r="N26" s="79">
        <f t="shared" ca="1" si="11"/>
        <v>2.3926361392882391</v>
      </c>
      <c r="O26" s="79">
        <f t="shared" ca="1" si="11"/>
        <v>2.4232972546345195</v>
      </c>
      <c r="P26" s="79">
        <f t="shared" ca="1" si="11"/>
        <v>2.4297231480120014</v>
      </c>
      <c r="Q26" s="79">
        <f t="shared" ca="1" si="11"/>
        <v>2.4184679330908341</v>
      </c>
      <c r="R26" s="413">
        <f t="shared" ca="1" si="11"/>
        <v>2.4221478032092878</v>
      </c>
      <c r="S26" s="79"/>
    </row>
    <row r="27" spans="2:19" s="47" customFormat="1" ht="13.5" customHeight="1">
      <c r="B27" s="270" t="s">
        <v>130</v>
      </c>
      <c r="C27" s="876">
        <f ca="1">SUM(G27:J27)</f>
        <v>1.1280490674094341</v>
      </c>
      <c r="D27" s="876">
        <f ca="1">SUM(K27:N27)</f>
        <v>2.1967682891273488</v>
      </c>
      <c r="E27" s="876">
        <f ca="1">SUM(O27:R27)</f>
        <v>2.1185032390229686</v>
      </c>
      <c r="F27" s="46"/>
      <c r="G27" s="405"/>
      <c r="H27" s="271"/>
      <c r="I27" s="271">
        <f ca="1">(I21*0.002)</f>
        <v>0.55640704948448594</v>
      </c>
      <c r="J27" s="271">
        <f t="shared" ref="J27:R27" ca="1" si="12">(J21*0.002)</f>
        <v>0.57164201792494818</v>
      </c>
      <c r="K27" s="271">
        <f t="shared" ca="1" si="12"/>
        <v>0.55877867049310503</v>
      </c>
      <c r="L27" s="271">
        <f t="shared" ca="1" si="12"/>
        <v>0.552098530064835</v>
      </c>
      <c r="M27" s="271">
        <f t="shared" ca="1" si="12"/>
        <v>0.55222595234654193</v>
      </c>
      <c r="N27" s="271">
        <f t="shared" ca="1" si="12"/>
        <v>0.53366513622286671</v>
      </c>
      <c r="O27" s="271">
        <f t="shared" ca="1" si="12"/>
        <v>0.52769706006951755</v>
      </c>
      <c r="P27" s="271">
        <f t="shared" ca="1" si="12"/>
        <v>0.5285244215208813</v>
      </c>
      <c r="Q27" s="271">
        <f t="shared" ca="1" si="12"/>
        <v>0.53670123200645148</v>
      </c>
      <c r="R27" s="414">
        <f t="shared" ca="1" si="12"/>
        <v>0.52558052542611822</v>
      </c>
      <c r="S27" s="79"/>
    </row>
    <row r="28" spans="2:19" s="148" customFormat="1" ht="13.5" customHeight="1">
      <c r="B28" s="272" t="s">
        <v>25</v>
      </c>
      <c r="C28" s="829">
        <f ca="1">SUM(G28:J28)</f>
        <v>9.6289789212920347</v>
      </c>
      <c r="D28" s="829">
        <f ca="1">SUM(K28:N28)</f>
        <v>11.657376464181375</v>
      </c>
      <c r="E28" s="829">
        <f ca="1">SUM(O28:R28)</f>
        <v>11.812139377969611</v>
      </c>
      <c r="F28" s="149"/>
      <c r="G28" s="877">
        <f>IS!AF26</f>
        <v>1.6160000000000001</v>
      </c>
      <c r="H28" s="878">
        <f>IS!AG26</f>
        <v>2.2029999999999998</v>
      </c>
      <c r="I28" s="852">
        <f ca="1">SUM(I26:I27)</f>
        <v>2.8983982376288786</v>
      </c>
      <c r="J28" s="852">
        <f t="shared" ref="J28:R28" ca="1" si="13">SUM(J26:J27)</f>
        <v>2.9115806836631561</v>
      </c>
      <c r="K28" s="852">
        <f t="shared" ca="1" si="13"/>
        <v>2.8957528099705385</v>
      </c>
      <c r="L28" s="852">
        <f t="shared" ca="1" si="13"/>
        <v>2.9135020293674101</v>
      </c>
      <c r="M28" s="852">
        <f t="shared" ca="1" si="13"/>
        <v>2.9218203493323207</v>
      </c>
      <c r="N28" s="852">
        <f t="shared" ca="1" si="13"/>
        <v>2.926301275511106</v>
      </c>
      <c r="O28" s="852">
        <f t="shared" ca="1" si="13"/>
        <v>2.9509943147040372</v>
      </c>
      <c r="P28" s="852">
        <f t="shared" ca="1" si="13"/>
        <v>2.9582475695328827</v>
      </c>
      <c r="Q28" s="852">
        <f t="shared" ca="1" si="13"/>
        <v>2.9551691650972858</v>
      </c>
      <c r="R28" s="853">
        <f t="shared" ca="1" si="13"/>
        <v>2.9477283286354061</v>
      </c>
      <c r="S28" s="150"/>
    </row>
    <row r="29" spans="2:19" ht="13.5" customHeight="1">
      <c r="B29" s="4"/>
      <c r="C29" s="4"/>
      <c r="D29" s="4"/>
      <c r="E29" s="4"/>
    </row>
    <row r="30" spans="2:19" ht="13.5" customHeight="1">
      <c r="B30" s="4"/>
      <c r="C30" s="4"/>
      <c r="D30" s="4"/>
      <c r="E30" s="4"/>
    </row>
    <row r="31" spans="2:19" ht="13.5" customHeight="1">
      <c r="B31" s="4"/>
      <c r="C31" s="4"/>
      <c r="D31" s="4"/>
      <c r="E31" s="4"/>
    </row>
    <row r="32" spans="2:19" ht="13.5" customHeight="1">
      <c r="B32" s="4"/>
      <c r="C32" s="4"/>
      <c r="D32" s="4"/>
      <c r="E32" s="4"/>
    </row>
    <row r="33" spans="2:5" ht="13.5" customHeight="1">
      <c r="B33" s="4"/>
      <c r="C33" s="4"/>
      <c r="D33" s="4"/>
      <c r="E33" s="4"/>
    </row>
  </sheetData>
  <conditionalFormatting sqref="B7:E28">
    <cfRule type="expression" dxfId="0" priority="1">
      <formula>print=1</formula>
    </cfRule>
  </conditionalFormatting>
  <pageMargins left="0.7" right="0.7" top="0.75" bottom="0.75" header="0.3" footer="0.3"/>
  <pageSetup orientation="landscape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5">
    <tabColor theme="4"/>
    <pageSetUpPr fitToPage="1"/>
  </sheetPr>
  <dimension ref="B1:AH195"/>
  <sheetViews>
    <sheetView showGridLines="0" view="pageBreakPreview" zoomScaleNormal="100" zoomScaleSheetLayoutView="100" workbookViewId="0"/>
  </sheetViews>
  <sheetFormatPr defaultColWidth="9.83203125" defaultRowHeight="11.25"/>
  <cols>
    <col min="1" max="1" width="5.83203125" style="17" customWidth="1"/>
    <col min="2" max="2" width="28.33203125" style="17" customWidth="1"/>
    <col min="3" max="5" width="11.33203125" style="481" customWidth="1"/>
    <col min="6" max="10" width="11.33203125" style="17" customWidth="1"/>
    <col min="11" max="11" width="9.83203125" style="17"/>
    <col min="12" max="12" width="34.33203125" style="17" customWidth="1"/>
    <col min="13" max="18" width="14.33203125" style="218" customWidth="1"/>
    <col min="19" max="19" width="31.5" style="218" customWidth="1"/>
    <col min="20" max="31" width="10.83203125" style="218" customWidth="1"/>
    <col min="32" max="34" width="9.83203125" style="218"/>
    <col min="35" max="16384" width="9.83203125" style="17"/>
  </cols>
  <sheetData>
    <row r="1" spans="2:34" ht="13.5" customHeight="1">
      <c r="T1" s="33">
        <v>41834</v>
      </c>
      <c r="U1" s="33">
        <v>41926</v>
      </c>
      <c r="V1" s="33">
        <v>42035</v>
      </c>
      <c r="W1" s="33">
        <v>42124</v>
      </c>
      <c r="X1" s="33">
        <v>42216</v>
      </c>
      <c r="Y1" s="33">
        <v>42308</v>
      </c>
      <c r="Z1" s="33">
        <v>42400</v>
      </c>
      <c r="AA1" s="33">
        <v>42490</v>
      </c>
      <c r="AB1" s="33">
        <v>42582</v>
      </c>
      <c r="AC1" s="33">
        <v>42674</v>
      </c>
      <c r="AD1" s="33">
        <v>42766</v>
      </c>
      <c r="AE1" s="33">
        <v>42855</v>
      </c>
    </row>
    <row r="2" spans="2:34" ht="13.5" customHeight="1">
      <c r="B2" s="437" t="s">
        <v>45</v>
      </c>
      <c r="L2" s="437" t="s">
        <v>45</v>
      </c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2:34" ht="13.5" customHeight="1">
      <c r="B3" s="10" t="s">
        <v>340</v>
      </c>
      <c r="L3" s="10" t="s">
        <v>272</v>
      </c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</row>
    <row r="4" spans="2:34" ht="13.5" customHeight="1">
      <c r="B4" s="10" t="s">
        <v>8</v>
      </c>
      <c r="H4" s="760"/>
      <c r="L4" s="10" t="s">
        <v>8</v>
      </c>
      <c r="R4" s="34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</row>
    <row r="5" spans="2:34" ht="13.5" customHeight="1">
      <c r="B5" s="10"/>
      <c r="F5" s="763"/>
      <c r="L5" s="10"/>
      <c r="R5" s="340"/>
    </row>
    <row r="6" spans="2:34" ht="13.5" customHeight="1">
      <c r="C6" s="6" t="s">
        <v>12</v>
      </c>
      <c r="D6" s="5"/>
      <c r="E6" s="5"/>
      <c r="F6" s="5"/>
      <c r="G6" s="5"/>
      <c r="H6" s="5"/>
      <c r="I6" s="5"/>
      <c r="J6" s="5"/>
      <c r="T6" s="626" t="s">
        <v>297</v>
      </c>
      <c r="U6" s="627"/>
      <c r="V6" s="627"/>
      <c r="W6" s="628"/>
      <c r="X6" s="626" t="s">
        <v>298</v>
      </c>
      <c r="Y6" s="627"/>
      <c r="Z6" s="627"/>
      <c r="AA6" s="628"/>
      <c r="AB6" s="626" t="s">
        <v>299</v>
      </c>
      <c r="AC6" s="627"/>
      <c r="AD6" s="627"/>
      <c r="AE6" s="628"/>
    </row>
    <row r="7" spans="2:34" ht="13.5" customHeight="1">
      <c r="C7" s="35">
        <v>2010</v>
      </c>
      <c r="D7" s="35">
        <f t="shared" ref="D7:J7" si="0">+C7+1</f>
        <v>2011</v>
      </c>
      <c r="E7" s="35">
        <f t="shared" si="0"/>
        <v>2012</v>
      </c>
      <c r="F7" s="35">
        <f t="shared" si="0"/>
        <v>2013</v>
      </c>
      <c r="G7" s="35">
        <f t="shared" si="0"/>
        <v>2014</v>
      </c>
      <c r="H7" s="18">
        <f t="shared" si="0"/>
        <v>2015</v>
      </c>
      <c r="I7" s="18">
        <f t="shared" si="0"/>
        <v>2016</v>
      </c>
      <c r="J7" s="18">
        <f t="shared" si="0"/>
        <v>2017</v>
      </c>
      <c r="R7" s="473"/>
      <c r="T7" s="44" t="s">
        <v>303</v>
      </c>
      <c r="U7" s="44" t="s">
        <v>304</v>
      </c>
      <c r="V7" s="44" t="s">
        <v>305</v>
      </c>
      <c r="W7" s="44" t="s">
        <v>306</v>
      </c>
      <c r="X7" s="44">
        <v>1</v>
      </c>
      <c r="Y7" s="44">
        <f>X7+1</f>
        <v>2</v>
      </c>
      <c r="Z7" s="44">
        <f>Y7+1</f>
        <v>3</v>
      </c>
      <c r="AA7" s="44">
        <f>Z7+1</f>
        <v>4</v>
      </c>
      <c r="AB7" s="44">
        <v>1</v>
      </c>
      <c r="AC7" s="44">
        <f>AB7+1</f>
        <v>2</v>
      </c>
      <c r="AD7" s="44">
        <f>AC7+1</f>
        <v>3</v>
      </c>
      <c r="AE7" s="44">
        <f>AD7+1</f>
        <v>4</v>
      </c>
    </row>
    <row r="8" spans="2:34" ht="13.5" customHeight="1">
      <c r="B8" s="497" t="s">
        <v>225</v>
      </c>
      <c r="C8" s="498"/>
      <c r="D8" s="498"/>
      <c r="E8" s="498"/>
      <c r="F8" s="498"/>
      <c r="G8" s="499"/>
      <c r="H8" s="499"/>
      <c r="I8" s="499"/>
      <c r="J8" s="499"/>
      <c r="L8" s="497" t="s">
        <v>309</v>
      </c>
      <c r="M8" s="498"/>
      <c r="N8" s="498"/>
      <c r="O8" s="498"/>
      <c r="P8" s="498"/>
      <c r="Q8" s="499"/>
      <c r="R8" s="258"/>
      <c r="S8" s="670" t="s">
        <v>225</v>
      </c>
      <c r="T8" s="1033"/>
      <c r="U8" s="1031"/>
      <c r="V8" s="1032"/>
      <c r="W8" s="1050"/>
      <c r="X8" s="1054"/>
      <c r="Y8" s="1032"/>
      <c r="Z8" s="1032"/>
      <c r="AA8" s="1050"/>
      <c r="AB8" s="1054"/>
      <c r="AC8" s="1032"/>
      <c r="AD8" s="1032"/>
      <c r="AE8" s="1050"/>
    </row>
    <row r="9" spans="2:34" ht="13.5" customHeight="1" thickBot="1">
      <c r="B9" s="707" t="s">
        <v>236</v>
      </c>
      <c r="C9" s="719">
        <f>IS!C9</f>
        <v>1411.0920000000001</v>
      </c>
      <c r="D9" s="719">
        <f>IS!D9</f>
        <v>1356.933</v>
      </c>
      <c r="E9" s="719">
        <f>IS!E9</f>
        <v>1339.6930000000002</v>
      </c>
      <c r="F9" s="719">
        <f>IS!F9</f>
        <v>1001.3860000000001</v>
      </c>
      <c r="G9" s="719">
        <f>IS!G9</f>
        <v>956.57899999999995</v>
      </c>
      <c r="H9" s="720">
        <f>SUM(T9:W9)</f>
        <v>962.2095599999999</v>
      </c>
      <c r="I9" s="720">
        <f>SUM(X9:AA9)</f>
        <v>976.64270339999985</v>
      </c>
      <c r="J9" s="720">
        <f>SUM(AB9:AE9)</f>
        <v>991.29234395099979</v>
      </c>
      <c r="M9" s="17"/>
      <c r="N9" s="17"/>
      <c r="O9" s="17"/>
      <c r="P9" s="17"/>
      <c r="Q9" s="17"/>
      <c r="S9" s="605" t="s">
        <v>236</v>
      </c>
      <c r="T9" s="1034">
        <v>240.15100000000001</v>
      </c>
      <c r="U9" s="187">
        <v>241.1</v>
      </c>
      <c r="V9" s="646">
        <f>IS!AD9*(1+V21)</f>
        <v>245.31612000000001</v>
      </c>
      <c r="W9" s="1051">
        <f>IS!AE9*(1+W21)</f>
        <v>235.64243999999999</v>
      </c>
      <c r="X9" s="1055">
        <f>T9*(1+X21)</f>
        <v>243.753265</v>
      </c>
      <c r="Y9" s="647">
        <f t="shared" ref="Y9:AE9" si="1">U9*(1+Y21)</f>
        <v>244.71649999999997</v>
      </c>
      <c r="Z9" s="647">
        <f t="shared" si="1"/>
        <v>248.9958618</v>
      </c>
      <c r="AA9" s="1056">
        <f t="shared" si="1"/>
        <v>239.17707659999996</v>
      </c>
      <c r="AB9" s="1055">
        <f t="shared" si="1"/>
        <v>247.40956397499997</v>
      </c>
      <c r="AC9" s="647">
        <f t="shared" si="1"/>
        <v>248.38724749999994</v>
      </c>
      <c r="AD9" s="647">
        <f t="shared" si="1"/>
        <v>252.73079972699998</v>
      </c>
      <c r="AE9" s="1056">
        <f t="shared" si="1"/>
        <v>242.76473274899993</v>
      </c>
    </row>
    <row r="10" spans="2:34" ht="13.5" customHeight="1" thickBot="1">
      <c r="B10" s="708" t="s">
        <v>235</v>
      </c>
      <c r="C10" s="579">
        <f t="shared" ref="C10:G10" si="2">C9*C21</f>
        <v>334.42880400000001</v>
      </c>
      <c r="D10" s="579">
        <f t="shared" si="2"/>
        <v>321.593121</v>
      </c>
      <c r="E10" s="579">
        <f t="shared" si="2"/>
        <v>322.86601300000007</v>
      </c>
      <c r="F10" s="579">
        <f t="shared" si="2"/>
        <v>256.35481600000003</v>
      </c>
      <c r="G10" s="579">
        <f t="shared" si="2"/>
        <v>234.36185499999999</v>
      </c>
      <c r="H10" s="579">
        <f>SUM(T10:W10)</f>
        <v>247.61063999999999</v>
      </c>
      <c r="I10" s="579">
        <f>SUM(X10:AA10)</f>
        <v>253.92710288399999</v>
      </c>
      <c r="J10" s="579">
        <f>SUM(AB10:AE10)</f>
        <v>247.82308598774995</v>
      </c>
      <c r="L10" s="522" t="s">
        <v>269</v>
      </c>
      <c r="M10" s="525">
        <v>1</v>
      </c>
      <c r="O10" s="548" t="s">
        <v>311</v>
      </c>
      <c r="P10" s="662">
        <v>5.0000000000000001E-3</v>
      </c>
      <c r="R10" s="482"/>
      <c r="S10" s="590" t="s">
        <v>235</v>
      </c>
      <c r="T10" s="1035">
        <v>63.210999999999999</v>
      </c>
      <c r="U10" s="80">
        <v>64.16</v>
      </c>
      <c r="V10" s="187">
        <f t="shared" ref="V10:AE10" si="3">V$9*V22</f>
        <v>61.329030000000003</v>
      </c>
      <c r="W10" s="645">
        <f t="shared" si="3"/>
        <v>58.910609999999998</v>
      </c>
      <c r="X10" s="1046">
        <f t="shared" si="3"/>
        <v>63.375848900000001</v>
      </c>
      <c r="Y10" s="187">
        <f t="shared" si="3"/>
        <v>63.626289999999997</v>
      </c>
      <c r="Z10" s="187">
        <f t="shared" si="3"/>
        <v>64.738924068000003</v>
      </c>
      <c r="AA10" s="645">
        <f t="shared" si="3"/>
        <v>62.186039915999991</v>
      </c>
      <c r="AB10" s="1046">
        <f t="shared" si="3"/>
        <v>61.852390993749992</v>
      </c>
      <c r="AC10" s="187">
        <f t="shared" si="3"/>
        <v>62.096811874999986</v>
      </c>
      <c r="AD10" s="187">
        <f t="shared" si="3"/>
        <v>63.182699931749994</v>
      </c>
      <c r="AE10" s="645">
        <f t="shared" si="3"/>
        <v>60.691183187249983</v>
      </c>
    </row>
    <row r="11" spans="2:34" ht="13.5" customHeight="1">
      <c r="B11" s="708" t="s">
        <v>234</v>
      </c>
      <c r="C11" s="580">
        <f t="shared" ref="C11:G11" si="4">C9*C22</f>
        <v>557.38134000000002</v>
      </c>
      <c r="D11" s="580">
        <f t="shared" si="4"/>
        <v>516.99147300000004</v>
      </c>
      <c r="E11" s="580">
        <f t="shared" si="4"/>
        <v>501.04518200000007</v>
      </c>
      <c r="F11" s="580">
        <f t="shared" si="4"/>
        <v>377.52252200000004</v>
      </c>
      <c r="G11" s="580">
        <f t="shared" si="4"/>
        <v>364.45659899999998</v>
      </c>
      <c r="H11" s="579">
        <f>SUM(T11:W11)</f>
        <v>362.1998744</v>
      </c>
      <c r="I11" s="579">
        <f>SUM(X11:AA11)</f>
        <v>361.35780025799994</v>
      </c>
      <c r="J11" s="579">
        <f>SUM(AB11:AE11)</f>
        <v>366.77816726186995</v>
      </c>
      <c r="R11" s="473"/>
      <c r="S11" s="590" t="s">
        <v>234</v>
      </c>
      <c r="T11" s="1035">
        <v>94.64</v>
      </c>
      <c r="U11" s="80">
        <v>92.01</v>
      </c>
      <c r="V11" s="187">
        <f t="shared" ref="V11:AE11" si="5">V$9*V23</f>
        <v>89.540383800000001</v>
      </c>
      <c r="W11" s="645">
        <f t="shared" si="5"/>
        <v>86.009490599999992</v>
      </c>
      <c r="X11" s="1046">
        <f t="shared" si="5"/>
        <v>90.188708050000002</v>
      </c>
      <c r="Y11" s="187">
        <f t="shared" si="5"/>
        <v>90.545104999999992</v>
      </c>
      <c r="Z11" s="187">
        <f t="shared" si="5"/>
        <v>92.128468866000006</v>
      </c>
      <c r="AA11" s="645">
        <f t="shared" si="5"/>
        <v>88.495518341999983</v>
      </c>
      <c r="AB11" s="1046">
        <f t="shared" si="5"/>
        <v>91.541538670749986</v>
      </c>
      <c r="AC11" s="187">
        <f t="shared" si="5"/>
        <v>91.90328157499998</v>
      </c>
      <c r="AD11" s="187">
        <f t="shared" si="5"/>
        <v>93.510395898989984</v>
      </c>
      <c r="AE11" s="645">
        <f t="shared" si="5"/>
        <v>89.822951117129975</v>
      </c>
    </row>
    <row r="12" spans="2:34" ht="13.5" customHeight="1">
      <c r="B12" s="707" t="s">
        <v>233</v>
      </c>
      <c r="C12" s="581">
        <v>49.46</v>
      </c>
      <c r="D12" s="581">
        <v>48.396000000000001</v>
      </c>
      <c r="E12" s="581">
        <v>50.798999999999999</v>
      </c>
      <c r="F12" s="581">
        <v>56.826999999999998</v>
      </c>
      <c r="G12" s="581">
        <v>63.872</v>
      </c>
      <c r="H12" s="579">
        <f>SUM(T12:W12)</f>
        <v>61.383306400000002</v>
      </c>
      <c r="I12" s="579">
        <f>SUM(X12:AA12)</f>
        <v>68.364989238000007</v>
      </c>
      <c r="J12" s="579">
        <f>SUM(AB12:AE12)</f>
        <v>69.390464076569998</v>
      </c>
      <c r="M12" s="488" t="s">
        <v>320</v>
      </c>
      <c r="N12" s="520">
        <v>2</v>
      </c>
      <c r="O12" s="520">
        <v>3</v>
      </c>
      <c r="P12" s="520">
        <v>4</v>
      </c>
      <c r="Q12" s="520">
        <v>5</v>
      </c>
      <c r="R12" s="473"/>
      <c r="S12" s="605" t="s">
        <v>233</v>
      </c>
      <c r="T12" s="1036">
        <v>15.340999999999999</v>
      </c>
      <c r="U12" s="639">
        <v>14.78</v>
      </c>
      <c r="V12" s="187">
        <f t="shared" ref="V12:AE12" si="6">V$9*V24</f>
        <v>15.945547800000002</v>
      </c>
      <c r="W12" s="645">
        <f t="shared" si="6"/>
        <v>15.3167586</v>
      </c>
      <c r="X12" s="1046">
        <f t="shared" si="6"/>
        <v>17.062728550000003</v>
      </c>
      <c r="Y12" s="187">
        <f t="shared" si="6"/>
        <v>17.130154999999998</v>
      </c>
      <c r="Z12" s="187">
        <f t="shared" si="6"/>
        <v>17.429710326000002</v>
      </c>
      <c r="AA12" s="645">
        <f t="shared" si="6"/>
        <v>16.742395362</v>
      </c>
      <c r="AB12" s="1046">
        <f t="shared" si="6"/>
        <v>17.318669478250001</v>
      </c>
      <c r="AC12" s="187">
        <f t="shared" si="6"/>
        <v>17.387107324999999</v>
      </c>
      <c r="AD12" s="187">
        <f t="shared" si="6"/>
        <v>17.691155980889999</v>
      </c>
      <c r="AE12" s="645">
        <f t="shared" si="6"/>
        <v>16.993531292429996</v>
      </c>
    </row>
    <row r="13" spans="2:34" ht="13.5" customHeight="1">
      <c r="B13" s="708" t="s">
        <v>1</v>
      </c>
      <c r="C13" s="580">
        <f t="shared" ref="C13:G13" si="7">C9*C24</f>
        <v>246.94110000000001</v>
      </c>
      <c r="D13" s="580">
        <f t="shared" si="7"/>
        <v>234.74940899999999</v>
      </c>
      <c r="E13" s="580">
        <f t="shared" si="7"/>
        <v>235.78596800000003</v>
      </c>
      <c r="F13" s="580">
        <f t="shared" si="7"/>
        <v>172.238392</v>
      </c>
      <c r="G13" s="580">
        <f t="shared" si="7"/>
        <v>167.40132499999999</v>
      </c>
      <c r="H13" s="579">
        <f>SUM(T13:W13)</f>
        <v>166.96795520000003</v>
      </c>
      <c r="I13" s="579">
        <f>SUM(X13:AA13)</f>
        <v>166.02925957799999</v>
      </c>
      <c r="J13" s="579">
        <f>SUM(AB13:AE13)</f>
        <v>168.51969847166998</v>
      </c>
      <c r="L13" s="481" t="s">
        <v>153</v>
      </c>
      <c r="M13" s="724">
        <f>AVERAGE(T26:W26)</f>
        <v>8.7438649704911151E-2</v>
      </c>
      <c r="N13" s="521">
        <f>M13-$P$10</f>
        <v>8.2438649704911146E-2</v>
      </c>
      <c r="O13" s="521">
        <f t="shared" ref="O13:Q13" si="8">N13-$P$10</f>
        <v>7.7438649704911142E-2</v>
      </c>
      <c r="P13" s="521">
        <f t="shared" si="8"/>
        <v>7.2438649704911137E-2</v>
      </c>
      <c r="Q13" s="521">
        <f t="shared" si="8"/>
        <v>6.7438649704911133E-2</v>
      </c>
      <c r="R13" s="473"/>
      <c r="S13" s="590" t="s">
        <v>1</v>
      </c>
      <c r="T13" s="1035">
        <v>42.505000000000003</v>
      </c>
      <c r="U13" s="639">
        <v>42.7</v>
      </c>
      <c r="V13" s="187">
        <f t="shared" ref="V13:AE13" si="9">V$9*V25</f>
        <v>41.703740400000008</v>
      </c>
      <c r="W13" s="645">
        <f t="shared" si="9"/>
        <v>40.059214799999999</v>
      </c>
      <c r="X13" s="1046">
        <f t="shared" si="9"/>
        <v>41.438055050000003</v>
      </c>
      <c r="Y13" s="187">
        <f t="shared" si="9"/>
        <v>41.601804999999999</v>
      </c>
      <c r="Z13" s="187">
        <f t="shared" si="9"/>
        <v>42.329296506000006</v>
      </c>
      <c r="AA13" s="645">
        <f t="shared" si="9"/>
        <v>40.660103021999994</v>
      </c>
      <c r="AB13" s="1046">
        <f t="shared" si="9"/>
        <v>42.059625875750001</v>
      </c>
      <c r="AC13" s="187">
        <f t="shared" si="9"/>
        <v>42.225832074999992</v>
      </c>
      <c r="AD13" s="187">
        <f t="shared" si="9"/>
        <v>42.964235953589998</v>
      </c>
      <c r="AE13" s="645">
        <f t="shared" si="9"/>
        <v>41.270004567329991</v>
      </c>
    </row>
    <row r="14" spans="2:34" ht="13.5" customHeight="1">
      <c r="B14" s="709" t="s">
        <v>11</v>
      </c>
      <c r="C14" s="583">
        <f t="shared" ref="C14:G14" si="10">C9*C25</f>
        <v>95.954256000000015</v>
      </c>
      <c r="D14" s="583">
        <f t="shared" si="10"/>
        <v>92.271444000000002</v>
      </c>
      <c r="E14" s="583">
        <f t="shared" si="10"/>
        <v>103.15636100000002</v>
      </c>
      <c r="F14" s="583">
        <f t="shared" si="10"/>
        <v>80.110880000000009</v>
      </c>
      <c r="G14" s="583">
        <f t="shared" si="10"/>
        <v>86.092109999999991</v>
      </c>
      <c r="H14" s="583">
        <f ca="1">H9*H25</f>
        <v>84.134304659556676</v>
      </c>
      <c r="I14" s="583">
        <f ca="1">I9*I25</f>
        <v>83.014629788999997</v>
      </c>
      <c r="J14" s="583">
        <f ca="1">J9*J25</f>
        <v>82.277264547932987</v>
      </c>
      <c r="L14" s="520" t="s">
        <v>270</v>
      </c>
      <c r="M14" s="724">
        <f>AVERAGE(X26:AA26)</f>
        <v>8.5000000000000006E-2</v>
      </c>
      <c r="N14" s="521">
        <f t="shared" ref="N14:Q14" si="11">M14-$P$10</f>
        <v>0.08</v>
      </c>
      <c r="O14" s="521">
        <f t="shared" si="11"/>
        <v>7.4999999999999997E-2</v>
      </c>
      <c r="P14" s="521">
        <f t="shared" si="11"/>
        <v>6.9999999999999993E-2</v>
      </c>
      <c r="Q14" s="521">
        <f t="shared" si="11"/>
        <v>6.4999999999999988E-2</v>
      </c>
      <c r="S14" s="590" t="s">
        <v>11</v>
      </c>
      <c r="T14" s="1037">
        <v>22.48</v>
      </c>
      <c r="U14" s="648">
        <v>20.77</v>
      </c>
      <c r="V14" s="648">
        <f t="shared" ref="V14:AE14" si="12">V$9*V26</f>
        <v>20.851870200000004</v>
      </c>
      <c r="W14" s="1052">
        <f t="shared" si="12"/>
        <v>20.0296074</v>
      </c>
      <c r="X14" s="1057">
        <f t="shared" si="12"/>
        <v>20.719027525000001</v>
      </c>
      <c r="Y14" s="648">
        <f t="shared" si="12"/>
        <v>20.800902499999999</v>
      </c>
      <c r="Z14" s="648">
        <f t="shared" si="12"/>
        <v>21.164648253000003</v>
      </c>
      <c r="AA14" s="1052">
        <f t="shared" si="12"/>
        <v>20.330051510999997</v>
      </c>
      <c r="AB14" s="1057">
        <f t="shared" si="12"/>
        <v>20.534993809924998</v>
      </c>
      <c r="AC14" s="648">
        <f t="shared" si="12"/>
        <v>20.616141542499996</v>
      </c>
      <c r="AD14" s="648">
        <f t="shared" si="12"/>
        <v>20.976656377340998</v>
      </c>
      <c r="AE14" s="1052">
        <f t="shared" si="12"/>
        <v>20.149472818166995</v>
      </c>
    </row>
    <row r="15" spans="2:34" ht="13.5" customHeight="1">
      <c r="B15" s="584" t="s">
        <v>141</v>
      </c>
      <c r="C15" s="710">
        <v>77.5</v>
      </c>
      <c r="D15" s="710">
        <v>73.400000000000006</v>
      </c>
      <c r="E15" s="710">
        <v>86.3</v>
      </c>
      <c r="F15" s="710">
        <v>69.3</v>
      </c>
      <c r="G15" s="710">
        <v>27.1</v>
      </c>
      <c r="H15" s="710">
        <f ca="1">H9-SUM(H10:H14)</f>
        <v>39.913479340443132</v>
      </c>
      <c r="I15" s="710">
        <f ca="1">I9-SUM(I10:I14)</f>
        <v>43.948921652999957</v>
      </c>
      <c r="J15" s="710">
        <f ca="1">J9-SUM(J10:J14)</f>
        <v>56.503663605206953</v>
      </c>
      <c r="L15" s="520" t="s">
        <v>271</v>
      </c>
      <c r="M15" s="724">
        <f>AVERAGE(AB26:AE26)</f>
        <v>8.3000000000000004E-2</v>
      </c>
      <c r="N15" s="521">
        <f t="shared" ref="N15:Q15" si="13">M15-$P$10</f>
        <v>7.8E-2</v>
      </c>
      <c r="O15" s="521">
        <f t="shared" si="13"/>
        <v>7.2999999999999995E-2</v>
      </c>
      <c r="P15" s="521">
        <f t="shared" si="13"/>
        <v>6.7999999999999991E-2</v>
      </c>
      <c r="Q15" s="521">
        <f t="shared" si="13"/>
        <v>6.2999999999999987E-2</v>
      </c>
      <c r="S15" s="629" t="s">
        <v>141</v>
      </c>
      <c r="T15" s="1038">
        <f>T9-SUM(T10:T14)-0.258</f>
        <v>1.716000000000018</v>
      </c>
      <c r="U15" s="643">
        <f>U9-SUM(U10:U14)</f>
        <v>6.67999999999995</v>
      </c>
      <c r="V15" s="643">
        <f t="shared" ref="V15:AE15" si="14">V9-SUM(V10:V14)</f>
        <v>15.945547799999957</v>
      </c>
      <c r="W15" s="644">
        <f t="shared" si="14"/>
        <v>15.316758600000014</v>
      </c>
      <c r="X15" s="1058">
        <f t="shared" si="14"/>
        <v>10.968896924999996</v>
      </c>
      <c r="Y15" s="643">
        <f t="shared" si="14"/>
        <v>11.012242499999985</v>
      </c>
      <c r="Z15" s="643">
        <f t="shared" si="14"/>
        <v>11.204813780999984</v>
      </c>
      <c r="AA15" s="644">
        <f t="shared" si="14"/>
        <v>10.76296844700002</v>
      </c>
      <c r="AB15" s="1058">
        <f t="shared" si="14"/>
        <v>14.102345146575004</v>
      </c>
      <c r="AC15" s="643">
        <f t="shared" si="14"/>
        <v>14.158073107500002</v>
      </c>
      <c r="AD15" s="643">
        <f t="shared" si="14"/>
        <v>14.405655584439018</v>
      </c>
      <c r="AE15" s="644">
        <f t="shared" si="14"/>
        <v>13.837589766693014</v>
      </c>
    </row>
    <row r="16" spans="2:34" s="489" customFormat="1" ht="13.5" customHeight="1">
      <c r="B16" s="609" t="s">
        <v>237</v>
      </c>
      <c r="C16" s="585">
        <f t="shared" ref="C16:G16" si="15">C15/C9</f>
        <v>5.4922003668081171E-2</v>
      </c>
      <c r="D16" s="585">
        <f t="shared" si="15"/>
        <v>5.4092574946589117E-2</v>
      </c>
      <c r="E16" s="585">
        <f t="shared" si="15"/>
        <v>6.441774346809305E-2</v>
      </c>
      <c r="F16" s="585">
        <f t="shared" si="15"/>
        <v>6.9204083140766884E-2</v>
      </c>
      <c r="G16" s="585">
        <f t="shared" si="15"/>
        <v>2.8330122237682411E-2</v>
      </c>
      <c r="H16" s="585">
        <f ca="1">H15/H9</f>
        <v>4.1481067118521599E-2</v>
      </c>
      <c r="I16" s="585">
        <f ca="1">I15/I9</f>
        <v>4.4999999999999964E-2</v>
      </c>
      <c r="J16" s="585">
        <f ca="1">J15/J9</f>
        <v>5.6999999999999967E-2</v>
      </c>
      <c r="L16" s="17"/>
      <c r="M16" s="17"/>
      <c r="N16" s="17"/>
      <c r="O16" s="17"/>
      <c r="P16" s="17"/>
      <c r="Q16" s="218"/>
      <c r="R16" s="258"/>
      <c r="S16" s="1064" t="s">
        <v>237</v>
      </c>
      <c r="T16" s="1039">
        <f>T15/T9</f>
        <v>7.1455042868862418E-3</v>
      </c>
      <c r="U16" s="637">
        <f>U15/U9</f>
        <v>2.7706345914558068E-2</v>
      </c>
      <c r="V16" s="637">
        <f t="shared" ref="V16:AE16" si="16">V15/V9</f>
        <v>6.4999999999999822E-2</v>
      </c>
      <c r="W16" s="638">
        <f t="shared" si="16"/>
        <v>6.5000000000000058E-2</v>
      </c>
      <c r="X16" s="1039">
        <f t="shared" si="16"/>
        <v>4.4999999999999984E-2</v>
      </c>
      <c r="Y16" s="637">
        <f t="shared" si="16"/>
        <v>4.4999999999999943E-2</v>
      </c>
      <c r="Z16" s="637">
        <f t="shared" si="16"/>
        <v>4.4999999999999936E-2</v>
      </c>
      <c r="AA16" s="638">
        <f t="shared" si="16"/>
        <v>4.5000000000000089E-2</v>
      </c>
      <c r="AB16" s="1039">
        <f t="shared" si="16"/>
        <v>5.7000000000000023E-2</v>
      </c>
      <c r="AC16" s="637">
        <f t="shared" si="16"/>
        <v>5.7000000000000023E-2</v>
      </c>
      <c r="AD16" s="637">
        <f t="shared" si="16"/>
        <v>5.7000000000000071E-2</v>
      </c>
      <c r="AE16" s="638">
        <f t="shared" si="16"/>
        <v>5.7000000000000071E-2</v>
      </c>
      <c r="AF16" s="110"/>
      <c r="AG16" s="110"/>
      <c r="AH16" s="110"/>
    </row>
    <row r="17" spans="2:34" s="495" customFormat="1" ht="13.5" customHeight="1">
      <c r="B17" s="584" t="s">
        <v>10</v>
      </c>
      <c r="C17" s="710">
        <f>C15+C12</f>
        <v>126.96000000000001</v>
      </c>
      <c r="D17" s="710">
        <f t="shared" ref="D17:G17" si="17">D15+D12</f>
        <v>121.79600000000001</v>
      </c>
      <c r="E17" s="710">
        <f t="shared" si="17"/>
        <v>137.09899999999999</v>
      </c>
      <c r="F17" s="710">
        <f t="shared" si="17"/>
        <v>126.127</v>
      </c>
      <c r="G17" s="710">
        <f t="shared" si="17"/>
        <v>90.972000000000008</v>
      </c>
      <c r="H17" s="710">
        <f ca="1">H15+H12</f>
        <v>101.29678574044314</v>
      </c>
      <c r="I17" s="710">
        <f ca="1">I15+I12</f>
        <v>112.31391089099996</v>
      </c>
      <c r="J17" s="710">
        <f ca="1">J15+J12</f>
        <v>125.89412768177695</v>
      </c>
      <c r="L17" s="497" t="s">
        <v>310</v>
      </c>
      <c r="M17" s="498"/>
      <c r="N17" s="498"/>
      <c r="O17" s="498"/>
      <c r="P17" s="498"/>
      <c r="Q17" s="499"/>
      <c r="R17" s="496"/>
      <c r="S17" s="629" t="s">
        <v>10</v>
      </c>
      <c r="T17" s="1040">
        <f>T15+T12</f>
        <v>17.057000000000016</v>
      </c>
      <c r="U17" s="641">
        <f t="shared" ref="U17:AE17" si="18">U15+U12</f>
        <v>21.459999999999951</v>
      </c>
      <c r="V17" s="641">
        <f t="shared" si="18"/>
        <v>31.891095599999957</v>
      </c>
      <c r="W17" s="642">
        <f t="shared" si="18"/>
        <v>30.633517200000014</v>
      </c>
      <c r="X17" s="1040">
        <f t="shared" si="18"/>
        <v>28.031625474999998</v>
      </c>
      <c r="Y17" s="641">
        <f t="shared" si="18"/>
        <v>28.142397499999984</v>
      </c>
      <c r="Z17" s="641">
        <f t="shared" si="18"/>
        <v>28.634524106999987</v>
      </c>
      <c r="AA17" s="642">
        <f t="shared" si="18"/>
        <v>27.50536380900002</v>
      </c>
      <c r="AB17" s="1040">
        <f t="shared" si="18"/>
        <v>31.421014624825006</v>
      </c>
      <c r="AC17" s="641">
        <f t="shared" si="18"/>
        <v>31.5451804325</v>
      </c>
      <c r="AD17" s="641">
        <f t="shared" si="18"/>
        <v>32.09681156532902</v>
      </c>
      <c r="AE17" s="642">
        <f t="shared" si="18"/>
        <v>30.83112105912301</v>
      </c>
      <c r="AF17" s="496"/>
      <c r="AG17" s="496"/>
      <c r="AH17" s="496"/>
    </row>
    <row r="18" spans="2:34" s="489" customFormat="1" ht="13.5" customHeight="1" thickBot="1">
      <c r="B18" s="609" t="s">
        <v>237</v>
      </c>
      <c r="C18" s="585">
        <f>C17/C9</f>
        <v>8.9972872073543042E-2</v>
      </c>
      <c r="D18" s="585">
        <f t="shared" ref="D18:G18" si="19">D17/D9</f>
        <v>8.9758300520364681E-2</v>
      </c>
      <c r="E18" s="585">
        <f t="shared" si="19"/>
        <v>0.10233613223328029</v>
      </c>
      <c r="F18" s="585">
        <f t="shared" si="19"/>
        <v>0.12595242993211408</v>
      </c>
      <c r="G18" s="585">
        <f t="shared" si="19"/>
        <v>9.5101397793595735E-2</v>
      </c>
      <c r="H18" s="585">
        <f ca="1">H17/H9</f>
        <v>0.1052751811574634</v>
      </c>
      <c r="I18" s="585">
        <f ca="1">I17/I9</f>
        <v>0.11499999999999998</v>
      </c>
      <c r="J18" s="585">
        <f ca="1">J17/J9</f>
        <v>0.12699999999999997</v>
      </c>
      <c r="L18" s="495"/>
      <c r="M18" s="495"/>
      <c r="N18" s="495"/>
      <c r="O18" s="495"/>
      <c r="P18" s="495"/>
      <c r="Q18" s="495"/>
      <c r="R18" s="110"/>
      <c r="S18" s="1064" t="s">
        <v>237</v>
      </c>
      <c r="T18" s="703">
        <f>T17/T9</f>
        <v>7.1026146049777084E-2</v>
      </c>
      <c r="U18" s="635">
        <f t="shared" ref="U18:AE18" si="20">U17/U9</f>
        <v>8.9008710078805273E-2</v>
      </c>
      <c r="V18" s="635">
        <f t="shared" si="20"/>
        <v>0.12999999999999981</v>
      </c>
      <c r="W18" s="636">
        <f t="shared" si="20"/>
        <v>0.13000000000000006</v>
      </c>
      <c r="X18" s="703">
        <f t="shared" si="20"/>
        <v>0.11499999999999999</v>
      </c>
      <c r="Y18" s="635">
        <f t="shared" si="20"/>
        <v>0.11499999999999995</v>
      </c>
      <c r="Z18" s="635">
        <f t="shared" si="20"/>
        <v>0.11499999999999995</v>
      </c>
      <c r="AA18" s="636">
        <f t="shared" si="20"/>
        <v>0.1150000000000001</v>
      </c>
      <c r="AB18" s="703">
        <f t="shared" si="20"/>
        <v>0.12700000000000003</v>
      </c>
      <c r="AC18" s="635">
        <f t="shared" si="20"/>
        <v>0.12700000000000003</v>
      </c>
      <c r="AD18" s="635">
        <f t="shared" si="20"/>
        <v>0.12700000000000009</v>
      </c>
      <c r="AE18" s="636">
        <f t="shared" si="20"/>
        <v>0.12700000000000009</v>
      </c>
      <c r="AF18" s="614"/>
      <c r="AG18" s="110"/>
      <c r="AH18" s="110"/>
    </row>
    <row r="19" spans="2:34" s="495" customFormat="1" ht="13.5" customHeight="1" thickBot="1">
      <c r="B19" s="586"/>
      <c r="C19" s="587"/>
      <c r="D19" s="587"/>
      <c r="E19" s="587"/>
      <c r="F19" s="587"/>
      <c r="G19" s="587"/>
      <c r="H19" s="587"/>
      <c r="I19" s="587"/>
      <c r="J19" s="587"/>
      <c r="L19" s="522" t="s">
        <v>269</v>
      </c>
      <c r="M19" s="525">
        <v>1</v>
      </c>
      <c r="N19" s="488"/>
      <c r="O19" s="548" t="s">
        <v>311</v>
      </c>
      <c r="P19" s="662">
        <v>5.0000000000000001E-3</v>
      </c>
      <c r="Q19" s="520"/>
      <c r="R19" s="496"/>
      <c r="S19" s="630"/>
      <c r="T19" s="1041"/>
      <c r="U19" s="171"/>
      <c r="V19" s="177"/>
      <c r="W19" s="310"/>
      <c r="X19" s="681"/>
      <c r="Y19" s="177"/>
      <c r="Z19" s="177"/>
      <c r="AA19" s="310"/>
      <c r="AB19" s="681"/>
      <c r="AC19" s="177"/>
      <c r="AD19" s="177"/>
      <c r="AE19" s="310"/>
      <c r="AF19" s="496"/>
      <c r="AG19" s="496"/>
      <c r="AH19" s="496"/>
    </row>
    <row r="20" spans="2:34" s="55" customFormat="1" ht="13.5" customHeight="1">
      <c r="B20" s="497" t="s">
        <v>308</v>
      </c>
      <c r="C20" s="499"/>
      <c r="D20" s="499"/>
      <c r="E20" s="499"/>
      <c r="F20" s="499"/>
      <c r="G20" s="499"/>
      <c r="H20" s="499"/>
      <c r="I20" s="499"/>
      <c r="J20" s="499"/>
      <c r="R20" s="218"/>
      <c r="S20" s="670" t="s">
        <v>87</v>
      </c>
      <c r="T20" s="826"/>
      <c r="U20" s="183"/>
      <c r="V20" s="177"/>
      <c r="W20" s="310"/>
      <c r="X20" s="681"/>
      <c r="Y20" s="177"/>
      <c r="Z20" s="177"/>
      <c r="AA20" s="310"/>
      <c r="AB20" s="681"/>
      <c r="AC20" s="177"/>
      <c r="AD20" s="177"/>
      <c r="AE20" s="310"/>
      <c r="AF20" s="526"/>
      <c r="AG20" s="483"/>
      <c r="AH20" s="483"/>
    </row>
    <row r="21" spans="2:34" s="55" customFormat="1" ht="13.5" customHeight="1">
      <c r="B21" s="708" t="s">
        <v>231</v>
      </c>
      <c r="C21" s="589">
        <v>0.23699999999999999</v>
      </c>
      <c r="D21" s="589">
        <v>0.23699999999999999</v>
      </c>
      <c r="E21" s="589">
        <v>0.24099999999999999</v>
      </c>
      <c r="F21" s="589">
        <v>0.25600000000000001</v>
      </c>
      <c r="G21" s="589">
        <v>0.245</v>
      </c>
      <c r="H21" s="608">
        <f t="shared" ref="H21:J24" si="21">H10/H$9</f>
        <v>0.2573354602712532</v>
      </c>
      <c r="I21" s="608">
        <f t="shared" si="21"/>
        <v>0.26</v>
      </c>
      <c r="J21" s="608">
        <f t="shared" si="21"/>
        <v>0.25</v>
      </c>
      <c r="L21" s="17"/>
      <c r="M21" s="488" t="s">
        <v>320</v>
      </c>
      <c r="N21" s="520">
        <v>2</v>
      </c>
      <c r="O21" s="520">
        <v>3</v>
      </c>
      <c r="P21" s="520">
        <v>4</v>
      </c>
      <c r="Q21" s="520">
        <v>5</v>
      </c>
      <c r="R21" s="218"/>
      <c r="S21" s="78" t="s">
        <v>300</v>
      </c>
      <c r="T21" s="692">
        <v>-0.02</v>
      </c>
      <c r="U21" s="649">
        <v>0</v>
      </c>
      <c r="V21" s="650">
        <v>0.02</v>
      </c>
      <c r="W21" s="652">
        <f>V21</f>
        <v>0.02</v>
      </c>
      <c r="X21" s="1059">
        <v>1.4999999999999999E-2</v>
      </c>
      <c r="Y21" s="651">
        <f t="shared" ref="Y21:AE23" si="22">X21</f>
        <v>1.4999999999999999E-2</v>
      </c>
      <c r="Z21" s="651">
        <f t="shared" si="22"/>
        <v>1.4999999999999999E-2</v>
      </c>
      <c r="AA21" s="652">
        <f t="shared" si="22"/>
        <v>1.4999999999999999E-2</v>
      </c>
      <c r="AB21" s="1059">
        <v>1.4999999999999999E-2</v>
      </c>
      <c r="AC21" s="651">
        <f>AB21</f>
        <v>1.4999999999999999E-2</v>
      </c>
      <c r="AD21" s="651">
        <f t="shared" ref="AD21:AE21" si="23">AC21</f>
        <v>1.4999999999999999E-2</v>
      </c>
      <c r="AE21" s="652">
        <f t="shared" si="23"/>
        <v>1.4999999999999999E-2</v>
      </c>
      <c r="AF21" s="483"/>
      <c r="AG21" s="483"/>
      <c r="AH21" s="483"/>
    </row>
    <row r="22" spans="2:34" ht="13.5" customHeight="1">
      <c r="B22" s="708" t="s">
        <v>232</v>
      </c>
      <c r="C22" s="589">
        <v>0.39500000000000002</v>
      </c>
      <c r="D22" s="589">
        <v>0.38100000000000001</v>
      </c>
      <c r="E22" s="589">
        <v>0.374</v>
      </c>
      <c r="F22" s="589">
        <v>0.377</v>
      </c>
      <c r="G22" s="589">
        <v>0.38100000000000001</v>
      </c>
      <c r="H22" s="608">
        <f t="shared" si="21"/>
        <v>0.37642514630596691</v>
      </c>
      <c r="I22" s="608">
        <f t="shared" si="21"/>
        <v>0.37</v>
      </c>
      <c r="J22" s="608">
        <f t="shared" si="21"/>
        <v>0.37000000000000005</v>
      </c>
      <c r="L22" s="481" t="s">
        <v>153</v>
      </c>
      <c r="M22" s="724">
        <f>AVERAGE(T46:W46)</f>
        <v>0.1738640497210524</v>
      </c>
      <c r="N22" s="521">
        <f t="shared" ref="N22:Q24" si="24">M22-$P$19</f>
        <v>0.1688640497210524</v>
      </c>
      <c r="O22" s="521">
        <f t="shared" si="24"/>
        <v>0.1638640497210524</v>
      </c>
      <c r="P22" s="521">
        <f t="shared" si="24"/>
        <v>0.15886404972105239</v>
      </c>
      <c r="Q22" s="521">
        <f t="shared" si="24"/>
        <v>0.15386404972105239</v>
      </c>
      <c r="S22" s="590" t="s">
        <v>231</v>
      </c>
      <c r="T22" s="688">
        <f>T10/T9</f>
        <v>0.26321356146757663</v>
      </c>
      <c r="U22" s="49">
        <f>U10/U9</f>
        <v>0.26611364579012858</v>
      </c>
      <c r="V22" s="172">
        <v>0.25</v>
      </c>
      <c r="W22" s="573">
        <f>V22</f>
        <v>0.25</v>
      </c>
      <c r="X22" s="1060">
        <v>0.26</v>
      </c>
      <c r="Y22" s="574">
        <f t="shared" si="22"/>
        <v>0.26</v>
      </c>
      <c r="Z22" s="574">
        <f t="shared" si="22"/>
        <v>0.26</v>
      </c>
      <c r="AA22" s="573">
        <f t="shared" si="22"/>
        <v>0.26</v>
      </c>
      <c r="AB22" s="1060">
        <v>0.25</v>
      </c>
      <c r="AC22" s="574">
        <f t="shared" si="22"/>
        <v>0.25</v>
      </c>
      <c r="AD22" s="574">
        <f t="shared" si="22"/>
        <v>0.25</v>
      </c>
      <c r="AE22" s="573">
        <f t="shared" si="22"/>
        <v>0.25</v>
      </c>
    </row>
    <row r="23" spans="2:34" ht="13.5" customHeight="1">
      <c r="B23" s="707" t="s">
        <v>307</v>
      </c>
      <c r="C23" s="608">
        <f>C12/C$9</f>
        <v>3.5050868405461864E-2</v>
      </c>
      <c r="D23" s="608">
        <f>D12/D$9</f>
        <v>3.5665725573775564E-2</v>
      </c>
      <c r="E23" s="608">
        <f>E12/E$9</f>
        <v>3.7918388765187244E-2</v>
      </c>
      <c r="F23" s="608">
        <f>F12/F$9</f>
        <v>5.6748346791347187E-2</v>
      </c>
      <c r="G23" s="608">
        <f>G12/G$9</f>
        <v>6.677127555591332E-2</v>
      </c>
      <c r="H23" s="608">
        <f t="shared" si="21"/>
        <v>6.3794114038941793E-2</v>
      </c>
      <c r="I23" s="608">
        <f t="shared" si="21"/>
        <v>7.0000000000000021E-2</v>
      </c>
      <c r="J23" s="608">
        <f t="shared" si="21"/>
        <v>7.0000000000000007E-2</v>
      </c>
      <c r="L23" s="520" t="s">
        <v>270</v>
      </c>
      <c r="M23" s="724">
        <f>AVERAGE(X46:AA46)</f>
        <v>0.16500000000000001</v>
      </c>
      <c r="N23" s="521">
        <f t="shared" si="24"/>
        <v>0.16</v>
      </c>
      <c r="O23" s="521">
        <f t="shared" si="24"/>
        <v>0.155</v>
      </c>
      <c r="P23" s="521">
        <f t="shared" si="24"/>
        <v>0.15</v>
      </c>
      <c r="Q23" s="521">
        <f t="shared" si="24"/>
        <v>0.14499999999999999</v>
      </c>
      <c r="S23" s="590" t="s">
        <v>232</v>
      </c>
      <c r="T23" s="1042">
        <f t="shared" ref="T23:U26" si="25">T11/T$9</f>
        <v>0.39408538794341891</v>
      </c>
      <c r="U23" s="653">
        <f t="shared" si="25"/>
        <v>0.38162588137702202</v>
      </c>
      <c r="V23" s="172">
        <v>0.36499999999999999</v>
      </c>
      <c r="W23" s="573">
        <f>V23</f>
        <v>0.36499999999999999</v>
      </c>
      <c r="X23" s="1060">
        <v>0.37</v>
      </c>
      <c r="Y23" s="574">
        <f t="shared" si="22"/>
        <v>0.37</v>
      </c>
      <c r="Z23" s="574">
        <f t="shared" si="22"/>
        <v>0.37</v>
      </c>
      <c r="AA23" s="573">
        <f t="shared" si="22"/>
        <v>0.37</v>
      </c>
      <c r="AB23" s="1060">
        <v>0.37</v>
      </c>
      <c r="AC23" s="574">
        <f t="shared" si="22"/>
        <v>0.37</v>
      </c>
      <c r="AD23" s="574">
        <f t="shared" si="22"/>
        <v>0.37</v>
      </c>
      <c r="AE23" s="573">
        <f t="shared" si="22"/>
        <v>0.37</v>
      </c>
      <c r="AF23" s="526"/>
    </row>
    <row r="24" spans="2:34" ht="13.5" customHeight="1">
      <c r="B24" s="708" t="s">
        <v>266</v>
      </c>
      <c r="C24" s="589">
        <v>0.17499999999999999</v>
      </c>
      <c r="D24" s="589">
        <v>0.17299999999999999</v>
      </c>
      <c r="E24" s="589">
        <v>0.17599999999999999</v>
      </c>
      <c r="F24" s="589">
        <v>0.17199999999999999</v>
      </c>
      <c r="G24" s="589">
        <v>0.17499999999999999</v>
      </c>
      <c r="H24" s="608">
        <f t="shared" si="21"/>
        <v>0.1735255625604053</v>
      </c>
      <c r="I24" s="608">
        <f t="shared" si="21"/>
        <v>0.17</v>
      </c>
      <c r="J24" s="608">
        <f t="shared" si="21"/>
        <v>0.17</v>
      </c>
      <c r="L24" s="520" t="s">
        <v>271</v>
      </c>
      <c r="M24" s="724">
        <f>AVERAGE(AB46:AE46)</f>
        <v>0.16</v>
      </c>
      <c r="N24" s="521">
        <f t="shared" si="24"/>
        <v>0.155</v>
      </c>
      <c r="O24" s="521">
        <f t="shared" si="24"/>
        <v>0.15</v>
      </c>
      <c r="P24" s="521">
        <f t="shared" si="24"/>
        <v>0.14499999999999999</v>
      </c>
      <c r="Q24" s="521">
        <f t="shared" si="24"/>
        <v>0.13999999999999999</v>
      </c>
      <c r="S24" s="605" t="s">
        <v>307</v>
      </c>
      <c r="T24" s="1042">
        <f t="shared" si="25"/>
        <v>6.3880641762890836E-2</v>
      </c>
      <c r="U24" s="653">
        <f t="shared" si="25"/>
        <v>6.1302364164247197E-2</v>
      </c>
      <c r="V24" s="172">
        <v>6.5000000000000002E-2</v>
      </c>
      <c r="W24" s="573">
        <f t="shared" ref="W24:AE24" si="26">V24</f>
        <v>6.5000000000000002E-2</v>
      </c>
      <c r="X24" s="1060">
        <v>7.0000000000000007E-2</v>
      </c>
      <c r="Y24" s="574">
        <f t="shared" si="26"/>
        <v>7.0000000000000007E-2</v>
      </c>
      <c r="Z24" s="574">
        <f t="shared" si="26"/>
        <v>7.0000000000000007E-2</v>
      </c>
      <c r="AA24" s="573">
        <f t="shared" si="26"/>
        <v>7.0000000000000007E-2</v>
      </c>
      <c r="AB24" s="1060">
        <v>7.0000000000000007E-2</v>
      </c>
      <c r="AC24" s="574">
        <f t="shared" si="26"/>
        <v>7.0000000000000007E-2</v>
      </c>
      <c r="AD24" s="574">
        <f t="shared" si="26"/>
        <v>7.0000000000000007E-2</v>
      </c>
      <c r="AE24" s="573">
        <f t="shared" si="26"/>
        <v>7.0000000000000007E-2</v>
      </c>
      <c r="AF24" s="526"/>
    </row>
    <row r="25" spans="2:34" ht="13.5" customHeight="1" thickBot="1">
      <c r="B25" s="712" t="s">
        <v>265</v>
      </c>
      <c r="C25" s="589">
        <v>6.8000000000000005E-2</v>
      </c>
      <c r="D25" s="589">
        <v>6.8000000000000005E-2</v>
      </c>
      <c r="E25" s="589">
        <v>7.6999999999999999E-2</v>
      </c>
      <c r="F25" s="589">
        <v>0.08</v>
      </c>
      <c r="G25" s="589">
        <v>0.09</v>
      </c>
      <c r="H25" s="663">
        <f ca="1">OFFSET($L$13,0,$M$10)</f>
        <v>8.7438649704911151E-2</v>
      </c>
      <c r="I25" s="664">
        <f ca="1">OFFSET($L$14,0,$M$10)</f>
        <v>8.5000000000000006E-2</v>
      </c>
      <c r="J25" s="665">
        <f ca="1">OFFSET(L15,0,$M$10)</f>
        <v>8.3000000000000004E-2</v>
      </c>
      <c r="L25" s="530"/>
      <c r="M25" s="530"/>
      <c r="N25" s="530"/>
      <c r="O25" s="530"/>
      <c r="P25" s="530"/>
      <c r="Q25" s="530"/>
      <c r="S25" s="590" t="s">
        <v>266</v>
      </c>
      <c r="T25" s="1042">
        <f t="shared" si="25"/>
        <v>0.17699280869119846</v>
      </c>
      <c r="U25" s="653">
        <f t="shared" si="25"/>
        <v>0.17710493571132313</v>
      </c>
      <c r="V25" s="172">
        <v>0.17</v>
      </c>
      <c r="W25" s="573">
        <f t="shared" ref="W25:AE25" si="27">V25</f>
        <v>0.17</v>
      </c>
      <c r="X25" s="1060">
        <v>0.17</v>
      </c>
      <c r="Y25" s="574">
        <f t="shared" si="27"/>
        <v>0.17</v>
      </c>
      <c r="Z25" s="574">
        <f t="shared" si="27"/>
        <v>0.17</v>
      </c>
      <c r="AA25" s="573">
        <f t="shared" si="27"/>
        <v>0.17</v>
      </c>
      <c r="AB25" s="1060">
        <v>0.17</v>
      </c>
      <c r="AC25" s="574">
        <f t="shared" si="27"/>
        <v>0.17</v>
      </c>
      <c r="AD25" s="574">
        <f t="shared" si="27"/>
        <v>0.17</v>
      </c>
      <c r="AE25" s="573">
        <f t="shared" si="27"/>
        <v>0.17</v>
      </c>
      <c r="AF25" s="526"/>
    </row>
    <row r="26" spans="2:34" ht="13.5" customHeight="1">
      <c r="B26" s="591"/>
      <c r="C26" s="588"/>
      <c r="D26" s="588"/>
      <c r="E26" s="588"/>
      <c r="F26" s="588"/>
      <c r="G26" s="588"/>
      <c r="H26" s="588"/>
      <c r="I26" s="588"/>
      <c r="J26" s="588"/>
      <c r="S26" s="590" t="s">
        <v>265</v>
      </c>
      <c r="T26" s="1043">
        <f t="shared" si="25"/>
        <v>9.3607771776923684E-2</v>
      </c>
      <c r="U26" s="654">
        <f t="shared" si="25"/>
        <v>8.6146827042720864E-2</v>
      </c>
      <c r="V26" s="655">
        <v>8.5000000000000006E-2</v>
      </c>
      <c r="W26" s="657">
        <f t="shared" ref="W26:AE26" si="28">V26</f>
        <v>8.5000000000000006E-2</v>
      </c>
      <c r="X26" s="1061">
        <v>8.5000000000000006E-2</v>
      </c>
      <c r="Y26" s="656">
        <f t="shared" si="28"/>
        <v>8.5000000000000006E-2</v>
      </c>
      <c r="Z26" s="656">
        <f t="shared" si="28"/>
        <v>8.5000000000000006E-2</v>
      </c>
      <c r="AA26" s="657">
        <f t="shared" si="28"/>
        <v>8.5000000000000006E-2</v>
      </c>
      <c r="AB26" s="1061">
        <v>8.3000000000000004E-2</v>
      </c>
      <c r="AC26" s="656">
        <f t="shared" si="28"/>
        <v>8.3000000000000004E-2</v>
      </c>
      <c r="AD26" s="656">
        <f t="shared" si="28"/>
        <v>8.3000000000000004E-2</v>
      </c>
      <c r="AE26" s="657">
        <f t="shared" si="28"/>
        <v>8.3000000000000004E-2</v>
      </c>
      <c r="AF26" s="526"/>
    </row>
    <row r="27" spans="2:34" ht="13.5" customHeight="1">
      <c r="B27" s="1120" t="s">
        <v>278</v>
      </c>
      <c r="C27" s="1121">
        <f>IS!C41</f>
        <v>-3.5000000000000003E-2</v>
      </c>
      <c r="D27" s="1121">
        <f>IS!D41</f>
        <v>-8.9999999999999993E-3</v>
      </c>
      <c r="E27" s="1121">
        <f>IS!E41</f>
        <v>-6.0000000000000001E-3</v>
      </c>
      <c r="F27" s="1121">
        <f>IS!F41</f>
        <v>0.01</v>
      </c>
      <c r="G27" s="1121">
        <f>IS!G41</f>
        <v>-2.1000000000000001E-2</v>
      </c>
      <c r="H27" s="1122">
        <f>AVERAGE(T21:W21)</f>
        <v>5.0000000000000001E-3</v>
      </c>
      <c r="I27" s="1122">
        <f>AVERAGE(X21:AA21)</f>
        <v>1.4999999999999999E-2</v>
      </c>
      <c r="J27" s="1123">
        <f>AVERAGE(AB21:AE21)</f>
        <v>1.4999999999999999E-2</v>
      </c>
      <c r="M27" s="528" t="s">
        <v>153</v>
      </c>
      <c r="N27" s="529" t="s">
        <v>270</v>
      </c>
      <c r="O27" s="529" t="s">
        <v>271</v>
      </c>
      <c r="P27" s="528" t="s">
        <v>275</v>
      </c>
      <c r="S27" s="590"/>
      <c r="T27" s="1044"/>
      <c r="U27" s="183"/>
      <c r="V27" s="185"/>
      <c r="W27" s="310"/>
      <c r="X27" s="681"/>
      <c r="Y27" s="177"/>
      <c r="Z27" s="177"/>
      <c r="AA27" s="310"/>
      <c r="AB27" s="681"/>
      <c r="AC27" s="177"/>
      <c r="AD27" s="177"/>
      <c r="AE27" s="310"/>
      <c r="AF27" s="526"/>
    </row>
    <row r="28" spans="2:34" ht="13.5" customHeight="1">
      <c r="B28" s="1124" t="s">
        <v>279</v>
      </c>
      <c r="C28" s="592">
        <v>569</v>
      </c>
      <c r="D28" s="592">
        <v>563</v>
      </c>
      <c r="E28" s="592">
        <v>565</v>
      </c>
      <c r="F28" s="592">
        <v>560</v>
      </c>
      <c r="G28" s="592">
        <v>562</v>
      </c>
      <c r="H28" s="711">
        <f>IS!H40</f>
        <v>563</v>
      </c>
      <c r="I28" s="711">
        <f>IS!I40</f>
        <v>571</v>
      </c>
      <c r="J28" s="1125">
        <f>IS!J40</f>
        <v>579</v>
      </c>
      <c r="L28" s="527" t="s">
        <v>342</v>
      </c>
      <c r="M28" s="484">
        <f ca="1">(G14-H14)+(G48-H48)</f>
        <v>6.4426350379358155</v>
      </c>
      <c r="N28" s="484">
        <f ca="1">(H14-I14)+(H48-I48)</f>
        <v>3.2184038230641789</v>
      </c>
      <c r="O28" s="484">
        <f ca="1">(I14-J14)+(I48-J48)</f>
        <v>1.429894343067005</v>
      </c>
      <c r="P28" s="484">
        <f ca="1">SUM(M28:O28)</f>
        <v>11.090933204066999</v>
      </c>
      <c r="S28" s="670" t="s">
        <v>317</v>
      </c>
      <c r="T28" s="1045"/>
      <c r="U28" s="616"/>
      <c r="V28" s="617"/>
      <c r="W28" s="1053"/>
      <c r="X28" s="1062"/>
      <c r="Y28" s="619"/>
      <c r="Z28" s="619"/>
      <c r="AA28" s="618"/>
      <c r="AB28" s="1062"/>
      <c r="AC28" s="619"/>
      <c r="AD28" s="619"/>
      <c r="AE28" s="618"/>
    </row>
    <row r="29" spans="2:34" ht="13.5" customHeight="1">
      <c r="B29" s="1124" t="s">
        <v>267</v>
      </c>
      <c r="C29" s="592">
        <v>491</v>
      </c>
      <c r="D29" s="592">
        <v>486</v>
      </c>
      <c r="E29" s="592">
        <v>489</v>
      </c>
      <c r="F29" s="592">
        <v>482</v>
      </c>
      <c r="G29" s="592">
        <v>480</v>
      </c>
      <c r="H29" s="593">
        <f>G29</f>
        <v>480</v>
      </c>
      <c r="I29" s="593">
        <f>H29</f>
        <v>480</v>
      </c>
      <c r="J29" s="1126">
        <f>I29</f>
        <v>480</v>
      </c>
      <c r="L29" s="527" t="s">
        <v>273</v>
      </c>
      <c r="M29" s="500">
        <f ca="1">M28*(1-IS!H30)</f>
        <v>5.0551293448985852</v>
      </c>
      <c r="N29" s="500">
        <f ca="1">N28*(1-IS!I30)</f>
        <v>2.3172507526062089</v>
      </c>
      <c r="O29" s="500">
        <f ca="1">O28*(1-IS!J30)</f>
        <v>1.0295239270082437</v>
      </c>
      <c r="P29" s="484">
        <f ca="1">SUM(M29:O29)</f>
        <v>8.401904024513037</v>
      </c>
      <c r="S29" s="604" t="s">
        <v>302</v>
      </c>
      <c r="T29" s="1035">
        <v>86.19</v>
      </c>
      <c r="U29" s="80">
        <v>92.13</v>
      </c>
      <c r="V29" s="187">
        <f>(IS!AD11+IS!AD13)*(1+V41)</f>
        <v>101.61852</v>
      </c>
      <c r="W29" s="645">
        <f>(IS!AE11+IS!AE13)*(1+W41)</f>
        <v>97.255980000000008</v>
      </c>
      <c r="X29" s="1046">
        <f>T29*(1+X41)</f>
        <v>87.913799999999995</v>
      </c>
      <c r="Y29" s="187">
        <f t="shared" ref="Y29:AE29" si="29">U29*(1+Y41)</f>
        <v>93.9726</v>
      </c>
      <c r="Z29" s="187">
        <f t="shared" si="29"/>
        <v>103.65089040000001</v>
      </c>
      <c r="AA29" s="645">
        <f t="shared" si="29"/>
        <v>99.201099600000006</v>
      </c>
      <c r="AB29" s="1046">
        <f t="shared" si="29"/>
        <v>89.67207599999999</v>
      </c>
      <c r="AC29" s="187">
        <f t="shared" si="29"/>
        <v>95.852052</v>
      </c>
      <c r="AD29" s="187">
        <f t="shared" si="29"/>
        <v>105.72390820800001</v>
      </c>
      <c r="AE29" s="645">
        <f t="shared" si="29"/>
        <v>101.185121592</v>
      </c>
    </row>
    <row r="30" spans="2:34" ht="13.5" customHeight="1">
      <c r="B30" s="1127" t="s">
        <v>268</v>
      </c>
      <c r="C30" s="1128">
        <f t="shared" ref="C30:J30" si="30">C29/C28</f>
        <v>0.86291739894551844</v>
      </c>
      <c r="D30" s="1128">
        <f t="shared" si="30"/>
        <v>0.86323268206039072</v>
      </c>
      <c r="E30" s="1128">
        <f t="shared" si="30"/>
        <v>0.86548672566371676</v>
      </c>
      <c r="F30" s="1128">
        <f t="shared" si="30"/>
        <v>0.86071428571428577</v>
      </c>
      <c r="G30" s="1128">
        <f t="shared" si="30"/>
        <v>0.85409252669039148</v>
      </c>
      <c r="H30" s="1128">
        <f t="shared" si="30"/>
        <v>0.85257548845470688</v>
      </c>
      <c r="I30" s="1128">
        <f t="shared" si="30"/>
        <v>0.84063047285464099</v>
      </c>
      <c r="J30" s="1129">
        <f t="shared" si="30"/>
        <v>0.82901554404145072</v>
      </c>
      <c r="L30" s="527" t="s">
        <v>43</v>
      </c>
      <c r="M30" s="666">
        <f>IS!H31</f>
        <v>23.501390268123135</v>
      </c>
      <c r="N30" s="666">
        <f>IS!I31</f>
        <v>23.104170804369407</v>
      </c>
      <c r="O30" s="666">
        <f>IS!J31</f>
        <v>22.706951340615678</v>
      </c>
      <c r="P30" s="488"/>
      <c r="S30" s="590" t="s">
        <v>226</v>
      </c>
      <c r="T30" s="1036">
        <v>50.252000000000002</v>
      </c>
      <c r="U30" s="639">
        <v>51.847000000000001</v>
      </c>
      <c r="V30" s="187">
        <f t="shared" ref="V30:AE30" si="31">V$29*V42</f>
        <v>54.874000800000005</v>
      </c>
      <c r="W30" s="645">
        <f t="shared" si="31"/>
        <v>52.518229200000007</v>
      </c>
      <c r="X30" s="1046">
        <f t="shared" si="31"/>
        <v>46.594313999999997</v>
      </c>
      <c r="Y30" s="187">
        <f t="shared" si="31"/>
        <v>49.805478000000001</v>
      </c>
      <c r="Z30" s="187">
        <f t="shared" si="31"/>
        <v>54.934971912000009</v>
      </c>
      <c r="AA30" s="645">
        <f t="shared" si="31"/>
        <v>52.576582788000003</v>
      </c>
      <c r="AB30" s="1046">
        <f t="shared" si="31"/>
        <v>46.181119139999993</v>
      </c>
      <c r="AC30" s="187">
        <f t="shared" si="31"/>
        <v>49.363806780000004</v>
      </c>
      <c r="AD30" s="187">
        <f t="shared" si="31"/>
        <v>54.447812727120009</v>
      </c>
      <c r="AE30" s="645">
        <f t="shared" si="31"/>
        <v>52.110337619879999</v>
      </c>
    </row>
    <row r="31" spans="2:34" ht="13.5" customHeight="1">
      <c r="B31" s="594"/>
      <c r="C31" s="595"/>
      <c r="D31" s="595"/>
      <c r="E31" s="595"/>
      <c r="F31" s="595"/>
      <c r="G31" s="595"/>
      <c r="H31" s="595"/>
      <c r="I31" s="595"/>
      <c r="J31" s="595"/>
      <c r="L31" s="531" t="s">
        <v>274</v>
      </c>
      <c r="M31" s="502">
        <f ca="1">M29/M30</f>
        <v>0.21509916167620399</v>
      </c>
      <c r="N31" s="502">
        <f ca="1">N29/N30</f>
        <v>0.10029577656030728</v>
      </c>
      <c r="O31" s="502">
        <f ca="1">O29/O30</f>
        <v>4.5339592777773975E-2</v>
      </c>
      <c r="P31" s="478">
        <f ca="1">SUM(M31:O31)</f>
        <v>0.36073453101428526</v>
      </c>
      <c r="S31" s="590" t="s">
        <v>227</v>
      </c>
      <c r="T31" s="1035">
        <v>9.5890000000000004</v>
      </c>
      <c r="U31" s="639">
        <v>10.779</v>
      </c>
      <c r="V31" s="187">
        <f t="shared" ref="V31:AE31" si="32">V$29*V43</f>
        <v>10.669944599999999</v>
      </c>
      <c r="W31" s="645">
        <f t="shared" si="32"/>
        <v>10.211877900000001</v>
      </c>
      <c r="X31" s="1046">
        <f t="shared" si="32"/>
        <v>9.230948999999999</v>
      </c>
      <c r="Y31" s="187">
        <f t="shared" si="32"/>
        <v>9.8671229999999994</v>
      </c>
      <c r="Z31" s="187">
        <f t="shared" si="32"/>
        <v>10.883343492</v>
      </c>
      <c r="AA31" s="645">
        <f t="shared" si="32"/>
        <v>10.416115458</v>
      </c>
      <c r="AB31" s="1046">
        <f t="shared" si="32"/>
        <v>9.2362238279999982</v>
      </c>
      <c r="AC31" s="187">
        <f t="shared" si="32"/>
        <v>9.8727613559999998</v>
      </c>
      <c r="AD31" s="187">
        <f t="shared" si="32"/>
        <v>10.889562545424001</v>
      </c>
      <c r="AE31" s="645">
        <f t="shared" si="32"/>
        <v>10.422067523975999</v>
      </c>
    </row>
    <row r="32" spans="2:34" ht="13.5" customHeight="1">
      <c r="B32" s="1130" t="s">
        <v>313</v>
      </c>
      <c r="C32" s="1131">
        <f>C9/C28/360*1000000</f>
        <v>6888.7521968365563</v>
      </c>
      <c r="D32" s="1131">
        <f>D9/D28/360*1000000</f>
        <v>6694.9526346950861</v>
      </c>
      <c r="E32" s="1131">
        <f>E9/E28/360*1000000</f>
        <v>6586.4945919370703</v>
      </c>
      <c r="F32" s="1131">
        <f>F9/F28/360*1000000</f>
        <v>4967.1924603174612</v>
      </c>
      <c r="G32" s="1131">
        <f>G9/G28/360*1000000</f>
        <v>4728.0496243574526</v>
      </c>
      <c r="H32" s="1131">
        <f>H36*16*H34</f>
        <v>4749.3258476670599</v>
      </c>
      <c r="I32" s="1131">
        <f>I36*16*I34</f>
        <v>4770.697813981561</v>
      </c>
      <c r="J32" s="1132">
        <f>J36*16*J34</f>
        <v>4792.1659541444778</v>
      </c>
      <c r="L32" s="527" t="s">
        <v>341</v>
      </c>
      <c r="M32" s="492">
        <f ca="1">(H14+H48)/IS!H7</f>
        <v>0.11177805877537203</v>
      </c>
      <c r="N32" s="492">
        <f ca="1">(I14+I48)/IS!I7</f>
        <v>0.10760871063159134</v>
      </c>
      <c r="O32" s="492">
        <f ca="1">(J14+J48)/IS!J7</f>
        <v>0.10613625222298546</v>
      </c>
      <c r="S32" s="605" t="s">
        <v>228</v>
      </c>
      <c r="T32" s="1035">
        <v>4.6319999999999997</v>
      </c>
      <c r="U32" s="187">
        <v>4.6859999999999999</v>
      </c>
      <c r="V32" s="187">
        <f t="shared" ref="V32:AE32" si="33">V$29*V44</f>
        <v>5.0809260000000007</v>
      </c>
      <c r="W32" s="645">
        <f t="shared" si="33"/>
        <v>4.8627990000000008</v>
      </c>
      <c r="X32" s="1046">
        <f t="shared" si="33"/>
        <v>4.3956900000000001</v>
      </c>
      <c r="Y32" s="187">
        <f t="shared" si="33"/>
        <v>4.6986300000000005</v>
      </c>
      <c r="Z32" s="187">
        <f t="shared" si="33"/>
        <v>5.1825445200000004</v>
      </c>
      <c r="AA32" s="645">
        <f t="shared" si="33"/>
        <v>4.9600549800000007</v>
      </c>
      <c r="AB32" s="1046">
        <f t="shared" si="33"/>
        <v>4.4836038</v>
      </c>
      <c r="AC32" s="187">
        <f t="shared" si="33"/>
        <v>4.7926026000000004</v>
      </c>
      <c r="AD32" s="187">
        <f t="shared" si="33"/>
        <v>5.2861954104000013</v>
      </c>
      <c r="AE32" s="645">
        <f t="shared" si="33"/>
        <v>5.0592560796000008</v>
      </c>
    </row>
    <row r="33" spans="2:33" ht="13.5" customHeight="1">
      <c r="B33" s="1133" t="s">
        <v>27</v>
      </c>
      <c r="C33" s="596"/>
      <c r="D33" s="596">
        <f t="shared" ref="D33:J33" si="34">D32/C32-1</f>
        <v>-2.8132752725590349E-2</v>
      </c>
      <c r="E33" s="596">
        <f t="shared" si="34"/>
        <v>-1.6199971631756793E-2</v>
      </c>
      <c r="F33" s="596">
        <f t="shared" si="34"/>
        <v>-0.24585188813513881</v>
      </c>
      <c r="G33" s="596">
        <f t="shared" si="34"/>
        <v>-4.8144467497586052E-2</v>
      </c>
      <c r="H33" s="596">
        <f t="shared" si="34"/>
        <v>4.4999999999997264E-3</v>
      </c>
      <c r="I33" s="596">
        <f t="shared" si="34"/>
        <v>4.4999999999999485E-3</v>
      </c>
      <c r="J33" s="1134">
        <f t="shared" si="34"/>
        <v>4.4999999999999485E-3</v>
      </c>
      <c r="L33" s="218"/>
      <c r="S33" s="590" t="s">
        <v>229</v>
      </c>
      <c r="T33" s="1046">
        <v>7.0030000000000001</v>
      </c>
      <c r="U33" s="187">
        <v>7.2709999999999999</v>
      </c>
      <c r="V33" s="187">
        <f t="shared" ref="V33:AE33" si="35">V$29*V45</f>
        <v>7.9262445600000007</v>
      </c>
      <c r="W33" s="645">
        <f t="shared" si="35"/>
        <v>7.5859664400000009</v>
      </c>
      <c r="X33" s="1046">
        <f t="shared" si="35"/>
        <v>6.7693625999999991</v>
      </c>
      <c r="Y33" s="187">
        <f t="shared" si="35"/>
        <v>7.2358902</v>
      </c>
      <c r="Z33" s="187">
        <f t="shared" si="35"/>
        <v>7.9811185608000006</v>
      </c>
      <c r="AA33" s="645">
        <f t="shared" si="35"/>
        <v>7.6384846692000004</v>
      </c>
      <c r="AB33" s="1046">
        <f t="shared" si="35"/>
        <v>6.815077775999999</v>
      </c>
      <c r="AC33" s="187">
        <f t="shared" si="35"/>
        <v>7.2847559520000003</v>
      </c>
      <c r="AD33" s="187">
        <f t="shared" si="35"/>
        <v>8.0350170238080008</v>
      </c>
      <c r="AE33" s="645">
        <f t="shared" si="35"/>
        <v>7.690069240992</v>
      </c>
    </row>
    <row r="34" spans="2:33" ht="13.5" customHeight="1">
      <c r="B34" s="1135" t="s">
        <v>280</v>
      </c>
      <c r="C34" s="597">
        <v>8.1999999999999993</v>
      </c>
      <c r="D34" s="597">
        <v>8.4499999999999993</v>
      </c>
      <c r="E34" s="597">
        <v>8.64</v>
      </c>
      <c r="F34" s="597">
        <v>8.92</v>
      </c>
      <c r="G34" s="597">
        <v>9.23</v>
      </c>
      <c r="H34" s="598">
        <f>G34*(1+H35)</f>
        <v>9.4607499999999991</v>
      </c>
      <c r="I34" s="598">
        <f>H34*(1+I35)</f>
        <v>9.6972687499999974</v>
      </c>
      <c r="J34" s="1136">
        <f>I34*(1+J35)</f>
        <v>9.9397004687499972</v>
      </c>
      <c r="L34" s="218"/>
      <c r="S34" s="590" t="s">
        <v>230</v>
      </c>
      <c r="T34" s="1047">
        <v>16.37</v>
      </c>
      <c r="U34" s="640">
        <v>15.25</v>
      </c>
      <c r="V34" s="187">
        <f t="shared" ref="V34:AE34" si="36">V$29*V46</f>
        <v>17.275148400000003</v>
      </c>
      <c r="W34" s="645">
        <f t="shared" si="36"/>
        <v>16.533516600000002</v>
      </c>
      <c r="X34" s="1046">
        <f t="shared" si="36"/>
        <v>14.505777</v>
      </c>
      <c r="Y34" s="187">
        <f t="shared" si="36"/>
        <v>15.505479000000001</v>
      </c>
      <c r="Z34" s="187">
        <f t="shared" si="36"/>
        <v>17.102396916000004</v>
      </c>
      <c r="AA34" s="645">
        <f t="shared" si="36"/>
        <v>16.368181434</v>
      </c>
      <c r="AB34" s="1046">
        <f t="shared" si="36"/>
        <v>14.347532159999998</v>
      </c>
      <c r="AC34" s="187">
        <f t="shared" si="36"/>
        <v>15.33632832</v>
      </c>
      <c r="AD34" s="187">
        <f t="shared" si="36"/>
        <v>16.915825313280003</v>
      </c>
      <c r="AE34" s="645">
        <f t="shared" si="36"/>
        <v>16.189619454719999</v>
      </c>
    </row>
    <row r="35" spans="2:33" ht="13.5" customHeight="1">
      <c r="B35" s="1133" t="s">
        <v>27</v>
      </c>
      <c r="C35" s="596"/>
      <c r="D35" s="596">
        <f>D34/C34-1</f>
        <v>3.0487804878048808E-2</v>
      </c>
      <c r="E35" s="596">
        <f>E34/D34-1</f>
        <v>2.2485207100591875E-2</v>
      </c>
      <c r="F35" s="596">
        <f>F34/E34-1</f>
        <v>3.240740740740744E-2</v>
      </c>
      <c r="G35" s="596">
        <f>G34/F34-1</f>
        <v>3.4753363228699596E-2</v>
      </c>
      <c r="H35" s="599">
        <v>2.5000000000000001E-2</v>
      </c>
      <c r="I35" s="600">
        <f>H35</f>
        <v>2.5000000000000001E-2</v>
      </c>
      <c r="J35" s="1137">
        <f>I35</f>
        <v>2.5000000000000001E-2</v>
      </c>
      <c r="S35" s="629" t="s">
        <v>141</v>
      </c>
      <c r="T35" s="1038">
        <f>T29-SUM(T30:T34)</f>
        <v>-1.6560000000000059</v>
      </c>
      <c r="U35" s="643">
        <f>U29-SUM(U30:U34)</f>
        <v>2.2969999999999828</v>
      </c>
      <c r="V35" s="643">
        <f t="shared" ref="V35:AE35" si="37">V29-SUM(V30:V34)</f>
        <v>5.7922556399999934</v>
      </c>
      <c r="W35" s="644">
        <f t="shared" si="37"/>
        <v>5.5435908599999948</v>
      </c>
      <c r="X35" s="1058">
        <f t="shared" si="37"/>
        <v>6.4177074000000118</v>
      </c>
      <c r="Y35" s="643">
        <f t="shared" si="37"/>
        <v>6.8599997999999971</v>
      </c>
      <c r="Z35" s="643">
        <f t="shared" si="37"/>
        <v>7.5665149992000096</v>
      </c>
      <c r="AA35" s="644">
        <f t="shared" si="37"/>
        <v>7.2416802708000176</v>
      </c>
      <c r="AB35" s="1058">
        <f t="shared" si="37"/>
        <v>8.6085192959999972</v>
      </c>
      <c r="AC35" s="643">
        <f t="shared" si="37"/>
        <v>9.2017969920000127</v>
      </c>
      <c r="AD35" s="643">
        <f t="shared" si="37"/>
        <v>10.149495187968</v>
      </c>
      <c r="AE35" s="644">
        <f t="shared" si="37"/>
        <v>9.7137716728319958</v>
      </c>
    </row>
    <row r="36" spans="2:33" ht="13.5" customHeight="1">
      <c r="B36" s="1135" t="s">
        <v>314</v>
      </c>
      <c r="C36" s="593">
        <f>C32/C34/16</f>
        <v>52.505733207595711</v>
      </c>
      <c r="D36" s="593">
        <f>D32/D34/16</f>
        <v>49.518880434135255</v>
      </c>
      <c r="E36" s="593">
        <f>E32/E34/16</f>
        <v>47.645360184729959</v>
      </c>
      <c r="F36" s="593">
        <f>F32/F34/16</f>
        <v>34.803758830699699</v>
      </c>
      <c r="G36" s="593">
        <f>G32/G34/16</f>
        <v>32.01550395691666</v>
      </c>
      <c r="H36" s="593">
        <f>G36*(1+H37)</f>
        <v>31.375193877778326</v>
      </c>
      <c r="I36" s="593">
        <f>H36*(1+I37)</f>
        <v>30.747690000222757</v>
      </c>
      <c r="J36" s="1126">
        <f>I36*(1+J37)</f>
        <v>30.1327362002183</v>
      </c>
      <c r="S36" s="631" t="s">
        <v>237</v>
      </c>
      <c r="T36" s="1039">
        <f>T35/T29</f>
        <v>-1.9213365819700731E-2</v>
      </c>
      <c r="U36" s="637">
        <f>U35/U29</f>
        <v>2.4932161076739207E-2</v>
      </c>
      <c r="V36" s="637">
        <f t="shared" ref="V36:AE36" si="38">V35/V29</f>
        <v>5.6999999999999933E-2</v>
      </c>
      <c r="W36" s="638">
        <f t="shared" si="38"/>
        <v>5.699999999999994E-2</v>
      </c>
      <c r="X36" s="1039">
        <f t="shared" si="38"/>
        <v>7.3000000000000134E-2</v>
      </c>
      <c r="Y36" s="637">
        <f t="shared" si="38"/>
        <v>7.2999999999999968E-2</v>
      </c>
      <c r="Z36" s="637">
        <f t="shared" si="38"/>
        <v>7.3000000000000093E-2</v>
      </c>
      <c r="AA36" s="638">
        <f t="shared" si="38"/>
        <v>7.3000000000000176E-2</v>
      </c>
      <c r="AB36" s="1039">
        <f t="shared" si="38"/>
        <v>9.5999999999999974E-2</v>
      </c>
      <c r="AC36" s="637">
        <f t="shared" si="38"/>
        <v>9.6000000000000127E-2</v>
      </c>
      <c r="AD36" s="637">
        <f t="shared" si="38"/>
        <v>9.5999999999999988E-2</v>
      </c>
      <c r="AE36" s="638">
        <f t="shared" si="38"/>
        <v>9.599999999999996E-2</v>
      </c>
    </row>
    <row r="37" spans="2:33" ht="13.5" customHeight="1">
      <c r="B37" s="1133" t="s">
        <v>27</v>
      </c>
      <c r="C37" s="596"/>
      <c r="D37" s="596">
        <f>D36/C36-1</f>
        <v>-5.6886221579862895E-2</v>
      </c>
      <c r="E37" s="596">
        <f>E36/D36-1</f>
        <v>-3.7834462996336415E-2</v>
      </c>
      <c r="F37" s="596">
        <f>F36/E36-1</f>
        <v>-0.26952469882147967</v>
      </c>
      <c r="G37" s="596">
        <f>G36/F36-1</f>
        <v>-8.0113613226269531E-2</v>
      </c>
      <c r="H37" s="599">
        <v>-0.02</v>
      </c>
      <c r="I37" s="600">
        <f>H37</f>
        <v>-0.02</v>
      </c>
      <c r="J37" s="1137">
        <f>I37</f>
        <v>-0.02</v>
      </c>
      <c r="K37" s="352"/>
      <c r="S37" s="629" t="s">
        <v>10</v>
      </c>
      <c r="T37" s="1040">
        <f>T35+T32</f>
        <v>2.9759999999999938</v>
      </c>
      <c r="U37" s="641">
        <f>U35+U32</f>
        <v>6.9829999999999828</v>
      </c>
      <c r="V37" s="641">
        <f t="shared" ref="V37:AE37" si="39">V35+V32</f>
        <v>10.873181639999995</v>
      </c>
      <c r="W37" s="642">
        <f t="shared" si="39"/>
        <v>10.406389859999996</v>
      </c>
      <c r="X37" s="1040">
        <f t="shared" si="39"/>
        <v>10.813397400000012</v>
      </c>
      <c r="Y37" s="641">
        <f t="shared" si="39"/>
        <v>11.558629799999999</v>
      </c>
      <c r="Z37" s="641">
        <f t="shared" si="39"/>
        <v>12.74905951920001</v>
      </c>
      <c r="AA37" s="642">
        <f t="shared" si="39"/>
        <v>12.201735250800018</v>
      </c>
      <c r="AB37" s="1040">
        <f t="shared" si="39"/>
        <v>13.092123095999998</v>
      </c>
      <c r="AC37" s="641">
        <f t="shared" si="39"/>
        <v>13.994399592000013</v>
      </c>
      <c r="AD37" s="641">
        <f t="shared" si="39"/>
        <v>15.435690598368002</v>
      </c>
      <c r="AE37" s="642">
        <f t="shared" si="39"/>
        <v>14.773027752431997</v>
      </c>
    </row>
    <row r="38" spans="2:33" s="218" customFormat="1" ht="13.5" customHeight="1">
      <c r="B38" s="1138" t="s">
        <v>290</v>
      </c>
      <c r="C38" s="601">
        <v>5000</v>
      </c>
      <c r="D38" s="601">
        <v>5000</v>
      </c>
      <c r="E38" s="601">
        <v>5000</v>
      </c>
      <c r="F38" s="601">
        <v>5000</v>
      </c>
      <c r="G38" s="601">
        <v>5000</v>
      </c>
      <c r="H38" s="601">
        <v>5000</v>
      </c>
      <c r="I38" s="601">
        <v>5000</v>
      </c>
      <c r="J38" s="1139">
        <v>5000</v>
      </c>
      <c r="K38" s="352"/>
      <c r="S38" s="631" t="s">
        <v>237</v>
      </c>
      <c r="T38" s="703">
        <f>T37/T29</f>
        <v>3.4528367560041698E-2</v>
      </c>
      <c r="U38" s="635">
        <f>U37/U29</f>
        <v>7.5795072180614168E-2</v>
      </c>
      <c r="V38" s="635">
        <f t="shared" ref="V38:AE38" si="40">V37/V29</f>
        <v>0.10699999999999994</v>
      </c>
      <c r="W38" s="636">
        <f t="shared" si="40"/>
        <v>0.10699999999999994</v>
      </c>
      <c r="X38" s="703">
        <f t="shared" si="40"/>
        <v>0.12300000000000014</v>
      </c>
      <c r="Y38" s="635">
        <f t="shared" si="40"/>
        <v>0.12299999999999998</v>
      </c>
      <c r="Z38" s="635">
        <f t="shared" si="40"/>
        <v>0.12300000000000008</v>
      </c>
      <c r="AA38" s="636">
        <f t="shared" si="40"/>
        <v>0.12300000000000018</v>
      </c>
      <c r="AB38" s="703">
        <f t="shared" si="40"/>
        <v>0.14599999999999999</v>
      </c>
      <c r="AC38" s="635">
        <f t="shared" si="40"/>
        <v>0.14600000000000013</v>
      </c>
      <c r="AD38" s="635">
        <f t="shared" si="40"/>
        <v>0.14599999999999999</v>
      </c>
      <c r="AE38" s="636">
        <f t="shared" si="40"/>
        <v>0.14599999999999996</v>
      </c>
    </row>
    <row r="39" spans="2:33" s="218" customFormat="1" ht="13.5" customHeight="1">
      <c r="B39" s="1135" t="s">
        <v>289</v>
      </c>
      <c r="C39" s="1068">
        <f>((C9/C28)/C38)*1000000</f>
        <v>495.99015817223199</v>
      </c>
      <c r="D39" s="1068">
        <f>((D9/D28)/D38)*1000000</f>
        <v>482.03658969804621</v>
      </c>
      <c r="E39" s="1068">
        <f>((E9/E28)/E38)*1000000</f>
        <v>474.22761061946909</v>
      </c>
      <c r="F39" s="1068">
        <f>((F9/F28)/F38)*1000000</f>
        <v>357.63785714285717</v>
      </c>
      <c r="G39" s="1068">
        <f>((G9/G28)/G38)*1000000</f>
        <v>340.41957295373658</v>
      </c>
      <c r="H39" s="1069">
        <f>G39</f>
        <v>340.41957295373658</v>
      </c>
      <c r="I39" s="1068">
        <f>H39</f>
        <v>340.41957295373658</v>
      </c>
      <c r="J39" s="1140">
        <f>I39</f>
        <v>340.41957295373658</v>
      </c>
      <c r="K39" s="352"/>
      <c r="S39" s="605"/>
      <c r="T39" s="1048"/>
      <c r="U39" s="615"/>
      <c r="V39" s="612"/>
      <c r="W39" s="613"/>
      <c r="X39" s="1063"/>
      <c r="Y39" s="612"/>
      <c r="Z39" s="612"/>
      <c r="AA39" s="613"/>
      <c r="AB39" s="1063"/>
      <c r="AC39" s="612"/>
      <c r="AD39" s="612"/>
      <c r="AE39" s="613"/>
    </row>
    <row r="40" spans="2:33" s="218" customFormat="1" ht="13.5" customHeight="1">
      <c r="B40" s="1141" t="s">
        <v>238</v>
      </c>
      <c r="C40" s="1142">
        <f t="shared" ref="C40:J40" si="41">C9/52</f>
        <v>27.136384615384618</v>
      </c>
      <c r="D40" s="1142">
        <f t="shared" si="41"/>
        <v>26.094865384615385</v>
      </c>
      <c r="E40" s="1142">
        <f t="shared" si="41"/>
        <v>25.763326923076928</v>
      </c>
      <c r="F40" s="1142">
        <f t="shared" si="41"/>
        <v>19.257423076923079</v>
      </c>
      <c r="G40" s="1142">
        <f t="shared" si="41"/>
        <v>18.39575</v>
      </c>
      <c r="H40" s="1142">
        <f t="shared" si="41"/>
        <v>18.504029999999997</v>
      </c>
      <c r="I40" s="1142">
        <f t="shared" si="41"/>
        <v>18.781590449999996</v>
      </c>
      <c r="J40" s="1143">
        <f t="shared" si="41"/>
        <v>19.063314306749994</v>
      </c>
      <c r="K40" s="352"/>
      <c r="R40" s="722"/>
      <c r="S40" s="670" t="s">
        <v>87</v>
      </c>
      <c r="T40" s="802"/>
      <c r="U40" s="183"/>
      <c r="V40" s="171"/>
      <c r="W40" s="291"/>
      <c r="X40" s="279"/>
      <c r="Y40" s="171"/>
      <c r="Z40" s="171"/>
      <c r="AA40" s="291"/>
      <c r="AB40" s="279"/>
      <c r="AC40" s="171"/>
      <c r="AD40" s="171"/>
      <c r="AE40" s="291"/>
      <c r="AF40" s="526"/>
      <c r="AG40" s="526"/>
    </row>
    <row r="41" spans="2:33" s="218" customFormat="1" ht="13.5" customHeight="1">
      <c r="B41" s="602"/>
      <c r="C41" s="603"/>
      <c r="D41" s="603"/>
      <c r="E41" s="603"/>
      <c r="F41" s="603"/>
      <c r="G41" s="603"/>
      <c r="H41" s="603"/>
      <c r="I41" s="603"/>
      <c r="J41" s="603"/>
      <c r="K41" s="352"/>
      <c r="R41" s="506"/>
      <c r="S41" s="1065" t="s">
        <v>301</v>
      </c>
      <c r="T41" s="1049">
        <v>-1.0999999999999999E-2</v>
      </c>
      <c r="U41" s="658">
        <v>3.0000000000000001E-3</v>
      </c>
      <c r="V41" s="650">
        <v>0.02</v>
      </c>
      <c r="W41" s="652">
        <f>V41</f>
        <v>0.02</v>
      </c>
      <c r="X41" s="1059">
        <v>0.02</v>
      </c>
      <c r="Y41" s="651">
        <f t="shared" ref="Y41:AE43" si="42">X41</f>
        <v>0.02</v>
      </c>
      <c r="Z41" s="651">
        <f t="shared" si="42"/>
        <v>0.02</v>
      </c>
      <c r="AA41" s="652">
        <f t="shared" si="42"/>
        <v>0.02</v>
      </c>
      <c r="AB41" s="1059">
        <v>0.02</v>
      </c>
      <c r="AC41" s="651">
        <f t="shared" si="42"/>
        <v>0.02</v>
      </c>
      <c r="AD41" s="651">
        <f t="shared" si="42"/>
        <v>0.02</v>
      </c>
      <c r="AE41" s="652">
        <f t="shared" si="42"/>
        <v>0.02</v>
      </c>
    </row>
    <row r="42" spans="2:33" s="218" customFormat="1" ht="13.5" customHeight="1">
      <c r="B42" s="497" t="s">
        <v>242</v>
      </c>
      <c r="C42" s="499"/>
      <c r="D42" s="499"/>
      <c r="E42" s="499"/>
      <c r="F42" s="499"/>
      <c r="G42" s="499"/>
      <c r="H42" s="499"/>
      <c r="I42" s="499"/>
      <c r="J42" s="499"/>
      <c r="K42" s="352"/>
      <c r="S42" s="1066" t="s">
        <v>231</v>
      </c>
      <c r="T42" s="688">
        <f t="shared" ref="T42:U46" si="43">T30/T$29</f>
        <v>0.5830374753451677</v>
      </c>
      <c r="U42" s="49">
        <f t="shared" si="43"/>
        <v>0.56275914468685562</v>
      </c>
      <c r="V42" s="172">
        <v>0.54</v>
      </c>
      <c r="W42" s="573">
        <f>V42</f>
        <v>0.54</v>
      </c>
      <c r="X42" s="1060">
        <v>0.53</v>
      </c>
      <c r="Y42" s="574">
        <f t="shared" si="42"/>
        <v>0.53</v>
      </c>
      <c r="Z42" s="574">
        <f t="shared" si="42"/>
        <v>0.53</v>
      </c>
      <c r="AA42" s="573">
        <f t="shared" si="42"/>
        <v>0.53</v>
      </c>
      <c r="AB42" s="1060">
        <v>0.51500000000000001</v>
      </c>
      <c r="AC42" s="574">
        <f t="shared" si="42"/>
        <v>0.51500000000000001</v>
      </c>
      <c r="AD42" s="574">
        <f t="shared" si="42"/>
        <v>0.51500000000000001</v>
      </c>
      <c r="AE42" s="573">
        <f t="shared" si="42"/>
        <v>0.51500000000000001</v>
      </c>
      <c r="AF42" s="526"/>
      <c r="AG42" s="526"/>
    </row>
    <row r="43" spans="2:33" s="218" customFormat="1" ht="13.5" customHeight="1">
      <c r="B43" s="578" t="s">
        <v>302</v>
      </c>
      <c r="C43" s="719">
        <f>IS!C11</f>
        <v>327.67399999999998</v>
      </c>
      <c r="D43" s="719">
        <f>IS!D11</f>
        <v>333.60599999999999</v>
      </c>
      <c r="E43" s="719">
        <f>IS!E11</f>
        <v>329.16499999999996</v>
      </c>
      <c r="F43" s="719">
        <f>IS!F11</f>
        <v>371.584</v>
      </c>
      <c r="G43" s="719">
        <f>IS!G11</f>
        <v>382.87099999999998</v>
      </c>
      <c r="H43" s="719">
        <f>SUM(T29:W29)</f>
        <v>377.19450000000001</v>
      </c>
      <c r="I43" s="719">
        <f>SUM(X29:AA29)</f>
        <v>384.73838999999998</v>
      </c>
      <c r="J43" s="719">
        <f>SUM(AB29:AE29)</f>
        <v>392.4331578</v>
      </c>
      <c r="K43" s="352"/>
      <c r="R43" s="352"/>
      <c r="S43" s="1066" t="s">
        <v>232</v>
      </c>
      <c r="T43" s="688">
        <f t="shared" si="43"/>
        <v>0.11125420582434158</v>
      </c>
      <c r="U43" s="49">
        <f t="shared" si="43"/>
        <v>0.11699772061217845</v>
      </c>
      <c r="V43" s="172">
        <v>0.105</v>
      </c>
      <c r="W43" s="573">
        <f>V43</f>
        <v>0.105</v>
      </c>
      <c r="X43" s="1060">
        <v>0.105</v>
      </c>
      <c r="Y43" s="574">
        <f t="shared" si="42"/>
        <v>0.105</v>
      </c>
      <c r="Z43" s="574">
        <f t="shared" si="42"/>
        <v>0.105</v>
      </c>
      <c r="AA43" s="573">
        <f t="shared" si="42"/>
        <v>0.105</v>
      </c>
      <c r="AB43" s="1060">
        <v>0.10299999999999999</v>
      </c>
      <c r="AC43" s="574">
        <f t="shared" si="42"/>
        <v>0.10299999999999999</v>
      </c>
      <c r="AD43" s="574">
        <f t="shared" si="42"/>
        <v>0.10299999999999999</v>
      </c>
      <c r="AE43" s="573">
        <f t="shared" si="42"/>
        <v>0.10299999999999999</v>
      </c>
    </row>
    <row r="44" spans="2:33" s="218" customFormat="1" ht="13.5" customHeight="1">
      <c r="B44" s="578" t="s">
        <v>226</v>
      </c>
      <c r="C44" s="579">
        <f>C43*C55</f>
        <v>179.23767799999999</v>
      </c>
      <c r="D44" s="579">
        <f>D43*D55</f>
        <v>191.82344999999998</v>
      </c>
      <c r="E44" s="579">
        <f>E43*E55</f>
        <v>167.21581999999998</v>
      </c>
      <c r="F44" s="579">
        <f>F43*F55</f>
        <v>203.99961600000003</v>
      </c>
      <c r="G44" s="579">
        <f>G43*G55</f>
        <v>203.87880749999999</v>
      </c>
      <c r="H44" s="579">
        <f>SUM(T30:W30)</f>
        <v>209.49123000000003</v>
      </c>
      <c r="I44" s="579">
        <f t="shared" ref="I44:J47" si="44">SUM(U30:X30)</f>
        <v>205.83354400000002</v>
      </c>
      <c r="J44" s="579">
        <f t="shared" si="44"/>
        <v>203.792022</v>
      </c>
      <c r="K44" s="352"/>
      <c r="S44" s="1067" t="s">
        <v>307</v>
      </c>
      <c r="T44" s="688">
        <f t="shared" si="43"/>
        <v>5.3741733379742425E-2</v>
      </c>
      <c r="U44" s="49">
        <f t="shared" si="43"/>
        <v>5.0862911103874961E-2</v>
      </c>
      <c r="V44" s="172">
        <v>0.05</v>
      </c>
      <c r="W44" s="573">
        <f t="shared" ref="W44:AE44" si="45">V44</f>
        <v>0.05</v>
      </c>
      <c r="X44" s="1060">
        <v>0.05</v>
      </c>
      <c r="Y44" s="574">
        <f t="shared" si="45"/>
        <v>0.05</v>
      </c>
      <c r="Z44" s="574">
        <f t="shared" si="45"/>
        <v>0.05</v>
      </c>
      <c r="AA44" s="573">
        <f t="shared" si="45"/>
        <v>0.05</v>
      </c>
      <c r="AB44" s="1060">
        <v>0.05</v>
      </c>
      <c r="AC44" s="574">
        <f t="shared" si="45"/>
        <v>0.05</v>
      </c>
      <c r="AD44" s="574">
        <f t="shared" si="45"/>
        <v>0.05</v>
      </c>
      <c r="AE44" s="573">
        <f t="shared" si="45"/>
        <v>0.05</v>
      </c>
    </row>
    <row r="45" spans="2:33" s="218" customFormat="1" ht="13.5" customHeight="1">
      <c r="B45" s="578" t="s">
        <v>227</v>
      </c>
      <c r="C45" s="580">
        <f>C43*C56</f>
        <v>33.422747999999999</v>
      </c>
      <c r="D45" s="580">
        <f>D43*D56</f>
        <v>29.357327999999999</v>
      </c>
      <c r="E45" s="580">
        <f>E43*E56</f>
        <v>35.220654999999994</v>
      </c>
      <c r="F45" s="580">
        <f>F43*F56</f>
        <v>40.502656000000002</v>
      </c>
      <c r="G45" s="580">
        <f>G43*G56</f>
        <v>42.115809999999996</v>
      </c>
      <c r="H45" s="579">
        <f>SUM(T31:W31)</f>
        <v>41.249822500000008</v>
      </c>
      <c r="I45" s="579">
        <f t="shared" si="44"/>
        <v>40.891771499999997</v>
      </c>
      <c r="J45" s="579">
        <f t="shared" si="44"/>
        <v>39.9798945</v>
      </c>
      <c r="K45" s="352"/>
      <c r="S45" s="1066" t="s">
        <v>266</v>
      </c>
      <c r="T45" s="688">
        <f t="shared" si="43"/>
        <v>8.1250725142127861E-2</v>
      </c>
      <c r="U45" s="49">
        <f t="shared" si="43"/>
        <v>7.8921089764463256E-2</v>
      </c>
      <c r="V45" s="172">
        <v>7.8E-2</v>
      </c>
      <c r="W45" s="573">
        <f t="shared" ref="W45:AE45" si="46">V45</f>
        <v>7.8E-2</v>
      </c>
      <c r="X45" s="1060">
        <v>7.6999999999999999E-2</v>
      </c>
      <c r="Y45" s="574">
        <f t="shared" si="46"/>
        <v>7.6999999999999999E-2</v>
      </c>
      <c r="Z45" s="574">
        <f t="shared" si="46"/>
        <v>7.6999999999999999E-2</v>
      </c>
      <c r="AA45" s="573">
        <f t="shared" si="46"/>
        <v>7.6999999999999999E-2</v>
      </c>
      <c r="AB45" s="1060">
        <v>7.5999999999999998E-2</v>
      </c>
      <c r="AC45" s="574">
        <f t="shared" si="46"/>
        <v>7.5999999999999998E-2</v>
      </c>
      <c r="AD45" s="574">
        <f t="shared" si="46"/>
        <v>7.5999999999999998E-2</v>
      </c>
      <c r="AE45" s="573">
        <f t="shared" si="46"/>
        <v>7.5999999999999998E-2</v>
      </c>
      <c r="AF45" s="526"/>
      <c r="AG45" s="526"/>
    </row>
    <row r="46" spans="2:33" s="218" customFormat="1" ht="13.5" customHeight="1">
      <c r="B46" s="577" t="s">
        <v>228</v>
      </c>
      <c r="C46" s="579">
        <v>9.5519999999999996</v>
      </c>
      <c r="D46" s="579">
        <v>10.085000000000001</v>
      </c>
      <c r="E46" s="579">
        <v>9.4649999999999999</v>
      </c>
      <c r="F46" s="579">
        <v>12.492000000000001</v>
      </c>
      <c r="G46" s="579">
        <v>15.584</v>
      </c>
      <c r="H46" s="579">
        <f>SUM(T32:W32)</f>
        <v>19.261724999999998</v>
      </c>
      <c r="I46" s="579">
        <f t="shared" si="44"/>
        <v>19.025415000000002</v>
      </c>
      <c r="J46" s="579">
        <f t="shared" si="44"/>
        <v>19.038045</v>
      </c>
      <c r="K46" s="352"/>
      <c r="S46" s="1066" t="s">
        <v>265</v>
      </c>
      <c r="T46" s="703">
        <f t="shared" si="43"/>
        <v>0.18992922612832117</v>
      </c>
      <c r="U46" s="635">
        <f t="shared" si="43"/>
        <v>0.16552697275588843</v>
      </c>
      <c r="V46" s="655">
        <v>0.17</v>
      </c>
      <c r="W46" s="657">
        <f t="shared" ref="W46:AA46" si="47">V46</f>
        <v>0.17</v>
      </c>
      <c r="X46" s="1061">
        <v>0.16500000000000001</v>
      </c>
      <c r="Y46" s="656">
        <f t="shared" si="47"/>
        <v>0.16500000000000001</v>
      </c>
      <c r="Z46" s="656">
        <f t="shared" si="47"/>
        <v>0.16500000000000001</v>
      </c>
      <c r="AA46" s="657">
        <f t="shared" si="47"/>
        <v>0.16500000000000001</v>
      </c>
      <c r="AB46" s="1061">
        <v>0.16</v>
      </c>
      <c r="AC46" s="656">
        <f>AB46</f>
        <v>0.16</v>
      </c>
      <c r="AD46" s="656">
        <f t="shared" ref="AD46:AE46" si="48">AC46</f>
        <v>0.16</v>
      </c>
      <c r="AE46" s="657">
        <f t="shared" si="48"/>
        <v>0.16</v>
      </c>
      <c r="AF46" s="526"/>
      <c r="AG46" s="526"/>
    </row>
    <row r="47" spans="2:33" s="218" customFormat="1" ht="13.5" customHeight="1">
      <c r="B47" s="578" t="s">
        <v>229</v>
      </c>
      <c r="C47" s="580">
        <f>C58*C43</f>
        <v>16.711373999999999</v>
      </c>
      <c r="D47" s="580">
        <f>D58*D43</f>
        <v>20.349965999999998</v>
      </c>
      <c r="E47" s="580">
        <f>E58*E43</f>
        <v>26.662364999999998</v>
      </c>
      <c r="F47" s="580">
        <f>F58*F43</f>
        <v>33.814143999999999</v>
      </c>
      <c r="G47" s="580">
        <f>G58*G43</f>
        <v>30.62968</v>
      </c>
      <c r="H47" s="579">
        <f>SUM(T33:W33)</f>
        <v>29.786211000000002</v>
      </c>
      <c r="I47" s="579">
        <f t="shared" si="44"/>
        <v>29.552573600000002</v>
      </c>
      <c r="J47" s="579">
        <f t="shared" si="44"/>
        <v>29.517463800000002</v>
      </c>
      <c r="K47" s="352"/>
      <c r="AF47" s="526"/>
      <c r="AG47" s="526"/>
    </row>
    <row r="48" spans="2:33" ht="13.5" customHeight="1">
      <c r="B48" s="582" t="s">
        <v>230</v>
      </c>
      <c r="C48" s="583">
        <f>C59*C43</f>
        <v>64.551777999999999</v>
      </c>
      <c r="D48" s="583">
        <f>D59*D43</f>
        <v>60.382686</v>
      </c>
      <c r="E48" s="583">
        <f>E59*E43</f>
        <v>70.77047499999999</v>
      </c>
      <c r="F48" s="583">
        <f>F59*F43</f>
        <v>68.743039999999993</v>
      </c>
      <c r="G48" s="583">
        <f>G59*G43</f>
        <v>70.065393</v>
      </c>
      <c r="H48" s="583">
        <f ca="1">H43*H59</f>
        <v>65.5805633025075</v>
      </c>
      <c r="I48" s="583">
        <f ca="1">I43*I59</f>
        <v>63.48183435</v>
      </c>
      <c r="J48" s="583">
        <f ca="1">J43*J59</f>
        <v>62.789305248000005</v>
      </c>
      <c r="R48" s="46"/>
      <c r="AF48" s="526"/>
      <c r="AG48" s="526"/>
    </row>
    <row r="49" spans="2:34" ht="13.5" customHeight="1">
      <c r="B49" s="584" t="s">
        <v>141</v>
      </c>
      <c r="C49" s="710">
        <v>21.3</v>
      </c>
      <c r="D49" s="710">
        <v>22.8</v>
      </c>
      <c r="E49" s="710">
        <v>20.2</v>
      </c>
      <c r="F49" s="710">
        <v>18.600000000000001</v>
      </c>
      <c r="G49" s="710">
        <v>6</v>
      </c>
      <c r="H49" s="710">
        <f ca="1">H43-SUM(H44:H48)</f>
        <v>11.824948197492461</v>
      </c>
      <c r="I49" s="710">
        <f ca="1">I43-SUM(I44:I48)</f>
        <v>25.953251549999948</v>
      </c>
      <c r="J49" s="710">
        <f ca="1">J43-SUM(J44:J48)</f>
        <v>37.31642725200004</v>
      </c>
      <c r="AF49" s="526"/>
      <c r="AG49" s="526"/>
    </row>
    <row r="50" spans="2:34" s="46" customFormat="1" ht="13.5" customHeight="1">
      <c r="B50" s="609" t="s">
        <v>237</v>
      </c>
      <c r="C50" s="585">
        <f t="shared" ref="C50:J50" si="49">C49/C43</f>
        <v>6.5003631658294536E-2</v>
      </c>
      <c r="D50" s="585">
        <f t="shared" si="49"/>
        <v>6.8344094530673916E-2</v>
      </c>
      <c r="E50" s="585">
        <f t="shared" si="49"/>
        <v>6.1367399328604202E-2</v>
      </c>
      <c r="F50" s="585">
        <f t="shared" si="49"/>
        <v>5.005597657595591E-2</v>
      </c>
      <c r="G50" s="585">
        <f t="shared" si="49"/>
        <v>1.5671074591703211E-2</v>
      </c>
      <c r="H50" s="585">
        <f t="shared" ca="1" si="49"/>
        <v>3.1349736535109765E-2</v>
      </c>
      <c r="I50" s="585">
        <f t="shared" ca="1" si="49"/>
        <v>6.7456880375259529E-2</v>
      </c>
      <c r="J50" s="585">
        <f t="shared" ca="1" si="49"/>
        <v>9.5089893680742485E-2</v>
      </c>
      <c r="R50" s="505"/>
      <c r="S50" s="493"/>
      <c r="T50" s="493"/>
      <c r="U50" s="493"/>
      <c r="V50" s="493"/>
      <c r="W50" s="493"/>
      <c r="X50" s="493"/>
      <c r="Y50" s="493"/>
      <c r="Z50" s="493"/>
      <c r="AA50" s="493"/>
      <c r="AB50" s="493"/>
      <c r="AC50" s="493"/>
      <c r="AD50" s="493"/>
      <c r="AE50" s="493"/>
      <c r="AF50" s="526"/>
      <c r="AG50" s="526"/>
      <c r="AH50" s="493"/>
    </row>
    <row r="51" spans="2:34" ht="13.5" customHeight="1">
      <c r="B51" s="584" t="s">
        <v>10</v>
      </c>
      <c r="C51" s="710">
        <f t="shared" ref="C51:G51" si="50">C49+C46</f>
        <v>30.852</v>
      </c>
      <c r="D51" s="710">
        <f t="shared" si="50"/>
        <v>32.885000000000005</v>
      </c>
      <c r="E51" s="710">
        <f t="shared" si="50"/>
        <v>29.664999999999999</v>
      </c>
      <c r="F51" s="710">
        <f t="shared" si="50"/>
        <v>31.092000000000002</v>
      </c>
      <c r="G51" s="710">
        <f t="shared" si="50"/>
        <v>21.584</v>
      </c>
      <c r="H51" s="710">
        <f ca="1">H49+H46</f>
        <v>31.086673197492459</v>
      </c>
      <c r="I51" s="710">
        <f ca="1">I49+I46</f>
        <v>44.97866654999995</v>
      </c>
      <c r="J51" s="710">
        <f ca="1">J49+J46</f>
        <v>56.354472252000036</v>
      </c>
      <c r="R51" s="507"/>
    </row>
    <row r="52" spans="2:34" ht="13.5" customHeight="1">
      <c r="B52" s="609" t="s">
        <v>237</v>
      </c>
      <c r="C52" s="585">
        <f t="shared" ref="C52:J52" si="51">C51/C43</f>
        <v>9.4154556052662111E-2</v>
      </c>
      <c r="D52" s="585">
        <f t="shared" si="51"/>
        <v>9.8574366168474203E-2</v>
      </c>
      <c r="E52" s="585">
        <f t="shared" si="51"/>
        <v>9.0121975301140772E-2</v>
      </c>
      <c r="F52" s="585">
        <f t="shared" si="51"/>
        <v>8.3674216327936618E-2</v>
      </c>
      <c r="G52" s="585">
        <f t="shared" si="51"/>
        <v>5.6374078997887017E-2</v>
      </c>
      <c r="H52" s="585">
        <f t="shared" ca="1" si="51"/>
        <v>8.2415499689132421E-2</v>
      </c>
      <c r="I52" s="585">
        <f t="shared" ca="1" si="51"/>
        <v>0.11690714448849243</v>
      </c>
      <c r="J52" s="585">
        <f t="shared" ca="1" si="51"/>
        <v>0.14360272859695658</v>
      </c>
      <c r="R52" s="508"/>
    </row>
    <row r="53" spans="2:34" ht="13.5" customHeight="1">
      <c r="B53" s="605"/>
      <c r="C53" s="606"/>
      <c r="D53" s="606"/>
      <c r="E53" s="606"/>
      <c r="F53" s="606"/>
      <c r="G53" s="606"/>
      <c r="H53" s="606"/>
      <c r="I53" s="606"/>
      <c r="J53" s="606"/>
      <c r="R53" s="509"/>
    </row>
    <row r="54" spans="2:34" ht="13.5" customHeight="1">
      <c r="B54" s="497" t="s">
        <v>308</v>
      </c>
      <c r="C54" s="499"/>
      <c r="D54" s="499"/>
      <c r="E54" s="499"/>
      <c r="F54" s="499"/>
      <c r="G54" s="499"/>
      <c r="H54" s="499"/>
      <c r="I54" s="499"/>
      <c r="J54" s="499"/>
    </row>
    <row r="55" spans="2:34" ht="13.5" customHeight="1">
      <c r="B55" s="712" t="s">
        <v>231</v>
      </c>
      <c r="C55" s="607">
        <v>0.54700000000000004</v>
      </c>
      <c r="D55" s="607">
        <v>0.57499999999999996</v>
      </c>
      <c r="E55" s="607">
        <v>0.50800000000000001</v>
      </c>
      <c r="F55" s="607">
        <v>0.54900000000000004</v>
      </c>
      <c r="G55" s="589">
        <v>0.53249999999999997</v>
      </c>
      <c r="H55" s="608">
        <f t="shared" ref="H55:J58" si="52">H44/H$43</f>
        <v>0.55539311946489156</v>
      </c>
      <c r="I55" s="608">
        <f t="shared" si="52"/>
        <v>0.53499611515242873</v>
      </c>
      <c r="J55" s="608">
        <f t="shared" si="52"/>
        <v>0.51930377938110106</v>
      </c>
      <c r="R55" s="258"/>
    </row>
    <row r="56" spans="2:34" ht="13.5" customHeight="1">
      <c r="B56" s="712" t="s">
        <v>232</v>
      </c>
      <c r="C56" s="607">
        <v>0.10199999999999999</v>
      </c>
      <c r="D56" s="607">
        <v>8.7999999999999995E-2</v>
      </c>
      <c r="E56" s="607">
        <v>0.107</v>
      </c>
      <c r="F56" s="607">
        <v>0.109</v>
      </c>
      <c r="G56" s="589">
        <v>0.11</v>
      </c>
      <c r="H56" s="608">
        <f t="shared" si="52"/>
        <v>0.10935955455342007</v>
      </c>
      <c r="I56" s="608">
        <f t="shared" si="52"/>
        <v>0.10628461459226879</v>
      </c>
      <c r="J56" s="608">
        <f t="shared" si="52"/>
        <v>0.10187695332404963</v>
      </c>
      <c r="R56" s="504"/>
    </row>
    <row r="57" spans="2:34" ht="13.5" customHeight="1">
      <c r="B57" s="721" t="s">
        <v>307</v>
      </c>
      <c r="C57" s="608">
        <f>C46/C$43</f>
        <v>2.9150924394367575E-2</v>
      </c>
      <c r="D57" s="608">
        <f>D46/D$43</f>
        <v>3.0230271637800281E-2</v>
      </c>
      <c r="E57" s="608">
        <f>E46/E$43</f>
        <v>2.8754575972536573E-2</v>
      </c>
      <c r="F57" s="608">
        <f>F46/F$43</f>
        <v>3.3618239751980715E-2</v>
      </c>
      <c r="G57" s="608">
        <f>G46/G$43</f>
        <v>4.070300440618381E-2</v>
      </c>
      <c r="H57" s="608">
        <f t="shared" si="52"/>
        <v>5.1065763154022656E-2</v>
      </c>
      <c r="I57" s="608">
        <f t="shared" si="52"/>
        <v>4.9450264113232896E-2</v>
      </c>
      <c r="J57" s="608">
        <f t="shared" si="52"/>
        <v>4.8512834916214109E-2</v>
      </c>
      <c r="R57" s="352"/>
      <c r="S57" s="258"/>
      <c r="T57" s="258"/>
      <c r="U57" s="258"/>
    </row>
    <row r="58" spans="2:34" ht="13.5" customHeight="1">
      <c r="B58" s="712" t="s">
        <v>266</v>
      </c>
      <c r="C58" s="607">
        <v>5.0999999999999997E-2</v>
      </c>
      <c r="D58" s="607">
        <v>6.0999999999999999E-2</v>
      </c>
      <c r="E58" s="607">
        <v>8.1000000000000003E-2</v>
      </c>
      <c r="F58" s="607">
        <v>9.0999999999999998E-2</v>
      </c>
      <c r="G58" s="589">
        <v>0.08</v>
      </c>
      <c r="H58" s="608">
        <f t="shared" si="52"/>
        <v>7.896777657150357E-2</v>
      </c>
      <c r="I58" s="608">
        <f t="shared" si="52"/>
        <v>7.6812125766810027E-2</v>
      </c>
      <c r="J58" s="608">
        <f t="shared" si="52"/>
        <v>7.5216538697892882E-2</v>
      </c>
      <c r="R58" s="352"/>
    </row>
    <row r="59" spans="2:34" ht="13.5" customHeight="1">
      <c r="B59" s="712" t="s">
        <v>265</v>
      </c>
      <c r="C59" s="607">
        <v>0.19700000000000001</v>
      </c>
      <c r="D59" s="607">
        <v>0.18099999999999999</v>
      </c>
      <c r="E59" s="607">
        <v>0.215</v>
      </c>
      <c r="F59" s="607">
        <v>0.185</v>
      </c>
      <c r="G59" s="589">
        <v>0.183</v>
      </c>
      <c r="H59" s="663">
        <f ca="1">OFFSET($L$22,0,$M$19)</f>
        <v>0.1738640497210524</v>
      </c>
      <c r="I59" s="664">
        <f ca="1">OFFSET($L$23,0,$M$19)</f>
        <v>0.16500000000000001</v>
      </c>
      <c r="J59" s="665">
        <f ca="1">OFFSET($L$24,0,$M$19)</f>
        <v>0.16</v>
      </c>
    </row>
    <row r="60" spans="2:34" ht="13.5" customHeight="1">
      <c r="B60" s="10"/>
      <c r="C60" s="43"/>
      <c r="D60" s="43"/>
      <c r="E60" s="43"/>
      <c r="F60" s="10"/>
      <c r="G60" s="10"/>
      <c r="H60" s="10"/>
      <c r="I60" s="10"/>
      <c r="J60" s="10"/>
    </row>
    <row r="61" spans="2:34" ht="13.5" customHeight="1">
      <c r="B61" s="10"/>
      <c r="C61" s="43"/>
      <c r="D61" s="43"/>
      <c r="E61" s="43"/>
      <c r="F61" s="10"/>
      <c r="G61" s="10"/>
      <c r="H61" s="10"/>
      <c r="I61" s="10"/>
      <c r="J61" s="10"/>
    </row>
    <row r="62" spans="2:34" ht="13.5" customHeight="1">
      <c r="B62" s="590"/>
      <c r="C62" s="606"/>
      <c r="D62" s="606"/>
      <c r="E62" s="606"/>
      <c r="F62" s="606"/>
      <c r="G62" s="606"/>
      <c r="H62" s="661"/>
      <c r="I62" s="661"/>
      <c r="J62" s="661"/>
      <c r="R62" s="493"/>
    </row>
    <row r="63" spans="2:34" ht="13.5" customHeight="1">
      <c r="B63" s="10"/>
      <c r="C63" s="43"/>
      <c r="D63" s="43"/>
      <c r="E63" s="43"/>
      <c r="F63" s="10"/>
      <c r="G63" s="10"/>
      <c r="H63" s="10"/>
      <c r="I63" s="10"/>
      <c r="J63" s="10"/>
    </row>
    <row r="64" spans="2:34" ht="13.5" customHeight="1">
      <c r="B64" s="10"/>
      <c r="C64" s="43"/>
      <c r="D64" s="43"/>
      <c r="E64" s="43"/>
      <c r="F64" s="10"/>
      <c r="G64" s="10"/>
      <c r="H64" s="10"/>
      <c r="I64" s="10"/>
      <c r="J64" s="10"/>
      <c r="S64" s="493"/>
      <c r="T64" s="493"/>
      <c r="U64" s="493"/>
    </row>
    <row r="65" spans="2:16" ht="13.5" customHeight="1"/>
    <row r="66" spans="2:16" ht="13.5" customHeight="1">
      <c r="C66" s="17"/>
      <c r="D66" s="17"/>
      <c r="E66" s="17"/>
    </row>
    <row r="67" spans="2:16" ht="13.5" customHeight="1">
      <c r="C67" s="17"/>
      <c r="D67" s="17"/>
      <c r="E67" s="17"/>
      <c r="L67" s="218"/>
    </row>
    <row r="68" spans="2:16" ht="13.5" customHeight="1">
      <c r="C68" s="17"/>
      <c r="D68" s="17"/>
      <c r="E68" s="17"/>
      <c r="M68" s="17"/>
      <c r="N68" s="17"/>
      <c r="O68" s="17"/>
      <c r="P68" s="17"/>
    </row>
    <row r="69" spans="2:16" ht="13.5" customHeight="1">
      <c r="B69" s="218"/>
      <c r="C69" s="218"/>
      <c r="D69" s="218"/>
      <c r="E69" s="218"/>
      <c r="F69" s="218"/>
      <c r="G69" s="218"/>
      <c r="H69" s="218"/>
      <c r="I69" s="218"/>
      <c r="J69" s="218"/>
      <c r="M69" s="17"/>
      <c r="N69" s="17"/>
      <c r="O69" s="17"/>
      <c r="P69" s="17"/>
    </row>
    <row r="70" spans="2:16" ht="13.5" customHeight="1">
      <c r="B70" s="218"/>
      <c r="C70" s="550"/>
      <c r="D70" s="550"/>
      <c r="E70" s="550"/>
      <c r="F70" s="548"/>
      <c r="G70" s="548"/>
      <c r="H70" s="548"/>
      <c r="I70" s="548"/>
      <c r="J70" s="548"/>
      <c r="M70" s="17"/>
      <c r="N70" s="17"/>
      <c r="O70" s="17"/>
      <c r="P70" s="17"/>
    </row>
    <row r="71" spans="2:16" ht="13.5" customHeight="1">
      <c r="C71" s="17"/>
      <c r="D71" s="17"/>
      <c r="E71" s="17"/>
      <c r="F71" s="552"/>
      <c r="G71" s="552"/>
      <c r="M71" s="17"/>
      <c r="N71" s="17"/>
      <c r="O71" s="17"/>
      <c r="P71" s="17"/>
    </row>
    <row r="72" spans="2:16" ht="13.5" customHeight="1">
      <c r="C72" s="17"/>
      <c r="D72" s="17"/>
      <c r="E72" s="17"/>
      <c r="F72" s="548"/>
      <c r="G72" s="548"/>
      <c r="M72" s="17"/>
      <c r="N72" s="17"/>
      <c r="O72" s="17"/>
      <c r="P72" s="17"/>
    </row>
    <row r="73" spans="2:16" ht="13.5" customHeight="1">
      <c r="C73" s="17"/>
      <c r="D73" s="17"/>
      <c r="E73" s="17"/>
      <c r="F73" s="550"/>
      <c r="G73" s="550"/>
      <c r="M73" s="17"/>
      <c r="N73" s="17"/>
      <c r="O73" s="17"/>
      <c r="P73" s="17"/>
    </row>
    <row r="74" spans="2:16" ht="13.5" customHeight="1">
      <c r="C74" s="17"/>
      <c r="D74" s="17"/>
      <c r="E74" s="17"/>
      <c r="F74" s="550"/>
      <c r="G74" s="550"/>
      <c r="M74" s="17"/>
      <c r="N74" s="17"/>
      <c r="O74" s="17"/>
      <c r="P74" s="17"/>
    </row>
    <row r="75" spans="2:16" ht="13.5" customHeight="1">
      <c r="C75" s="17"/>
      <c r="D75" s="17"/>
      <c r="E75" s="17"/>
      <c r="F75" s="550"/>
      <c r="G75" s="550"/>
      <c r="M75" s="17"/>
      <c r="N75" s="17"/>
      <c r="O75" s="17"/>
      <c r="P75" s="17"/>
    </row>
    <row r="76" spans="2:16" ht="13.5" customHeight="1">
      <c r="C76" s="17"/>
      <c r="D76" s="17"/>
      <c r="E76" s="17"/>
      <c r="F76" s="548"/>
      <c r="G76" s="551"/>
      <c r="M76" s="17"/>
      <c r="N76" s="17"/>
      <c r="O76" s="17"/>
      <c r="P76" s="17"/>
    </row>
    <row r="77" spans="2:16" ht="13.5" customHeight="1">
      <c r="C77" s="17"/>
      <c r="D77" s="17"/>
      <c r="E77" s="17"/>
      <c r="F77" s="548"/>
      <c r="G77" s="551"/>
      <c r="M77" s="17"/>
      <c r="N77" s="17"/>
      <c r="O77" s="17"/>
      <c r="P77" s="17"/>
    </row>
    <row r="78" spans="2:16" ht="13.5" customHeight="1">
      <c r="C78" s="17"/>
      <c r="D78" s="17"/>
      <c r="E78" s="17"/>
      <c r="F78" s="548"/>
      <c r="G78" s="551"/>
      <c r="M78" s="17"/>
      <c r="N78" s="17"/>
      <c r="O78" s="17"/>
      <c r="P78" s="17"/>
    </row>
    <row r="79" spans="2:16" ht="13.5" customHeight="1">
      <c r="C79" s="17"/>
      <c r="D79" s="17"/>
      <c r="E79" s="17"/>
      <c r="F79" s="548"/>
      <c r="G79" s="551"/>
      <c r="M79" s="17"/>
      <c r="N79" s="17"/>
      <c r="O79" s="17"/>
      <c r="P79" s="17"/>
    </row>
    <row r="80" spans="2:16" ht="13.5" customHeight="1">
      <c r="C80" s="17"/>
      <c r="D80" s="17"/>
      <c r="E80" s="17"/>
      <c r="F80" s="548"/>
      <c r="G80" s="551"/>
      <c r="M80" s="17"/>
      <c r="N80" s="17"/>
      <c r="O80" s="17"/>
      <c r="P80" s="17"/>
    </row>
    <row r="81" spans="3:16" ht="13.5" customHeight="1">
      <c r="C81" s="17"/>
      <c r="D81" s="17"/>
      <c r="E81" s="17"/>
      <c r="F81" s="548"/>
      <c r="G81" s="551"/>
      <c r="M81" s="17"/>
      <c r="N81" s="17"/>
      <c r="O81" s="17"/>
      <c r="P81" s="17"/>
    </row>
    <row r="82" spans="3:16" ht="13.5" customHeight="1">
      <c r="C82" s="17"/>
      <c r="D82" s="17"/>
      <c r="E82" s="17"/>
      <c r="F82" s="548"/>
      <c r="G82" s="551"/>
      <c r="M82" s="17"/>
      <c r="N82" s="17"/>
      <c r="O82" s="17"/>
      <c r="P82" s="17"/>
    </row>
    <row r="83" spans="3:16" ht="13.5" customHeight="1">
      <c r="C83" s="17"/>
      <c r="D83" s="17"/>
      <c r="E83" s="17"/>
      <c r="F83" s="548"/>
      <c r="G83" s="551"/>
      <c r="M83" s="17"/>
      <c r="N83" s="17"/>
      <c r="O83" s="17"/>
      <c r="P83" s="17"/>
    </row>
    <row r="84" spans="3:16" ht="13.5" customHeight="1">
      <c r="C84" s="17"/>
      <c r="D84" s="17"/>
      <c r="E84" s="17"/>
      <c r="F84" s="548"/>
      <c r="G84" s="551"/>
      <c r="M84" s="17"/>
      <c r="N84" s="17"/>
      <c r="O84" s="17"/>
      <c r="P84" s="17"/>
    </row>
    <row r="85" spans="3:16" ht="13.5" customHeight="1">
      <c r="C85" s="17"/>
      <c r="D85" s="17"/>
      <c r="E85" s="17"/>
      <c r="F85" s="548"/>
      <c r="G85" s="551"/>
      <c r="M85" s="17"/>
      <c r="N85" s="17"/>
      <c r="O85" s="17"/>
      <c r="P85" s="17"/>
    </row>
    <row r="86" spans="3:16" ht="13.5" customHeight="1">
      <c r="C86" s="17"/>
      <c r="D86" s="17"/>
      <c r="E86" s="17"/>
      <c r="F86" s="548"/>
      <c r="G86" s="551"/>
      <c r="M86" s="17"/>
      <c r="N86" s="17"/>
      <c r="O86" s="17"/>
      <c r="P86" s="17"/>
    </row>
    <row r="87" spans="3:16" ht="13.5" customHeight="1">
      <c r="C87" s="17"/>
      <c r="D87" s="17"/>
      <c r="E87" s="17"/>
      <c r="F87" s="548"/>
      <c r="G87" s="551"/>
      <c r="M87" s="17"/>
      <c r="N87" s="17"/>
      <c r="O87" s="17"/>
      <c r="P87" s="17"/>
    </row>
    <row r="88" spans="3:16" ht="13.5" customHeight="1">
      <c r="C88" s="17"/>
      <c r="D88" s="17"/>
      <c r="E88" s="17"/>
      <c r="F88" s="548"/>
      <c r="G88" s="551"/>
      <c r="M88" s="17"/>
      <c r="N88" s="17"/>
      <c r="O88" s="17"/>
      <c r="P88" s="17"/>
    </row>
    <row r="89" spans="3:16" ht="13.5" customHeight="1">
      <c r="C89" s="17"/>
      <c r="D89" s="17"/>
      <c r="E89" s="17"/>
      <c r="F89" s="548"/>
      <c r="G89" s="551"/>
      <c r="M89" s="17"/>
      <c r="N89" s="17"/>
      <c r="O89" s="17"/>
      <c r="P89" s="17"/>
    </row>
    <row r="90" spans="3:16" ht="13.5" customHeight="1">
      <c r="C90" s="17"/>
      <c r="D90" s="17"/>
      <c r="E90" s="17"/>
      <c r="F90" s="548"/>
      <c r="G90" s="551"/>
      <c r="M90" s="17"/>
      <c r="N90" s="17"/>
      <c r="O90" s="17"/>
      <c r="P90" s="17"/>
    </row>
    <row r="91" spans="3:16" ht="13.5" customHeight="1">
      <c r="C91" s="17"/>
      <c r="D91" s="17"/>
      <c r="E91" s="17"/>
      <c r="F91" s="548"/>
      <c r="G91" s="551"/>
      <c r="M91" s="17"/>
      <c r="N91" s="17"/>
      <c r="O91" s="17"/>
      <c r="P91" s="17"/>
    </row>
    <row r="92" spans="3:16" ht="13.5" customHeight="1">
      <c r="C92" s="17"/>
      <c r="D92" s="17"/>
      <c r="E92" s="17"/>
      <c r="F92" s="548"/>
      <c r="G92" s="551"/>
      <c r="M92" s="17"/>
      <c r="N92" s="17"/>
      <c r="O92" s="17"/>
      <c r="P92" s="17"/>
    </row>
    <row r="93" spans="3:16" ht="13.5" customHeight="1">
      <c r="C93" s="17"/>
      <c r="D93" s="17"/>
      <c r="E93" s="17"/>
      <c r="F93" s="548"/>
      <c r="G93" s="551"/>
      <c r="M93" s="17"/>
      <c r="N93" s="17"/>
      <c r="O93" s="17"/>
      <c r="P93" s="17"/>
    </row>
    <row r="94" spans="3:16" ht="13.5" customHeight="1">
      <c r="C94" s="17"/>
      <c r="D94" s="17"/>
      <c r="E94" s="17"/>
      <c r="F94" s="548"/>
      <c r="G94" s="551"/>
      <c r="M94" s="17"/>
      <c r="N94" s="17"/>
      <c r="O94" s="17"/>
      <c r="P94" s="17"/>
    </row>
    <row r="95" spans="3:16" ht="13.5" customHeight="1">
      <c r="C95" s="17"/>
      <c r="D95" s="17"/>
      <c r="E95" s="17"/>
      <c r="F95" s="548"/>
      <c r="G95" s="551"/>
      <c r="M95" s="17"/>
      <c r="N95" s="17"/>
      <c r="O95" s="17"/>
      <c r="P95" s="17"/>
    </row>
    <row r="96" spans="3:16" ht="13.5" customHeight="1">
      <c r="C96" s="17"/>
      <c r="D96" s="17"/>
      <c r="E96" s="17"/>
      <c r="F96" s="548"/>
      <c r="G96" s="551"/>
      <c r="M96" s="17"/>
      <c r="N96" s="17"/>
      <c r="O96" s="17"/>
      <c r="P96" s="17"/>
    </row>
    <row r="97" spans="3:16" ht="13.5" customHeight="1">
      <c r="C97" s="17"/>
      <c r="D97" s="17"/>
      <c r="E97" s="17"/>
      <c r="F97" s="548"/>
      <c r="G97" s="551"/>
      <c r="M97" s="17"/>
      <c r="N97" s="17"/>
      <c r="O97" s="17"/>
      <c r="P97" s="17"/>
    </row>
    <row r="98" spans="3:16" ht="13.5" customHeight="1">
      <c r="C98" s="17"/>
      <c r="D98" s="17"/>
      <c r="E98" s="17"/>
      <c r="F98" s="548"/>
      <c r="G98" s="551"/>
      <c r="M98" s="17"/>
      <c r="N98" s="17"/>
      <c r="O98" s="17"/>
    </row>
    <row r="99" spans="3:16" ht="13.5" customHeight="1">
      <c r="C99" s="17"/>
      <c r="D99" s="17"/>
      <c r="E99" s="17"/>
      <c r="F99" s="548"/>
      <c r="G99" s="551"/>
    </row>
    <row r="100" spans="3:16" ht="13.5" customHeight="1">
      <c r="C100" s="17"/>
      <c r="D100" s="17"/>
      <c r="E100" s="17"/>
      <c r="F100" s="548"/>
      <c r="G100" s="551"/>
    </row>
    <row r="101" spans="3:16" ht="13.5" customHeight="1">
      <c r="C101" s="17"/>
      <c r="D101" s="17"/>
      <c r="E101" s="17"/>
      <c r="F101" s="548"/>
      <c r="G101" s="551"/>
    </row>
    <row r="102" spans="3:16" ht="13.5" customHeight="1">
      <c r="C102" s="17"/>
      <c r="D102" s="17"/>
      <c r="E102" s="17"/>
      <c r="F102" s="548"/>
      <c r="G102" s="551"/>
    </row>
    <row r="103" spans="3:16" ht="13.5" customHeight="1">
      <c r="C103" s="17"/>
      <c r="D103" s="17"/>
      <c r="E103" s="17"/>
      <c r="F103" s="548"/>
      <c r="G103" s="551"/>
    </row>
    <row r="104" spans="3:16" ht="13.5" customHeight="1">
      <c r="C104" s="17"/>
      <c r="D104" s="17"/>
      <c r="E104" s="17"/>
      <c r="F104" s="548"/>
      <c r="G104" s="551"/>
    </row>
    <row r="105" spans="3:16" ht="13.5" customHeight="1">
      <c r="C105" s="17"/>
      <c r="D105" s="17"/>
      <c r="E105" s="17"/>
      <c r="F105" s="548"/>
      <c r="G105" s="551"/>
    </row>
    <row r="106" spans="3:16" ht="13.5" customHeight="1">
      <c r="C106" s="17"/>
      <c r="D106" s="17"/>
      <c r="E106" s="17"/>
      <c r="F106" s="548"/>
      <c r="G106" s="551"/>
    </row>
    <row r="107" spans="3:16" ht="13.5" customHeight="1">
      <c r="C107" s="17"/>
      <c r="D107" s="17"/>
      <c r="E107" s="17"/>
      <c r="F107" s="548"/>
      <c r="G107" s="551"/>
    </row>
    <row r="108" spans="3:16" ht="13.5" customHeight="1">
      <c r="C108" s="17"/>
      <c r="D108" s="17"/>
      <c r="E108" s="17"/>
      <c r="F108" s="548"/>
      <c r="G108" s="551"/>
    </row>
    <row r="109" spans="3:16" ht="13.5" customHeight="1">
      <c r="C109" s="17"/>
      <c r="D109" s="17"/>
      <c r="E109" s="17"/>
      <c r="F109" s="548"/>
      <c r="G109" s="551"/>
    </row>
    <row r="110" spans="3:16" ht="13.5" customHeight="1">
      <c r="C110" s="17"/>
      <c r="D110" s="17"/>
      <c r="E110" s="17"/>
      <c r="F110" s="548"/>
      <c r="G110" s="551"/>
    </row>
    <row r="111" spans="3:16" ht="13.5" customHeight="1">
      <c r="C111" s="17"/>
      <c r="D111" s="17"/>
      <c r="E111" s="17"/>
      <c r="F111" s="548"/>
      <c r="G111" s="551"/>
    </row>
    <row r="112" spans="3:16" ht="13.5" customHeight="1">
      <c r="C112" s="17"/>
      <c r="D112" s="17"/>
      <c r="E112" s="17"/>
      <c r="F112" s="548"/>
      <c r="G112" s="551"/>
    </row>
    <row r="113" spans="2:10" ht="13.5" customHeight="1">
      <c r="C113" s="17"/>
      <c r="D113" s="17"/>
      <c r="E113" s="17"/>
      <c r="F113" s="548"/>
      <c r="G113" s="548"/>
    </row>
    <row r="114" spans="2:10" ht="13.5" customHeight="1">
      <c r="B114" s="473"/>
      <c r="C114" s="549"/>
      <c r="D114" s="549"/>
      <c r="E114" s="549"/>
      <c r="F114" s="548"/>
      <c r="G114" s="548"/>
    </row>
    <row r="115" spans="2:10" ht="13.5" customHeight="1">
      <c r="C115" s="551"/>
      <c r="D115" s="551"/>
      <c r="E115" s="551"/>
      <c r="F115" s="551"/>
      <c r="G115" s="551"/>
    </row>
    <row r="116" spans="2:10" ht="13.5" customHeight="1">
      <c r="C116" s="17"/>
      <c r="D116" s="17"/>
      <c r="E116" s="17"/>
    </row>
    <row r="117" spans="2:10" ht="13.5" customHeight="1">
      <c r="C117" s="17"/>
      <c r="D117" s="17"/>
      <c r="E117" s="17"/>
    </row>
    <row r="118" spans="2:10" ht="13.5" customHeight="1">
      <c r="C118" s="17"/>
      <c r="D118" s="17"/>
      <c r="E118" s="17"/>
    </row>
    <row r="119" spans="2:10" ht="13.5" customHeight="1">
      <c r="C119" s="17"/>
      <c r="D119" s="17"/>
      <c r="E119" s="17"/>
    </row>
    <row r="120" spans="2:10" ht="13.5" customHeight="1">
      <c r="C120" s="17"/>
      <c r="D120" s="17"/>
      <c r="E120" s="17"/>
    </row>
    <row r="121" spans="2:10" ht="13.5" customHeight="1">
      <c r="B121" s="340"/>
      <c r="C121" s="218"/>
      <c r="D121" s="218"/>
      <c r="E121" s="218"/>
      <c r="F121" s="488"/>
      <c r="G121" s="218"/>
    </row>
    <row r="122" spans="2:10" ht="13.5" customHeight="1">
      <c r="B122" s="340"/>
      <c r="C122" s="218"/>
      <c r="D122" s="218"/>
      <c r="E122" s="218"/>
      <c r="F122" s="488"/>
      <c r="G122" s="218"/>
    </row>
    <row r="123" spans="2:10" ht="13.5" customHeight="1">
      <c r="B123" s="340"/>
      <c r="C123" s="218"/>
      <c r="D123" s="218"/>
      <c r="E123" s="218"/>
      <c r="F123" s="488"/>
      <c r="G123" s="218"/>
    </row>
    <row r="124" spans="2:10" ht="13.5" customHeight="1">
      <c r="B124" s="218"/>
      <c r="C124" s="218"/>
      <c r="D124" s="218"/>
      <c r="E124" s="218"/>
      <c r="F124" s="472"/>
      <c r="G124" s="218"/>
    </row>
    <row r="125" spans="2:10" ht="13.5" customHeight="1">
      <c r="B125" s="218"/>
      <c r="C125" s="218"/>
      <c r="D125" s="513"/>
      <c r="E125" s="513"/>
      <c r="F125" s="513"/>
      <c r="G125" s="218"/>
      <c r="H125" s="218"/>
      <c r="I125" s="218"/>
      <c r="J125" s="218"/>
    </row>
    <row r="126" spans="2:10" ht="13.5" customHeight="1">
      <c r="B126" s="218"/>
      <c r="C126" s="218"/>
      <c r="D126" s="491"/>
      <c r="E126" s="491"/>
      <c r="F126" s="491"/>
      <c r="G126" s="514"/>
      <c r="H126" s="218"/>
      <c r="I126" s="218"/>
      <c r="J126" s="218"/>
    </row>
    <row r="127" spans="2:10" ht="13.5" customHeight="1">
      <c r="B127" s="482"/>
      <c r="C127" s="218"/>
      <c r="D127" s="472"/>
      <c r="E127" s="472"/>
      <c r="F127" s="472"/>
      <c r="G127" s="514"/>
      <c r="H127" s="218"/>
      <c r="I127" s="218"/>
      <c r="J127" s="218"/>
    </row>
    <row r="128" spans="2:10" ht="13.5" customHeight="1">
      <c r="B128" s="473"/>
      <c r="C128" s="218"/>
      <c r="D128" s="487"/>
      <c r="E128" s="487"/>
      <c r="F128" s="487"/>
      <c r="G128" s="218"/>
      <c r="H128" s="218"/>
      <c r="I128" s="218"/>
      <c r="J128" s="218"/>
    </row>
    <row r="129" spans="2:10" ht="13.5" customHeight="1">
      <c r="B129" s="473"/>
      <c r="C129" s="218"/>
      <c r="D129" s="515"/>
      <c r="E129" s="515"/>
      <c r="F129" s="515"/>
      <c r="G129" s="218"/>
      <c r="H129" s="218"/>
      <c r="I129" s="218"/>
      <c r="J129" s="218"/>
    </row>
    <row r="130" spans="2:10" ht="13.5" customHeight="1">
      <c r="B130" s="473"/>
      <c r="C130" s="218"/>
      <c r="D130" s="516"/>
      <c r="E130" s="516"/>
      <c r="F130" s="516"/>
      <c r="G130" s="218"/>
      <c r="H130" s="218"/>
      <c r="I130" s="218"/>
      <c r="J130" s="218"/>
    </row>
    <row r="131" spans="2:10" ht="13.5" customHeight="1">
      <c r="B131" s="218"/>
      <c r="C131" s="218"/>
      <c r="D131" s="491"/>
      <c r="E131" s="491"/>
      <c r="F131" s="491"/>
      <c r="G131" s="218"/>
      <c r="H131" s="218"/>
      <c r="I131" s="218"/>
      <c r="J131" s="218"/>
    </row>
    <row r="132" spans="2:10" ht="13.5" customHeight="1">
      <c r="B132" s="218"/>
      <c r="C132" s="218"/>
      <c r="D132" s="218"/>
      <c r="E132" s="218"/>
      <c r="F132" s="218"/>
      <c r="G132" s="218"/>
      <c r="H132" s="218"/>
      <c r="I132" s="218"/>
      <c r="J132" s="218"/>
    </row>
    <row r="133" spans="2:10" ht="13.5" customHeight="1">
      <c r="B133" s="501"/>
      <c r="C133" s="501"/>
      <c r="D133" s="501"/>
      <c r="E133" s="501"/>
      <c r="F133" s="501"/>
      <c r="G133" s="218"/>
      <c r="H133" s="218"/>
      <c r="I133" s="218"/>
      <c r="J133" s="218"/>
    </row>
    <row r="134" spans="2:10" ht="13.5" customHeight="1">
      <c r="B134" s="218"/>
      <c r="C134" s="218"/>
      <c r="D134" s="218"/>
      <c r="E134" s="218"/>
      <c r="F134" s="218"/>
      <c r="G134" s="218"/>
      <c r="H134" s="218"/>
      <c r="I134" s="218"/>
      <c r="J134" s="218"/>
    </row>
    <row r="135" spans="2:10" ht="13.5" customHeight="1">
      <c r="B135" s="218"/>
      <c r="C135" s="218"/>
      <c r="D135" s="218"/>
      <c r="E135" s="218"/>
      <c r="F135" s="218"/>
      <c r="G135" s="218"/>
      <c r="H135" s="218"/>
      <c r="I135" s="218"/>
      <c r="J135" s="218"/>
    </row>
    <row r="136" spans="2:10" ht="13.5" customHeight="1">
      <c r="B136" s="486"/>
      <c r="C136" s="491"/>
      <c r="D136" s="491"/>
      <c r="E136" s="491"/>
      <c r="F136" s="218"/>
      <c r="G136" s="218"/>
      <c r="H136" s="218"/>
      <c r="I136" s="218"/>
      <c r="J136" s="218"/>
    </row>
    <row r="137" spans="2:10" ht="13.5" customHeight="1">
      <c r="B137" s="517"/>
      <c r="C137" s="518"/>
      <c r="D137" s="518"/>
      <c r="E137" s="518"/>
      <c r="F137" s="518"/>
      <c r="G137" s="518"/>
      <c r="H137" s="218"/>
      <c r="I137" s="218"/>
      <c r="J137" s="218"/>
    </row>
    <row r="138" spans="2:10" ht="13.5" customHeight="1">
      <c r="B138" s="518"/>
      <c r="C138" s="488"/>
      <c r="D138" s="488"/>
      <c r="E138" s="488"/>
      <c r="F138" s="218"/>
      <c r="G138" s="218"/>
      <c r="H138" s="218"/>
      <c r="I138" s="218"/>
      <c r="J138" s="218"/>
    </row>
    <row r="139" spans="2:10" ht="13.5" customHeight="1">
      <c r="B139" s="518"/>
      <c r="C139" s="488"/>
      <c r="D139" s="488"/>
      <c r="E139" s="488"/>
      <c r="F139" s="218"/>
      <c r="G139" s="218"/>
      <c r="H139" s="218"/>
      <c r="I139" s="218"/>
      <c r="J139" s="218"/>
    </row>
    <row r="140" spans="2:10" ht="13.5" customHeight="1">
      <c r="B140" s="518"/>
      <c r="C140" s="512"/>
      <c r="D140" s="512"/>
      <c r="E140" s="512"/>
      <c r="F140" s="512"/>
      <c r="G140" s="512"/>
      <c r="H140" s="218"/>
      <c r="I140" s="218"/>
      <c r="J140" s="218"/>
    </row>
    <row r="141" spans="2:10" ht="13.5" customHeight="1">
      <c r="B141" s="518"/>
      <c r="C141" s="512"/>
      <c r="D141" s="512"/>
      <c r="E141" s="512"/>
      <c r="F141" s="512"/>
      <c r="G141" s="512"/>
      <c r="H141" s="218"/>
      <c r="I141" s="218"/>
      <c r="J141" s="218"/>
    </row>
    <row r="142" spans="2:10" ht="13.5" customHeight="1">
      <c r="B142" s="517"/>
      <c r="C142" s="519"/>
      <c r="D142" s="519"/>
      <c r="E142" s="519"/>
      <c r="F142" s="519"/>
      <c r="G142" s="519"/>
      <c r="H142" s="218"/>
      <c r="I142" s="218"/>
      <c r="J142" s="218"/>
    </row>
    <row r="143" spans="2:10" ht="13.5" customHeight="1">
      <c r="B143" s="518"/>
      <c r="C143" s="518"/>
      <c r="D143" s="518"/>
      <c r="E143" s="518"/>
      <c r="F143" s="518"/>
      <c r="G143" s="518"/>
      <c r="H143" s="218"/>
      <c r="I143" s="218"/>
      <c r="J143" s="218"/>
    </row>
    <row r="144" spans="2:10" ht="13.5" customHeight="1">
      <c r="B144" s="517"/>
      <c r="C144" s="518"/>
      <c r="D144" s="518"/>
      <c r="E144" s="518"/>
      <c r="F144" s="518"/>
      <c r="G144" s="518"/>
      <c r="H144" s="218"/>
      <c r="I144" s="218"/>
      <c r="J144" s="218"/>
    </row>
    <row r="145" spans="2:10" ht="13.5" customHeight="1">
      <c r="B145" s="518"/>
      <c r="C145" s="488"/>
      <c r="D145" s="488"/>
      <c r="E145" s="488"/>
      <c r="F145" s="218"/>
      <c r="G145" s="218"/>
      <c r="H145" s="218"/>
      <c r="I145" s="218"/>
      <c r="J145" s="218"/>
    </row>
    <row r="146" spans="2:10" ht="13.5" customHeight="1">
      <c r="B146" s="518"/>
      <c r="C146" s="488"/>
      <c r="D146" s="488"/>
      <c r="E146" s="488"/>
      <c r="F146" s="218"/>
      <c r="G146" s="218"/>
      <c r="H146" s="218"/>
      <c r="I146" s="218"/>
      <c r="J146" s="218"/>
    </row>
    <row r="147" spans="2:10" ht="13.5" customHeight="1">
      <c r="B147" s="518"/>
      <c r="C147" s="512"/>
      <c r="D147" s="512"/>
      <c r="E147" s="512"/>
      <c r="F147" s="512"/>
      <c r="G147" s="512"/>
      <c r="H147" s="218"/>
      <c r="I147" s="218"/>
      <c r="J147" s="218"/>
    </row>
    <row r="148" spans="2:10" ht="13.5" customHeight="1">
      <c r="B148" s="517"/>
      <c r="C148" s="488"/>
      <c r="D148" s="488"/>
      <c r="E148" s="488"/>
      <c r="F148" s="218"/>
      <c r="G148" s="218"/>
      <c r="H148" s="218"/>
      <c r="I148" s="218"/>
      <c r="J148" s="218"/>
    </row>
    <row r="149" spans="2:10" ht="13.5" customHeight="1">
      <c r="B149" s="518"/>
      <c r="C149" s="518"/>
      <c r="D149" s="518"/>
      <c r="E149" s="518"/>
      <c r="F149" s="518"/>
      <c r="G149" s="518"/>
      <c r="H149" s="218"/>
      <c r="I149" s="218"/>
      <c r="J149" s="218"/>
    </row>
    <row r="150" spans="2:10" ht="13.5" customHeight="1">
      <c r="B150" s="517"/>
      <c r="C150" s="518"/>
      <c r="D150" s="518"/>
      <c r="E150" s="518"/>
      <c r="F150" s="518"/>
      <c r="G150" s="518"/>
      <c r="H150" s="218"/>
      <c r="I150" s="218"/>
      <c r="J150" s="218"/>
    </row>
    <row r="151" spans="2:10" ht="13.5" customHeight="1">
      <c r="B151" s="518"/>
      <c r="C151" s="488"/>
      <c r="D151" s="488"/>
      <c r="E151" s="488"/>
      <c r="F151" s="218"/>
      <c r="G151" s="218"/>
      <c r="H151" s="218"/>
      <c r="I151" s="218"/>
      <c r="J151" s="218"/>
    </row>
    <row r="152" spans="2:10" ht="13.5" customHeight="1">
      <c r="B152" s="474"/>
    </row>
    <row r="153" spans="2:10" ht="13.5" customHeight="1">
      <c r="B153" s="474"/>
      <c r="C153" s="476"/>
      <c r="D153" s="476"/>
      <c r="E153" s="476"/>
      <c r="F153" s="476"/>
      <c r="G153" s="476"/>
    </row>
    <row r="154" spans="2:10" ht="13.5" customHeight="1">
      <c r="B154" s="475"/>
    </row>
    <row r="155" spans="2:10" ht="13.5" customHeight="1">
      <c r="B155" s="474"/>
      <c r="C155" s="474"/>
      <c r="D155" s="474"/>
      <c r="E155" s="474"/>
      <c r="F155" s="474"/>
      <c r="G155" s="474"/>
    </row>
    <row r="156" spans="2:10" ht="13.5" customHeight="1"/>
    <row r="157" spans="2:10" ht="13.5" customHeight="1"/>
    <row r="158" spans="2:10" ht="13.5" customHeight="1"/>
    <row r="159" spans="2:10" ht="13.5" customHeight="1"/>
    <row r="160" spans="2:1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</sheetData>
  <pageMargins left="0.7" right="0.7" top="0.75" bottom="0.75" header="0.3" footer="0.3"/>
  <pageSetup scale="96" fitToWidth="0" orientation="portrait" r:id="rId1"/>
  <cellWatches>
    <cellWatch r="C56"/>
  </cellWatche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/>
  </sheetPr>
  <dimension ref="B1:P195"/>
  <sheetViews>
    <sheetView showGridLines="0" view="pageBreakPreview" zoomScaleNormal="100" zoomScaleSheetLayoutView="100" workbookViewId="0"/>
  </sheetViews>
  <sheetFormatPr defaultColWidth="9.83203125" defaultRowHeight="11.25"/>
  <cols>
    <col min="1" max="1" width="5.83203125" style="554" customWidth="1"/>
    <col min="2" max="2" width="35" style="554" customWidth="1"/>
    <col min="3" max="4" width="11.83203125" style="554" customWidth="1"/>
    <col min="5" max="5" width="12.1640625" style="554" customWidth="1"/>
    <col min="6" max="7" width="11.83203125" style="554" customWidth="1"/>
    <col min="8" max="8" width="9.83203125" style="554"/>
    <col min="9" max="9" width="35.6640625" style="554" bestFit="1" customWidth="1"/>
    <col min="10" max="12" width="12.6640625" style="554" customWidth="1"/>
    <col min="13" max="14" width="15.83203125" style="554" customWidth="1"/>
    <col min="15" max="16384" width="9.83203125" style="554"/>
  </cols>
  <sheetData>
    <row r="1" spans="2:16" ht="13.5" customHeight="1"/>
    <row r="2" spans="2:16" ht="13.5" customHeight="1">
      <c r="B2" s="437" t="s">
        <v>45</v>
      </c>
      <c r="I2" s="437" t="s">
        <v>45</v>
      </c>
    </row>
    <row r="3" spans="2:16" ht="13.5" customHeight="1">
      <c r="B3" s="555" t="s">
        <v>323</v>
      </c>
      <c r="I3" s="555" t="s">
        <v>247</v>
      </c>
    </row>
    <row r="4" spans="2:16" ht="13.5" customHeight="1">
      <c r="B4" s="555" t="s">
        <v>8</v>
      </c>
      <c r="I4" s="555" t="s">
        <v>8</v>
      </c>
    </row>
    <row r="5" spans="2:16" ht="13.5" customHeight="1">
      <c r="B5" s="17"/>
      <c r="C5" s="218"/>
      <c r="D5" s="218"/>
      <c r="E5" s="218"/>
      <c r="F5" s="765"/>
      <c r="G5" s="218"/>
      <c r="I5" s="556"/>
      <c r="J5" s="556"/>
      <c r="K5" s="556"/>
      <c r="L5" s="556"/>
    </row>
    <row r="6" spans="2:16" ht="13.5" customHeight="1">
      <c r="B6" s="497" t="s">
        <v>329</v>
      </c>
      <c r="C6" s="498"/>
      <c r="D6" s="498"/>
      <c r="E6" s="498"/>
      <c r="F6" s="498"/>
      <c r="G6" s="499"/>
      <c r="I6" s="497" t="s">
        <v>247</v>
      </c>
      <c r="J6" s="498"/>
      <c r="K6" s="498"/>
      <c r="L6" s="498"/>
    </row>
    <row r="7" spans="2:16" ht="13.5" customHeight="1" thickBot="1">
      <c r="B7" s="473"/>
      <c r="C7" s="477"/>
      <c r="D7" s="477"/>
      <c r="E7" s="477"/>
      <c r="F7" s="477"/>
      <c r="G7" s="477"/>
      <c r="I7" s="17"/>
      <c r="J7" s="489"/>
      <c r="K7" s="489"/>
      <c r="L7" s="489"/>
    </row>
    <row r="8" spans="2:16" ht="13.5" customHeight="1" thickBot="1">
      <c r="B8" s="522" t="s">
        <v>269</v>
      </c>
      <c r="C8" s="525">
        <v>3</v>
      </c>
      <c r="D8" s="218"/>
      <c r="E8" s="725"/>
      <c r="F8" s="556"/>
      <c r="G8" s="669"/>
      <c r="I8" s="340"/>
      <c r="J8" s="564" t="s">
        <v>153</v>
      </c>
      <c r="K8" s="564" t="s">
        <v>270</v>
      </c>
      <c r="L8" s="564" t="s">
        <v>271</v>
      </c>
    </row>
    <row r="9" spans="2:16" ht="13.5" customHeight="1">
      <c r="B9" s="473"/>
      <c r="C9" s="477"/>
      <c r="D9" s="477"/>
      <c r="E9" s="477"/>
      <c r="F9" s="477"/>
      <c r="G9" s="477"/>
      <c r="I9" s="722" t="s">
        <v>10</v>
      </c>
      <c r="J9" s="634"/>
      <c r="K9" s="634"/>
      <c r="L9" s="634"/>
    </row>
    <row r="10" spans="2:16" ht="13.5" customHeight="1">
      <c r="B10" s="536"/>
      <c r="C10" s="488" t="s">
        <v>324</v>
      </c>
      <c r="D10" s="488" t="s">
        <v>325</v>
      </c>
      <c r="E10" s="488" t="s">
        <v>339</v>
      </c>
      <c r="F10" s="520" t="s">
        <v>326</v>
      </c>
      <c r="G10" s="520" t="s">
        <v>327</v>
      </c>
      <c r="I10" s="486" t="s">
        <v>244</v>
      </c>
      <c r="J10" s="169">
        <f ca="1">'Segments+SG&amp;A'!H17</f>
        <v>101.29678574044314</v>
      </c>
      <c r="K10" s="169">
        <f ca="1">'Segments+SG&amp;A'!I17</f>
        <v>112.31391089099996</v>
      </c>
      <c r="L10" s="169">
        <f ca="1">'Segments+SG&amp;A'!J17</f>
        <v>125.89412768177695</v>
      </c>
    </row>
    <row r="11" spans="2:16" ht="13.5" customHeight="1">
      <c r="B11" s="485" t="s">
        <v>276</v>
      </c>
      <c r="C11" s="523">
        <f>D11-50</f>
        <v>50</v>
      </c>
      <c r="D11" s="523">
        <f>E11-50</f>
        <v>100</v>
      </c>
      <c r="E11" s="524">
        <v>150</v>
      </c>
      <c r="F11" s="523">
        <f>E11+50</f>
        <v>200</v>
      </c>
      <c r="G11" s="523">
        <f>F11+50</f>
        <v>250</v>
      </c>
      <c r="I11" s="482" t="s">
        <v>243</v>
      </c>
      <c r="J11" s="169">
        <f ca="1">'Segments+SG&amp;A'!H51</f>
        <v>31.086673197492459</v>
      </c>
      <c r="K11" s="169">
        <f ca="1">'Segments+SG&amp;A'!I51</f>
        <v>44.97866654999995</v>
      </c>
      <c r="L11" s="169">
        <f ca="1">'Segments+SG&amp;A'!J51</f>
        <v>56.354472252000036</v>
      </c>
      <c r="O11" s="494"/>
      <c r="P11" s="494"/>
    </row>
    <row r="12" spans="2:16" ht="13.5" customHeight="1">
      <c r="B12" s="532" t="s">
        <v>239</v>
      </c>
      <c r="C12" s="533">
        <f>D12</f>
        <v>5000</v>
      </c>
      <c r="D12" s="533">
        <f>E12</f>
        <v>5000</v>
      </c>
      <c r="E12" s="534">
        <v>5000</v>
      </c>
      <c r="F12" s="533">
        <f>E12</f>
        <v>5000</v>
      </c>
      <c r="G12" s="533">
        <f>F12</f>
        <v>5000</v>
      </c>
      <c r="I12" s="340" t="s">
        <v>245</v>
      </c>
      <c r="J12" s="726">
        <f ca="1">SUM(J10:J11)</f>
        <v>132.38345893793559</v>
      </c>
      <c r="K12" s="726">
        <f ca="1">SUM(K10:K11)</f>
        <v>157.29257744099991</v>
      </c>
      <c r="L12" s="726">
        <f ca="1">SUM(L10:L11)</f>
        <v>182.24859993377697</v>
      </c>
    </row>
    <row r="13" spans="2:16" ht="13.5" customHeight="1">
      <c r="B13" s="511" t="s">
        <v>277</v>
      </c>
      <c r="C13" s="533">
        <f>D13-5</f>
        <v>330.41957295373658</v>
      </c>
      <c r="D13" s="533">
        <f>E13-5</f>
        <v>335.41957295373658</v>
      </c>
      <c r="E13" s="535">
        <f>'Segments+SG&amp;A'!H39</f>
        <v>340.41957295373658</v>
      </c>
      <c r="F13" s="533">
        <f>E13+5</f>
        <v>345.41957295373658</v>
      </c>
      <c r="G13" s="533">
        <f>F13+5</f>
        <v>350.41957295373658</v>
      </c>
      <c r="I13" s="218"/>
      <c r="J13" s="727"/>
      <c r="K13" s="727"/>
      <c r="L13" s="727"/>
    </row>
    <row r="14" spans="2:16" ht="13.5" customHeight="1">
      <c r="B14" s="511" t="s">
        <v>222</v>
      </c>
      <c r="C14" s="537">
        <f>D14+0.005</f>
        <v>9.0000000000000011E-2</v>
      </c>
      <c r="D14" s="537">
        <f>E14+0.005</f>
        <v>8.5000000000000006E-2</v>
      </c>
      <c r="E14" s="538">
        <v>0.08</v>
      </c>
      <c r="F14" s="539">
        <f>E14-0.005</f>
        <v>7.4999999999999997E-2</v>
      </c>
      <c r="G14" s="539">
        <f>F14-0.005</f>
        <v>6.9999999999999993E-2</v>
      </c>
      <c r="I14" s="1029" t="s">
        <v>223</v>
      </c>
      <c r="J14" s="727"/>
      <c r="K14" s="727"/>
      <c r="L14" s="727"/>
    </row>
    <row r="15" spans="2:16" ht="13.5" customHeight="1">
      <c r="B15" s="544" t="s">
        <v>293</v>
      </c>
      <c r="C15" s="545">
        <f>C11*C12*C13/C14/10000000</f>
        <v>91.783214709371265</v>
      </c>
      <c r="D15" s="545">
        <f>D11*D12*D13/D14/10000000</f>
        <v>197.30563114925681</v>
      </c>
      <c r="E15" s="545">
        <f>E11*E12*E13/E14/10000000</f>
        <v>319.14334964412802</v>
      </c>
      <c r="F15" s="545">
        <f>F11*F12*F13/F14/10000000</f>
        <v>460.5594306049822</v>
      </c>
      <c r="G15" s="545">
        <f>G11*G12*G13/G14/10000000</f>
        <v>625.74923741738678</v>
      </c>
      <c r="I15" s="486" t="s">
        <v>244</v>
      </c>
      <c r="J15" s="727">
        <f ca="1">'Segments+SG&amp;A'!G14-'Segments+SG&amp;A'!H14</f>
        <v>1.9578053404433149</v>
      </c>
      <c r="K15" s="727">
        <f ca="1">'Segments+SG&amp;A'!H14-'Segments+SG&amp;A'!I14</f>
        <v>1.119674870556679</v>
      </c>
      <c r="L15" s="727">
        <f ca="1">'Segments+SG&amp;A'!I14-'Segments+SG&amp;A'!J14</f>
        <v>0.7373652410670104</v>
      </c>
    </row>
    <row r="16" spans="2:16" ht="13.5" customHeight="1">
      <c r="B16" s="511" t="s">
        <v>240</v>
      </c>
      <c r="C16" s="542">
        <f>D16+0.005</f>
        <v>7.5000000000000011E-2</v>
      </c>
      <c r="D16" s="542">
        <f>E16+0.005</f>
        <v>7.0000000000000007E-2</v>
      </c>
      <c r="E16" s="543">
        <v>6.5000000000000002E-2</v>
      </c>
      <c r="F16" s="542">
        <f>E16-0.005</f>
        <v>6.0000000000000005E-2</v>
      </c>
      <c r="G16" s="542">
        <f>F16-0.005</f>
        <v>5.5000000000000007E-2</v>
      </c>
      <c r="I16" s="482" t="s">
        <v>243</v>
      </c>
      <c r="J16" s="728">
        <f ca="1">'Segments+SG&amp;A'!G48-'Segments+SG&amp;A'!H48</f>
        <v>4.4848296974925006</v>
      </c>
      <c r="K16" s="728">
        <f ca="1">'Segments+SG&amp;A'!H48-'Segments+SG&amp;A'!I48</f>
        <v>2.0987289525074999</v>
      </c>
      <c r="L16" s="728">
        <f ca="1">'Segments+SG&amp;A'!I48-'Segments+SG&amp;A'!J48</f>
        <v>0.69252910199999462</v>
      </c>
    </row>
    <row r="17" spans="2:12" ht="13.5" customHeight="1">
      <c r="B17" s="511" t="s">
        <v>241</v>
      </c>
      <c r="C17" s="540">
        <f>C16*'Segments+SG&amp;A'!$H$9</f>
        <v>72.165717000000001</v>
      </c>
      <c r="D17" s="540">
        <f>D16*'Segments+SG&amp;A'!$H$9</f>
        <v>67.354669200000004</v>
      </c>
      <c r="E17" s="541">
        <f>E16*'Segments+SG&amp;A'!$H$9</f>
        <v>62.543621399999992</v>
      </c>
      <c r="F17" s="541">
        <f>F16*'Segments+SG&amp;A'!$H$9</f>
        <v>57.732573599999995</v>
      </c>
      <c r="G17" s="541">
        <f>G16*'Segments+SG&amp;A'!$H$9</f>
        <v>52.921525799999998</v>
      </c>
      <c r="I17" s="340" t="s">
        <v>246</v>
      </c>
      <c r="J17" s="729">
        <f ca="1">SUM(J15:J16)</f>
        <v>6.4426350379358155</v>
      </c>
      <c r="K17" s="729">
        <f ca="1">SUM(K15:K16)</f>
        <v>3.2184038230641789</v>
      </c>
      <c r="L17" s="729">
        <f ca="1">SUM(L15:L16)</f>
        <v>1.429894343067005</v>
      </c>
    </row>
    <row r="18" spans="2:12" ht="13.5" customHeight="1">
      <c r="B18" s="511" t="s">
        <v>287</v>
      </c>
      <c r="C18" s="546">
        <f>C17/'Segments+SG&amp;A'!$G$29</f>
        <v>0.15034524375</v>
      </c>
      <c r="D18" s="546">
        <f>D17/'Segments+SG&amp;A'!$G$29</f>
        <v>0.14032222750000001</v>
      </c>
      <c r="E18" s="546">
        <f>E17/'Segments+SG&amp;A'!$G$29</f>
        <v>0.13029921124999999</v>
      </c>
      <c r="F18" s="546">
        <f>F17/'Segments+SG&amp;A'!$G$29</f>
        <v>0.12027619499999999</v>
      </c>
      <c r="G18" s="546">
        <f>G17/'Segments+SG&amp;A'!$G$29</f>
        <v>0.11025317875</v>
      </c>
      <c r="I18" s="218"/>
      <c r="J18" s="727"/>
      <c r="K18" s="727"/>
      <c r="L18" s="727"/>
    </row>
    <row r="19" spans="2:12" ht="13.5" customHeight="1">
      <c r="B19" s="544" t="s">
        <v>288</v>
      </c>
      <c r="C19" s="510">
        <f>C18*C11</f>
        <v>7.5172621875000001</v>
      </c>
      <c r="D19" s="510">
        <f>D18*D11</f>
        <v>14.032222750000001</v>
      </c>
      <c r="E19" s="510">
        <f>E18*E11</f>
        <v>19.544881687499998</v>
      </c>
      <c r="F19" s="510">
        <f>F18*F11</f>
        <v>24.055238999999997</v>
      </c>
      <c r="G19" s="510">
        <f>G18*G11</f>
        <v>27.563294687500001</v>
      </c>
      <c r="I19" s="1029" t="s">
        <v>248</v>
      </c>
      <c r="J19" s="727"/>
      <c r="K19" s="727"/>
      <c r="L19" s="727"/>
    </row>
    <row r="20" spans="2:12" ht="13.5" customHeight="1">
      <c r="B20" s="218"/>
      <c r="C20" s="218"/>
      <c r="D20" s="218"/>
      <c r="E20" s="218"/>
      <c r="F20" s="218"/>
      <c r="G20" s="218"/>
      <c r="I20" s="486" t="s">
        <v>244</v>
      </c>
      <c r="J20" s="727">
        <f ca="1">J10+J15</f>
        <v>103.25459108088646</v>
      </c>
      <c r="K20" s="727">
        <f ca="1">K10+K15</f>
        <v>113.43358576155664</v>
      </c>
      <c r="L20" s="727">
        <f ca="1">L10+L15</f>
        <v>126.63149292284396</v>
      </c>
    </row>
    <row r="21" spans="2:12" ht="13.5" customHeight="1" thickBot="1">
      <c r="B21" s="723" t="s">
        <v>338</v>
      </c>
      <c r="C21" s="530"/>
      <c r="D21" s="530"/>
      <c r="E21" s="530"/>
      <c r="F21" s="530"/>
      <c r="G21" s="530"/>
      <c r="I21" s="482" t="s">
        <v>243</v>
      </c>
      <c r="J21" s="727">
        <f ca="1">J16+J11</f>
        <v>35.57150289498496</v>
      </c>
      <c r="K21" s="727">
        <f ca="1">K16+K11</f>
        <v>47.07739550250745</v>
      </c>
      <c r="L21" s="727">
        <f ca="1">L16+L11</f>
        <v>57.047001354000031</v>
      </c>
    </row>
    <row r="22" spans="2:12" ht="13.5" customHeight="1">
      <c r="B22" s="17"/>
      <c r="C22" s="218"/>
      <c r="D22" s="218"/>
      <c r="E22" s="218"/>
      <c r="F22" s="218"/>
      <c r="G22" s="218"/>
      <c r="I22" s="553" t="s">
        <v>248</v>
      </c>
      <c r="J22" s="729">
        <f ca="1">SUM(J20:J21)</f>
        <v>138.8260939758714</v>
      </c>
      <c r="K22" s="729">
        <f ca="1">SUM(K20:K21)</f>
        <v>160.5109812640641</v>
      </c>
      <c r="L22" s="729">
        <f ca="1">SUM(L20:L21)</f>
        <v>183.67849427684399</v>
      </c>
    </row>
    <row r="23" spans="2:12" ht="13.5" customHeight="1">
      <c r="B23" s="497" t="s">
        <v>321</v>
      </c>
      <c r="C23" s="498"/>
      <c r="D23" s="498"/>
      <c r="E23" s="498"/>
      <c r="F23" s="498"/>
      <c r="G23" s="499"/>
      <c r="I23" s="218"/>
      <c r="J23" s="727"/>
      <c r="K23" s="727"/>
      <c r="L23" s="727"/>
    </row>
    <row r="24" spans="2:12" ht="13.5" customHeight="1">
      <c r="B24" s="17"/>
      <c r="C24" s="488" t="s">
        <v>324</v>
      </c>
      <c r="D24" s="488" t="s">
        <v>325</v>
      </c>
      <c r="E24" s="488" t="s">
        <v>339</v>
      </c>
      <c r="F24" s="520" t="s">
        <v>326</v>
      </c>
      <c r="G24" s="520" t="s">
        <v>327</v>
      </c>
      <c r="I24" s="473" t="s">
        <v>249</v>
      </c>
      <c r="J24" s="727">
        <f ca="1">J20</f>
        <v>103.25459108088646</v>
      </c>
      <c r="K24" s="727">
        <f ca="1">K20</f>
        <v>113.43358576155664</v>
      </c>
      <c r="L24" s="727">
        <f ca="1">L20</f>
        <v>126.63149292284396</v>
      </c>
    </row>
    <row r="25" spans="2:12" ht="13.5" customHeight="1">
      <c r="B25" s="218" t="s">
        <v>328</v>
      </c>
      <c r="C25" s="500">
        <f>C15</f>
        <v>91.783214709371265</v>
      </c>
      <c r="D25" s="500">
        <f>D15</f>
        <v>197.30563114925681</v>
      </c>
      <c r="E25" s="500">
        <f>E15</f>
        <v>319.14334964412802</v>
      </c>
      <c r="F25" s="500">
        <f>F15</f>
        <v>460.5594306049822</v>
      </c>
      <c r="G25" s="500">
        <f>G15</f>
        <v>625.74923741738678</v>
      </c>
      <c r="I25" s="486" t="s">
        <v>281</v>
      </c>
      <c r="J25" s="730">
        <f ca="1">OFFSET(B19,0,$C$8)</f>
        <v>19.544881687499998</v>
      </c>
      <c r="K25" s="730">
        <f ca="1">J25</f>
        <v>19.544881687499998</v>
      </c>
      <c r="L25" s="730">
        <f ca="1">K25</f>
        <v>19.544881687499998</v>
      </c>
    </row>
    <row r="26" spans="2:12" ht="13.5" customHeight="1">
      <c r="B26" s="17"/>
      <c r="C26" s="218"/>
      <c r="D26" s="218"/>
      <c r="E26" s="218"/>
      <c r="F26" s="218"/>
      <c r="G26" s="218"/>
      <c r="I26" s="473" t="s">
        <v>251</v>
      </c>
      <c r="J26" s="727">
        <f ca="1">J24-J25</f>
        <v>83.709709393386461</v>
      </c>
      <c r="K26" s="727">
        <f ca="1">K24-K25</f>
        <v>93.888704074056648</v>
      </c>
      <c r="L26" s="727">
        <f ca="1">L24-L25</f>
        <v>107.08661123534397</v>
      </c>
    </row>
    <row r="27" spans="2:12" ht="13.5" customHeight="1">
      <c r="B27" s="218" t="s">
        <v>312</v>
      </c>
      <c r="C27" s="500">
        <f>C19</f>
        <v>7.5172621875000001</v>
      </c>
      <c r="D27" s="500">
        <f>D19</f>
        <v>14.032222750000001</v>
      </c>
      <c r="E27" s="500">
        <f>E19</f>
        <v>19.544881687499998</v>
      </c>
      <c r="F27" s="500">
        <f>F19</f>
        <v>24.055238999999997</v>
      </c>
      <c r="G27" s="500">
        <f>G19</f>
        <v>27.563294687500001</v>
      </c>
      <c r="I27" s="473" t="s">
        <v>252</v>
      </c>
      <c r="J27" s="731">
        <v>9.5</v>
      </c>
      <c r="K27" s="732">
        <f>J27-0.5</f>
        <v>9</v>
      </c>
      <c r="L27" s="732">
        <f>K27-0.5</f>
        <v>8.5</v>
      </c>
    </row>
    <row r="28" spans="2:12" ht="13.5" customHeight="1">
      <c r="B28" s="218" t="s">
        <v>295</v>
      </c>
      <c r="C28" s="667">
        <v>10</v>
      </c>
      <c r="D28" s="667">
        <v>10</v>
      </c>
      <c r="E28" s="667">
        <v>10</v>
      </c>
      <c r="F28" s="667">
        <v>10</v>
      </c>
      <c r="G28" s="667">
        <v>10</v>
      </c>
      <c r="I28" s="570" t="s">
        <v>283</v>
      </c>
      <c r="J28" s="729">
        <f ca="1">J26*J27</f>
        <v>795.24223923717136</v>
      </c>
      <c r="K28" s="729">
        <f ca="1">K26*K27</f>
        <v>844.99833666650989</v>
      </c>
      <c r="L28" s="729">
        <f ca="1">L26*L27</f>
        <v>910.23619550042372</v>
      </c>
    </row>
    <row r="29" spans="2:12" ht="13.5" customHeight="1">
      <c r="B29" s="473" t="s">
        <v>294</v>
      </c>
      <c r="C29" s="500">
        <f>C28*C27</f>
        <v>75.172621875000004</v>
      </c>
      <c r="D29" s="500">
        <f>D28*D27</f>
        <v>140.3222275</v>
      </c>
      <c r="E29" s="500">
        <f>E28*E27</f>
        <v>195.44881687499998</v>
      </c>
      <c r="F29" s="500">
        <f>F28*F27</f>
        <v>240.55238999999997</v>
      </c>
      <c r="G29" s="500">
        <f>G28*G27</f>
        <v>275.63294687500002</v>
      </c>
      <c r="I29" s="486"/>
      <c r="J29" s="727"/>
      <c r="K29" s="727"/>
      <c r="L29" s="727"/>
    </row>
    <row r="30" spans="2:12" ht="13.5" customHeight="1">
      <c r="B30" s="218"/>
      <c r="C30" s="218"/>
      <c r="D30" s="218"/>
      <c r="E30" s="218"/>
      <c r="F30" s="218"/>
      <c r="G30" s="218"/>
      <c r="I30" s="473" t="s">
        <v>250</v>
      </c>
      <c r="J30" s="727">
        <f ca="1">J21</f>
        <v>35.57150289498496</v>
      </c>
      <c r="K30" s="727">
        <f ca="1">K21</f>
        <v>47.07739550250745</v>
      </c>
      <c r="L30" s="727">
        <f ca="1">L21</f>
        <v>57.047001354000031</v>
      </c>
    </row>
    <row r="31" spans="2:12" ht="13.5" customHeight="1">
      <c r="B31" s="218" t="s">
        <v>315</v>
      </c>
      <c r="C31" s="500">
        <f>C25-C29</f>
        <v>16.610592834371261</v>
      </c>
      <c r="D31" s="500">
        <f>D25-D29</f>
        <v>56.983403649256815</v>
      </c>
      <c r="E31" s="500">
        <f>E25-E29</f>
        <v>123.69453276912805</v>
      </c>
      <c r="F31" s="500">
        <f>F25-F29</f>
        <v>220.00704060498222</v>
      </c>
      <c r="G31" s="500">
        <f>G25-G29</f>
        <v>350.11629054238676</v>
      </c>
      <c r="I31" s="486" t="s">
        <v>253</v>
      </c>
      <c r="J31" s="731">
        <v>11.5</v>
      </c>
      <c r="K31" s="732">
        <f>J31-0.5</f>
        <v>11</v>
      </c>
      <c r="L31" s="732">
        <f>K31-0.5</f>
        <v>10.5</v>
      </c>
    </row>
    <row r="32" spans="2:12" ht="13.5" customHeight="1">
      <c r="B32" s="218" t="s">
        <v>43</v>
      </c>
      <c r="C32" s="666">
        <f>IS!$H$31</f>
        <v>23.501390268123135</v>
      </c>
      <c r="D32" s="666">
        <f>IS!$H$31</f>
        <v>23.501390268123135</v>
      </c>
      <c r="E32" s="666">
        <f>IS!$H$31</f>
        <v>23.501390268123135</v>
      </c>
      <c r="F32" s="666">
        <f>IS!$H$31</f>
        <v>23.501390268123135</v>
      </c>
      <c r="G32" s="666">
        <f>IS!$H$31</f>
        <v>23.501390268123135</v>
      </c>
      <c r="I32" s="570" t="s">
        <v>282</v>
      </c>
      <c r="J32" s="729">
        <f ca="1">J30*J31</f>
        <v>409.07228329232703</v>
      </c>
      <c r="K32" s="729">
        <f ca="1">K30*K31</f>
        <v>517.85135052758199</v>
      </c>
      <c r="L32" s="729">
        <f ca="1">L30*L31</f>
        <v>598.99351421700032</v>
      </c>
    </row>
    <row r="33" spans="2:12" ht="13.5" customHeight="1">
      <c r="B33" s="340" t="s">
        <v>296</v>
      </c>
      <c r="C33" s="502">
        <f>C31/C32</f>
        <v>0.70679192357830722</v>
      </c>
      <c r="D33" s="502">
        <f>D31/D32</f>
        <v>2.4246822421628429</v>
      </c>
      <c r="E33" s="502">
        <f>E31/E32</f>
        <v>5.2632857613068573</v>
      </c>
      <c r="F33" s="502">
        <f>F31/F32</f>
        <v>9.3614479013778098</v>
      </c>
      <c r="G33" s="502">
        <f>G31/G32</f>
        <v>14.897684202848128</v>
      </c>
      <c r="I33" s="486"/>
      <c r="J33" s="727"/>
      <c r="K33" s="727"/>
      <c r="L33" s="727"/>
    </row>
    <row r="34" spans="2:12" ht="13.5" customHeight="1">
      <c r="B34" s="218" t="s">
        <v>316</v>
      </c>
      <c r="C34" s="490">
        <f>C25/Summary!$E$7</f>
        <v>1.822903966422468</v>
      </c>
      <c r="D34" s="490">
        <f>D25/Summary!$E$7</f>
        <v>3.9186818500348917</v>
      </c>
      <c r="E34" s="490">
        <f>E25/Summary!$E$7</f>
        <v>6.338497510310388</v>
      </c>
      <c r="F34" s="490">
        <f>F25/Summary!$E$7</f>
        <v>9.147158502581572</v>
      </c>
      <c r="G34" s="490">
        <f>G25/Summary!$E$7</f>
        <v>12.427988826561803</v>
      </c>
      <c r="I34" s="473" t="s">
        <v>254</v>
      </c>
      <c r="J34" s="727">
        <f ca="1">+J32+J28</f>
        <v>1204.3145225294984</v>
      </c>
      <c r="K34" s="727">
        <f ca="1">+K32+K28</f>
        <v>1362.849687194092</v>
      </c>
      <c r="L34" s="727">
        <f ca="1">+L32+L28</f>
        <v>1509.2297097174242</v>
      </c>
    </row>
    <row r="35" spans="2:12" ht="13.5" customHeight="1">
      <c r="B35" s="218" t="s">
        <v>256</v>
      </c>
      <c r="C35" s="490">
        <f>C32-C34</f>
        <v>21.678486301700666</v>
      </c>
      <c r="D35" s="490">
        <f>D32-D34</f>
        <v>19.582708418088245</v>
      </c>
      <c r="E35" s="490">
        <f>E32-E34</f>
        <v>17.162892757812749</v>
      </c>
      <c r="F35" s="490">
        <f>F32-F34</f>
        <v>14.354231765541563</v>
      </c>
      <c r="G35" s="490">
        <f>G32-G34</f>
        <v>11.073401441561332</v>
      </c>
      <c r="I35" s="486" t="s">
        <v>220</v>
      </c>
      <c r="J35" s="728">
        <f ca="1">BS!H41</f>
        <v>459.5789910375259</v>
      </c>
      <c r="K35" s="728">
        <f ca="1">BS!I41</f>
        <v>478.5674318885666</v>
      </c>
      <c r="L35" s="728">
        <f ca="1">BS!J41</f>
        <v>482.60973728694086</v>
      </c>
    </row>
    <row r="36" spans="2:12" ht="13.5" customHeight="1">
      <c r="B36" s="340" t="s">
        <v>322</v>
      </c>
      <c r="C36" s="502">
        <f>C31/C35</f>
        <v>0.76622475403497925</v>
      </c>
      <c r="D36" s="502">
        <f>D31/D35</f>
        <v>2.9098836806772921</v>
      </c>
      <c r="E36" s="502">
        <f>E31/E35</f>
        <v>7.2070911654925336</v>
      </c>
      <c r="F36" s="502">
        <f>F31/F35</f>
        <v>15.326981213521021</v>
      </c>
      <c r="G36" s="502">
        <f>G31/G35</f>
        <v>31.617772767481366</v>
      </c>
      <c r="I36" s="531" t="s">
        <v>255</v>
      </c>
      <c r="J36" s="726">
        <f ca="1">J34-J35</f>
        <v>744.73553149197255</v>
      </c>
      <c r="K36" s="726">
        <f ca="1">K34-K35</f>
        <v>884.28225530552538</v>
      </c>
      <c r="L36" s="726">
        <f ca="1">L34-L35</f>
        <v>1026.6199724304834</v>
      </c>
    </row>
    <row r="37" spans="2:12" ht="13.5" customHeight="1">
      <c r="I37" s="572"/>
      <c r="J37" s="733"/>
      <c r="K37" s="733"/>
      <c r="L37" s="733"/>
    </row>
    <row r="38" spans="2:12" ht="13.5" customHeight="1">
      <c r="I38" s="497" t="s">
        <v>292</v>
      </c>
      <c r="J38" s="498"/>
      <c r="K38" s="498"/>
      <c r="L38" s="498"/>
    </row>
    <row r="39" spans="2:12" ht="13.5" customHeight="1">
      <c r="I39" s="547"/>
      <c r="J39" s="611"/>
      <c r="K39" s="611"/>
      <c r="L39" s="611"/>
    </row>
    <row r="40" spans="2:12" ht="13.5" customHeight="1">
      <c r="I40" s="473" t="s">
        <v>43</v>
      </c>
      <c r="J40" s="734">
        <f>IS!H31</f>
        <v>23.501390268123135</v>
      </c>
      <c r="K40" s="734">
        <f>IS!I31</f>
        <v>23.104170804369407</v>
      </c>
      <c r="L40" s="734">
        <f>IS!J31</f>
        <v>22.706951340615678</v>
      </c>
    </row>
    <row r="41" spans="2:12" ht="13.5" customHeight="1">
      <c r="I41" s="473" t="s">
        <v>291</v>
      </c>
      <c r="J41" s="735">
        <f ca="1">OFFSET(B15,0,$C$8)</f>
        <v>319.14334964412802</v>
      </c>
      <c r="K41" s="735">
        <f t="shared" ref="K41:L42" ca="1" si="0">J41</f>
        <v>319.14334964412802</v>
      </c>
      <c r="L41" s="735">
        <f t="shared" ca="1" si="0"/>
        <v>319.14334964412802</v>
      </c>
    </row>
    <row r="42" spans="2:12" ht="13.5" customHeight="1">
      <c r="I42" s="482" t="s">
        <v>258</v>
      </c>
      <c r="J42" s="736">
        <f>Summary!E7</f>
        <v>50.35</v>
      </c>
      <c r="K42" s="736">
        <f t="shared" si="0"/>
        <v>50.35</v>
      </c>
      <c r="L42" s="736">
        <f t="shared" si="0"/>
        <v>50.35</v>
      </c>
    </row>
    <row r="43" spans="2:12" ht="13.5" customHeight="1">
      <c r="I43" s="486" t="s">
        <v>285</v>
      </c>
      <c r="J43" s="620">
        <f ca="1">J41/J42</f>
        <v>6.338497510310388</v>
      </c>
      <c r="K43" s="620">
        <f ca="1">K41/K42</f>
        <v>6.338497510310388</v>
      </c>
      <c r="L43" s="620">
        <f ca="1">L41/L42</f>
        <v>6.338497510310388</v>
      </c>
    </row>
    <row r="44" spans="2:12" ht="13.5" customHeight="1">
      <c r="I44" s="473" t="s">
        <v>256</v>
      </c>
      <c r="J44" s="727">
        <f ca="1">J40-J43</f>
        <v>17.162892757812749</v>
      </c>
      <c r="K44" s="727">
        <f ca="1">K40-K43</f>
        <v>16.76567329405902</v>
      </c>
      <c r="L44" s="727">
        <f ca="1">L40-L43</f>
        <v>16.368453830305292</v>
      </c>
    </row>
    <row r="45" spans="2:12" ht="13.5" customHeight="1">
      <c r="I45" s="553" t="s">
        <v>257</v>
      </c>
      <c r="J45" s="729">
        <f ca="1">J36/J44</f>
        <v>43.392191631154965</v>
      </c>
      <c r="K45" s="729">
        <f ca="1">K36/K44</f>
        <v>52.743617258656364</v>
      </c>
      <c r="L45" s="729">
        <f ca="1">L36/L44</f>
        <v>62.719422559616042</v>
      </c>
    </row>
    <row r="46" spans="2:12" ht="13.5" customHeight="1">
      <c r="I46" s="486" t="s">
        <v>286</v>
      </c>
      <c r="J46" s="737">
        <f ca="1">J45/Summary!$E$7-1</f>
        <v>-0.13818884545868992</v>
      </c>
      <c r="K46" s="737">
        <f ca="1">K45/Summary!$E$7-1</f>
        <v>4.7539568195756887E-2</v>
      </c>
      <c r="L46" s="737">
        <f ca="1">L45/Summary!$E$7-1</f>
        <v>0.24566876980369501</v>
      </c>
    </row>
    <row r="47" spans="2:12" ht="13.5" customHeight="1"/>
    <row r="48" spans="2:12" ht="13.5" customHeight="1"/>
    <row r="49" spans="9:14" ht="13.5" customHeight="1">
      <c r="I49" s="473"/>
      <c r="J49" s="565"/>
      <c r="K49" s="565"/>
      <c r="L49" s="565"/>
    </row>
    <row r="50" spans="9:14" ht="13.5" customHeight="1">
      <c r="I50" s="473"/>
      <c r="J50" s="610"/>
      <c r="K50" s="610"/>
      <c r="L50" s="610"/>
    </row>
    <row r="51" spans="9:14" ht="13.5" customHeight="1">
      <c r="I51" s="486"/>
      <c r="J51" s="565"/>
      <c r="K51" s="565"/>
      <c r="L51" s="565"/>
    </row>
    <row r="52" spans="9:14" ht="13.5" customHeight="1">
      <c r="I52" s="486"/>
      <c r="J52" s="565"/>
      <c r="K52" s="565"/>
      <c r="L52" s="565"/>
    </row>
    <row r="53" spans="9:14" ht="13.5" customHeight="1"/>
    <row r="54" spans="9:14" ht="13.5" customHeight="1">
      <c r="I54" s="556"/>
      <c r="J54" s="566"/>
      <c r="K54" s="566"/>
      <c r="L54" s="566"/>
    </row>
    <row r="55" spans="9:14" ht="13.5" customHeight="1"/>
    <row r="56" spans="9:14" ht="13.5" customHeight="1"/>
    <row r="57" spans="9:14" ht="13.5" customHeight="1"/>
    <row r="58" spans="9:14" ht="13.5" customHeight="1">
      <c r="K58" s="556"/>
      <c r="L58" s="566"/>
      <c r="M58" s="566"/>
      <c r="N58" s="566"/>
    </row>
    <row r="59" spans="9:14" ht="13.5" customHeight="1">
      <c r="K59" s="556"/>
      <c r="L59" s="566"/>
      <c r="M59" s="566"/>
      <c r="N59" s="566"/>
    </row>
    <row r="60" spans="9:14" ht="13.5" customHeight="1">
      <c r="K60" s="556"/>
      <c r="L60" s="566"/>
      <c r="M60" s="566"/>
      <c r="N60" s="566"/>
    </row>
    <row r="61" spans="9:14" ht="13.5" customHeight="1">
      <c r="K61" s="556"/>
      <c r="L61" s="566"/>
      <c r="M61" s="566"/>
      <c r="N61" s="566"/>
    </row>
    <row r="62" spans="9:14" ht="13.5" customHeight="1">
      <c r="K62" s="556"/>
      <c r="L62" s="566"/>
      <c r="M62" s="566"/>
      <c r="N62" s="566"/>
    </row>
    <row r="63" spans="9:14" ht="13.5" customHeight="1">
      <c r="K63" s="556"/>
      <c r="L63" s="566"/>
      <c r="M63" s="566"/>
      <c r="N63" s="566"/>
    </row>
    <row r="64" spans="9:14" ht="13.5" customHeight="1">
      <c r="K64" s="556"/>
      <c r="L64" s="566"/>
      <c r="M64" s="566"/>
      <c r="N64" s="566"/>
    </row>
    <row r="65" spans="11:15" ht="13.5" customHeight="1">
      <c r="K65" s="556"/>
      <c r="L65" s="566"/>
      <c r="M65" s="566"/>
      <c r="N65" s="566"/>
    </row>
    <row r="66" spans="11:15" ht="13.5" customHeight="1">
      <c r="K66" s="503"/>
      <c r="L66" s="566"/>
      <c r="M66" s="566"/>
      <c r="N66" s="566"/>
    </row>
    <row r="67" spans="11:15" ht="13.5" customHeight="1">
      <c r="K67" s="556"/>
      <c r="L67" s="566"/>
      <c r="M67" s="566"/>
      <c r="N67" s="566"/>
    </row>
    <row r="68" spans="11:15" ht="13.5" customHeight="1">
      <c r="K68" s="556"/>
      <c r="L68" s="566"/>
      <c r="M68" s="566"/>
      <c r="N68" s="566"/>
    </row>
    <row r="69" spans="11:15" ht="13.5" customHeight="1">
      <c r="K69" s="556"/>
      <c r="L69" s="566"/>
      <c r="M69" s="566"/>
      <c r="N69" s="566"/>
    </row>
    <row r="70" spans="11:15" ht="13.5" customHeight="1">
      <c r="K70" s="556"/>
      <c r="L70" s="566"/>
      <c r="M70" s="566"/>
      <c r="N70" s="566"/>
    </row>
    <row r="71" spans="11:15" ht="13.5" customHeight="1">
      <c r="K71" s="556"/>
      <c r="L71" s="566"/>
      <c r="M71" s="566"/>
      <c r="N71" s="566"/>
    </row>
    <row r="72" spans="11:15" ht="13.5" customHeight="1">
      <c r="K72" s="556"/>
      <c r="L72" s="566"/>
      <c r="M72" s="566"/>
      <c r="N72" s="566"/>
    </row>
    <row r="73" spans="11:15" ht="13.5" customHeight="1">
      <c r="K73" s="503"/>
      <c r="L73" s="566"/>
      <c r="M73" s="566"/>
      <c r="N73" s="566"/>
    </row>
    <row r="74" spans="11:15" ht="13.5" customHeight="1">
      <c r="K74" s="556"/>
      <c r="L74" s="566"/>
      <c r="M74" s="566"/>
      <c r="N74" s="566"/>
    </row>
    <row r="75" spans="11:15" ht="13.5" customHeight="1">
      <c r="K75" s="556"/>
      <c r="L75" s="566"/>
      <c r="M75" s="566"/>
      <c r="N75" s="566"/>
    </row>
    <row r="76" spans="11:15" ht="13.5" customHeight="1">
      <c r="K76" s="556"/>
      <c r="L76" s="566"/>
      <c r="M76" s="566"/>
      <c r="N76" s="566"/>
      <c r="O76" s="561"/>
    </row>
    <row r="77" spans="11:15" ht="13.5" customHeight="1">
      <c r="K77" s="556"/>
      <c r="L77" s="566"/>
      <c r="M77" s="566"/>
      <c r="N77" s="566"/>
    </row>
    <row r="78" spans="11:15" ht="13.5" customHeight="1">
      <c r="K78" s="556"/>
      <c r="L78" s="566"/>
      <c r="M78" s="566"/>
      <c r="N78" s="566"/>
    </row>
    <row r="79" spans="11:15" ht="13.5" customHeight="1">
      <c r="K79" s="556"/>
      <c r="L79" s="566"/>
      <c r="M79" s="566"/>
      <c r="N79" s="566"/>
    </row>
    <row r="80" spans="11:15" ht="13.5" customHeight="1">
      <c r="K80" s="556"/>
      <c r="L80" s="566"/>
      <c r="M80" s="566"/>
      <c r="N80" s="566"/>
    </row>
    <row r="81" spans="11:15" ht="13.5" customHeight="1">
      <c r="K81" s="556"/>
      <c r="L81" s="566"/>
      <c r="M81" s="566"/>
      <c r="N81" s="566"/>
    </row>
    <row r="82" spans="11:15" ht="13.5" customHeight="1">
      <c r="K82" s="556"/>
      <c r="L82" s="566"/>
      <c r="M82" s="566"/>
      <c r="N82" s="566"/>
    </row>
    <row r="83" spans="11:15" ht="13.5" customHeight="1">
      <c r="K83" s="556"/>
      <c r="L83" s="567"/>
      <c r="M83" s="567"/>
      <c r="N83" s="567"/>
    </row>
    <row r="84" spans="11:15" ht="13.5" customHeight="1">
      <c r="K84" s="503"/>
      <c r="L84" s="567"/>
      <c r="M84" s="567"/>
      <c r="N84" s="567"/>
    </row>
    <row r="85" spans="11:15" ht="13.5" customHeight="1">
      <c r="K85" s="556"/>
      <c r="L85" s="568"/>
      <c r="M85" s="569"/>
      <c r="N85" s="569"/>
    </row>
    <row r="86" spans="11:15" ht="13.5" customHeight="1">
      <c r="K86" s="556"/>
      <c r="L86" s="556"/>
      <c r="M86" s="559"/>
      <c r="N86" s="559"/>
    </row>
    <row r="87" spans="11:15" ht="13.5" customHeight="1">
      <c r="K87" s="556"/>
      <c r="L87" s="556"/>
      <c r="M87" s="560"/>
      <c r="N87" s="560"/>
      <c r="O87" s="562"/>
    </row>
    <row r="88" spans="11:15" ht="13.5" customHeight="1">
      <c r="K88" s="563"/>
      <c r="L88" s="556"/>
      <c r="M88" s="558"/>
      <c r="N88" s="558"/>
      <c r="O88" s="562"/>
    </row>
    <row r="89" spans="11:15" ht="13.5" customHeight="1">
      <c r="K89" s="556"/>
      <c r="L89" s="556"/>
      <c r="M89" s="559"/>
      <c r="N89" s="559"/>
    </row>
    <row r="90" spans="11:15" ht="13.5" customHeight="1">
      <c r="K90" s="556"/>
      <c r="L90" s="556"/>
      <c r="M90" s="560"/>
      <c r="N90" s="560"/>
    </row>
    <row r="91" spans="11:15" ht="13.5" customHeight="1">
      <c r="K91" s="556"/>
      <c r="L91" s="556"/>
      <c r="M91" s="559"/>
      <c r="N91" s="559"/>
    </row>
    <row r="92" spans="11:15" ht="13.5" customHeight="1">
      <c r="K92" s="556"/>
      <c r="L92" s="556"/>
      <c r="M92" s="557"/>
      <c r="N92" s="557"/>
    </row>
    <row r="93" spans="11:15" ht="13.5" customHeight="1">
      <c r="K93" s="556"/>
      <c r="L93" s="556"/>
      <c r="M93" s="557"/>
      <c r="N93" s="557"/>
    </row>
    <row r="94" spans="11:15" ht="13.5" customHeight="1">
      <c r="K94" s="556"/>
      <c r="L94" s="556"/>
      <c r="M94" s="557"/>
      <c r="N94" s="557"/>
    </row>
    <row r="95" spans="11:15" ht="13.5" customHeight="1">
      <c r="K95" s="556"/>
      <c r="L95" s="556"/>
      <c r="M95" s="557"/>
      <c r="N95" s="557"/>
    </row>
    <row r="96" spans="11:15" ht="13.5" customHeight="1">
      <c r="K96" s="556"/>
      <c r="L96" s="556"/>
      <c r="M96" s="560"/>
      <c r="N96" s="560"/>
    </row>
    <row r="97" spans="11:14" ht="13.5" customHeight="1">
      <c r="K97" s="563"/>
      <c r="L97" s="556"/>
      <c r="M97" s="558"/>
      <c r="N97" s="558"/>
    </row>
    <row r="98" spans="11:14" ht="13.5" customHeight="1">
      <c r="K98" s="556"/>
      <c r="L98" s="556"/>
      <c r="M98" s="556"/>
      <c r="N98" s="556"/>
    </row>
    <row r="99" spans="11:14" ht="13.5" customHeight="1">
      <c r="K99" s="556"/>
      <c r="L99" s="556"/>
      <c r="M99" s="556"/>
      <c r="N99" s="556"/>
    </row>
    <row r="100" spans="11:14" ht="13.5" customHeight="1">
      <c r="K100" s="556"/>
      <c r="L100" s="556"/>
      <c r="M100" s="556"/>
      <c r="N100" s="556"/>
    </row>
    <row r="101" spans="11:14" ht="13.5" customHeight="1">
      <c r="K101" s="556"/>
      <c r="L101" s="556"/>
      <c r="M101" s="556"/>
      <c r="N101" s="556"/>
    </row>
    <row r="102" spans="11:14" ht="13.5" customHeight="1">
      <c r="K102" s="556"/>
      <c r="L102" s="556"/>
      <c r="M102" s="556"/>
      <c r="N102" s="556"/>
    </row>
    <row r="103" spans="11:14" ht="13.5" customHeight="1">
      <c r="K103" s="556"/>
      <c r="L103" s="556"/>
      <c r="M103" s="556"/>
      <c r="N103" s="556"/>
    </row>
    <row r="104" spans="11:14" ht="13.5" customHeight="1">
      <c r="K104" s="556"/>
      <c r="L104" s="556"/>
      <c r="M104" s="556"/>
      <c r="N104" s="556"/>
    </row>
    <row r="105" spans="11:14" ht="13.5" customHeight="1">
      <c r="K105" s="556"/>
      <c r="L105" s="556"/>
      <c r="M105" s="556"/>
      <c r="N105" s="556"/>
    </row>
    <row r="106" spans="11:14" ht="13.5" customHeight="1">
      <c r="K106" s="556"/>
      <c r="L106" s="556"/>
      <c r="M106" s="556"/>
      <c r="N106" s="556"/>
    </row>
    <row r="107" spans="11:14" ht="13.5" customHeight="1">
      <c r="K107" s="556"/>
      <c r="L107" s="556"/>
      <c r="M107" s="556"/>
      <c r="N107" s="556"/>
    </row>
    <row r="108" spans="11:14" ht="13.5" customHeight="1">
      <c r="K108" s="556"/>
      <c r="L108" s="556"/>
      <c r="M108" s="556"/>
      <c r="N108" s="556"/>
    </row>
    <row r="109" spans="11:14" ht="13.5" customHeight="1">
      <c r="K109" s="556"/>
      <c r="L109" s="556"/>
      <c r="M109" s="556"/>
      <c r="N109" s="556"/>
    </row>
    <row r="110" spans="11:14" ht="13.5" customHeight="1">
      <c r="K110" s="556"/>
      <c r="L110" s="556"/>
      <c r="M110" s="556"/>
      <c r="N110" s="556"/>
    </row>
    <row r="111" spans="11:14" ht="13.5" customHeight="1">
      <c r="K111" s="556"/>
      <c r="L111" s="556"/>
      <c r="M111" s="556"/>
      <c r="N111" s="556"/>
    </row>
    <row r="112" spans="11:14" ht="13.5" customHeight="1">
      <c r="K112" s="556"/>
      <c r="L112" s="556"/>
      <c r="M112" s="556"/>
      <c r="N112" s="556"/>
    </row>
    <row r="113" spans="11:14" ht="13.5" customHeight="1">
      <c r="K113" s="556"/>
      <c r="L113" s="556"/>
      <c r="M113" s="556"/>
      <c r="N113" s="556"/>
    </row>
    <row r="114" spans="11:14" ht="13.5" customHeight="1">
      <c r="K114" s="556"/>
      <c r="L114" s="556"/>
      <c r="M114" s="556"/>
      <c r="N114" s="556"/>
    </row>
    <row r="115" spans="11:14" ht="13.5" customHeight="1">
      <c r="K115" s="556"/>
      <c r="L115" s="556"/>
      <c r="M115" s="556"/>
      <c r="N115" s="556"/>
    </row>
    <row r="116" spans="11:14" ht="13.5" customHeight="1">
      <c r="K116" s="556"/>
      <c r="L116" s="556"/>
      <c r="M116" s="556"/>
      <c r="N116" s="556"/>
    </row>
    <row r="117" spans="11:14" ht="13.5" customHeight="1">
      <c r="K117" s="556"/>
      <c r="L117" s="556"/>
      <c r="M117" s="556"/>
      <c r="N117" s="556"/>
    </row>
    <row r="118" spans="11:14" ht="13.5" customHeight="1">
      <c r="K118" s="556"/>
      <c r="L118" s="556"/>
      <c r="M118" s="556"/>
      <c r="N118" s="556"/>
    </row>
    <row r="119" spans="11:14" ht="13.5" customHeight="1">
      <c r="K119" s="556"/>
      <c r="L119" s="556"/>
      <c r="M119" s="556"/>
      <c r="N119" s="556"/>
    </row>
    <row r="120" spans="11:14" ht="13.5" customHeight="1">
      <c r="K120" s="556"/>
      <c r="L120" s="556"/>
      <c r="M120" s="556"/>
      <c r="N120" s="556"/>
    </row>
    <row r="121" spans="11:14" ht="13.5" customHeight="1">
      <c r="K121" s="556"/>
      <c r="L121" s="556"/>
      <c r="M121" s="556"/>
      <c r="N121" s="556"/>
    </row>
    <row r="122" spans="11:14" ht="13.5" customHeight="1">
      <c r="K122" s="556"/>
      <c r="L122" s="556"/>
      <c r="M122" s="556"/>
      <c r="N122" s="556"/>
    </row>
    <row r="123" spans="11:14" ht="13.5" customHeight="1">
      <c r="K123" s="556"/>
      <c r="L123" s="556"/>
      <c r="M123" s="556"/>
      <c r="N123" s="556"/>
    </row>
    <row r="124" spans="11:14" ht="13.5" customHeight="1">
      <c r="K124" s="556"/>
      <c r="L124" s="556"/>
      <c r="M124" s="556"/>
      <c r="N124" s="556"/>
    </row>
    <row r="125" spans="11:14" ht="13.5" customHeight="1">
      <c r="K125" s="556"/>
      <c r="L125" s="556"/>
      <c r="M125" s="556"/>
      <c r="N125" s="556"/>
    </row>
    <row r="126" spans="11:14" ht="13.5" customHeight="1">
      <c r="K126" s="556"/>
      <c r="L126" s="556"/>
      <c r="M126" s="556"/>
      <c r="N126" s="556"/>
    </row>
    <row r="127" spans="11:14" ht="13.5" customHeight="1">
      <c r="K127" s="556"/>
      <c r="L127" s="556"/>
      <c r="M127" s="556"/>
      <c r="N127" s="556"/>
    </row>
    <row r="128" spans="11:14" ht="13.5" customHeight="1">
      <c r="K128" s="556"/>
      <c r="L128" s="556"/>
      <c r="M128" s="556"/>
      <c r="N128" s="556"/>
    </row>
    <row r="129" spans="11:14" ht="13.5" customHeight="1">
      <c r="K129" s="556"/>
      <c r="L129" s="556"/>
      <c r="M129" s="556"/>
      <c r="N129" s="556"/>
    </row>
    <row r="130" spans="11:14" ht="13.5" customHeight="1">
      <c r="K130" s="556"/>
      <c r="L130" s="556"/>
      <c r="M130" s="556"/>
      <c r="N130" s="556"/>
    </row>
    <row r="131" spans="11:14" ht="13.5" customHeight="1">
      <c r="K131" s="556"/>
      <c r="L131" s="556"/>
      <c r="M131" s="556"/>
      <c r="N131" s="556"/>
    </row>
    <row r="132" spans="11:14" ht="13.5" customHeight="1">
      <c r="K132" s="556"/>
      <c r="L132" s="556"/>
      <c r="M132" s="556"/>
      <c r="N132" s="556"/>
    </row>
    <row r="133" spans="11:14" ht="13.5" customHeight="1">
      <c r="K133" s="556"/>
      <c r="L133" s="556"/>
      <c r="M133" s="556"/>
      <c r="N133" s="556"/>
    </row>
    <row r="134" spans="11:14" ht="13.5" customHeight="1">
      <c r="K134" s="556"/>
      <c r="L134" s="556"/>
      <c r="M134" s="556"/>
      <c r="N134" s="556"/>
    </row>
    <row r="135" spans="11:14" ht="13.5" customHeight="1">
      <c r="K135" s="556"/>
      <c r="L135" s="556"/>
      <c r="M135" s="556"/>
      <c r="N135" s="556"/>
    </row>
    <row r="136" spans="11:14" ht="13.5" customHeight="1">
      <c r="K136" s="556"/>
      <c r="L136" s="556"/>
      <c r="M136" s="556"/>
      <c r="N136" s="556"/>
    </row>
    <row r="137" spans="11:14" ht="13.5" customHeight="1">
      <c r="K137" s="556"/>
      <c r="L137" s="556"/>
      <c r="M137" s="556"/>
      <c r="N137" s="556"/>
    </row>
    <row r="138" spans="11:14" ht="13.5" customHeight="1">
      <c r="K138" s="556"/>
      <c r="L138" s="556"/>
      <c r="M138" s="556"/>
      <c r="N138" s="556"/>
    </row>
    <row r="139" spans="11:14" ht="13.5" customHeight="1">
      <c r="K139" s="556"/>
      <c r="L139" s="556"/>
      <c r="M139" s="556"/>
      <c r="N139" s="556"/>
    </row>
    <row r="140" spans="11:14" ht="13.5" customHeight="1">
      <c r="K140" s="556"/>
      <c r="L140" s="556"/>
      <c r="M140" s="556"/>
      <c r="N140" s="556"/>
    </row>
    <row r="141" spans="11:14" ht="13.5" customHeight="1">
      <c r="K141" s="556"/>
      <c r="L141" s="556"/>
      <c r="M141" s="556"/>
      <c r="N141" s="556"/>
    </row>
    <row r="142" spans="11:14" ht="13.5" customHeight="1">
      <c r="K142" s="556"/>
      <c r="L142" s="556"/>
      <c r="M142" s="556"/>
      <c r="N142" s="556"/>
    </row>
    <row r="143" spans="11:14" ht="13.5" customHeight="1">
      <c r="K143" s="556"/>
      <c r="L143" s="556"/>
      <c r="M143" s="556"/>
      <c r="N143" s="556"/>
    </row>
    <row r="144" spans="11:14" ht="13.5" customHeight="1">
      <c r="K144" s="556"/>
      <c r="L144" s="556"/>
      <c r="M144" s="556"/>
      <c r="N144" s="556"/>
    </row>
    <row r="145" spans="11:14" ht="13.5" customHeight="1">
      <c r="K145" s="556"/>
      <c r="L145" s="556"/>
      <c r="M145" s="556"/>
      <c r="N145" s="556"/>
    </row>
    <row r="146" spans="11:14" ht="13.5" customHeight="1">
      <c r="K146" s="556"/>
      <c r="L146" s="556"/>
      <c r="M146" s="556"/>
      <c r="N146" s="556"/>
    </row>
    <row r="147" spans="11:14" ht="13.5" customHeight="1">
      <c r="K147" s="556"/>
      <c r="L147" s="556"/>
      <c r="M147" s="556"/>
      <c r="N147" s="556"/>
    </row>
    <row r="148" spans="11:14" ht="13.5" customHeight="1">
      <c r="K148" s="556"/>
      <c r="L148" s="556"/>
      <c r="M148" s="556"/>
      <c r="N148" s="556"/>
    </row>
    <row r="149" spans="11:14" ht="13.5" customHeight="1">
      <c r="K149" s="556"/>
      <c r="L149" s="556"/>
      <c r="M149" s="556"/>
      <c r="N149" s="556"/>
    </row>
    <row r="150" spans="11:14" ht="13.5" customHeight="1">
      <c r="K150" s="556"/>
      <c r="L150" s="556"/>
      <c r="M150" s="556"/>
      <c r="N150" s="556"/>
    </row>
    <row r="151" spans="11:14" ht="13.5" customHeight="1">
      <c r="K151" s="556"/>
      <c r="L151" s="556"/>
      <c r="M151" s="556"/>
      <c r="N151" s="556"/>
    </row>
    <row r="152" spans="11:14" ht="13.5" customHeight="1">
      <c r="K152" s="556"/>
      <c r="L152" s="556"/>
      <c r="M152" s="556"/>
      <c r="N152" s="556"/>
    </row>
    <row r="153" spans="11:14" ht="13.5" customHeight="1">
      <c r="K153" s="556"/>
      <c r="L153" s="556"/>
      <c r="M153" s="556"/>
      <c r="N153" s="556"/>
    </row>
    <row r="154" spans="11:14" ht="13.5" customHeight="1">
      <c r="K154" s="556"/>
      <c r="L154" s="556"/>
      <c r="M154" s="556"/>
      <c r="N154" s="556"/>
    </row>
    <row r="155" spans="11:14" ht="13.5" customHeight="1">
      <c r="K155" s="556"/>
      <c r="L155" s="556"/>
      <c r="M155" s="556"/>
      <c r="N155" s="556"/>
    </row>
    <row r="156" spans="11:14" ht="13.5" customHeight="1">
      <c r="K156" s="556"/>
      <c r="L156" s="556"/>
      <c r="M156" s="556"/>
      <c r="N156" s="556"/>
    </row>
    <row r="157" spans="11:14" ht="13.5" customHeight="1">
      <c r="K157" s="556"/>
      <c r="L157" s="556"/>
      <c r="M157" s="556"/>
      <c r="N157" s="556"/>
    </row>
    <row r="158" spans="11:14" ht="13.5" customHeight="1">
      <c r="K158" s="556"/>
      <c r="L158" s="556"/>
      <c r="M158" s="556"/>
      <c r="N158" s="556"/>
    </row>
    <row r="159" spans="11:14" ht="13.5" customHeight="1">
      <c r="K159" s="556"/>
      <c r="L159" s="556"/>
      <c r="M159" s="556"/>
      <c r="N159" s="556"/>
    </row>
    <row r="160" spans="11:14" ht="13.5" customHeight="1">
      <c r="K160" s="556"/>
      <c r="L160" s="556"/>
      <c r="M160" s="556"/>
      <c r="N160" s="556"/>
    </row>
    <row r="161" spans="11:14" ht="13.5" customHeight="1">
      <c r="K161" s="556"/>
      <c r="L161" s="556"/>
      <c r="M161" s="556"/>
      <c r="N161" s="556"/>
    </row>
    <row r="162" spans="11:14" ht="13.5" customHeight="1">
      <c r="K162" s="556"/>
      <c r="L162" s="556"/>
      <c r="M162" s="556"/>
      <c r="N162" s="556"/>
    </row>
    <row r="163" spans="11:14" ht="13.5" customHeight="1">
      <c r="K163" s="556"/>
      <c r="L163" s="556"/>
      <c r="M163" s="556"/>
      <c r="N163" s="556"/>
    </row>
    <row r="164" spans="11:14" ht="13.5" customHeight="1">
      <c r="K164" s="556"/>
      <c r="L164" s="556"/>
      <c r="M164" s="556"/>
      <c r="N164" s="556"/>
    </row>
    <row r="165" spans="11:14" ht="13.5" customHeight="1">
      <c r="K165" s="556"/>
      <c r="L165" s="556"/>
      <c r="M165" s="556"/>
      <c r="N165" s="556"/>
    </row>
    <row r="166" spans="11:14" ht="13.5" customHeight="1">
      <c r="K166" s="556"/>
      <c r="L166" s="556"/>
      <c r="M166" s="556"/>
      <c r="N166" s="556"/>
    </row>
    <row r="167" spans="11:14" ht="13.5" customHeight="1">
      <c r="K167" s="556"/>
      <c r="L167" s="556"/>
      <c r="M167" s="556"/>
      <c r="N167" s="556"/>
    </row>
    <row r="168" spans="11:14" ht="13.5" customHeight="1">
      <c r="K168" s="556"/>
      <c r="L168" s="556"/>
      <c r="M168" s="556"/>
      <c r="N168" s="556"/>
    </row>
    <row r="169" spans="11:14" ht="13.5" customHeight="1">
      <c r="K169" s="556"/>
      <c r="L169" s="556"/>
      <c r="M169" s="556"/>
      <c r="N169" s="556"/>
    </row>
    <row r="170" spans="11:14" ht="13.5" customHeight="1">
      <c r="K170" s="556"/>
      <c r="L170" s="556"/>
      <c r="M170" s="556"/>
      <c r="N170" s="556"/>
    </row>
    <row r="171" spans="11:14" ht="13.5" customHeight="1">
      <c r="K171" s="556"/>
      <c r="L171" s="556"/>
      <c r="M171" s="556"/>
      <c r="N171" s="556"/>
    </row>
    <row r="172" spans="11:14" ht="13.5" customHeight="1">
      <c r="K172" s="556"/>
      <c r="L172" s="556"/>
      <c r="M172" s="556"/>
      <c r="N172" s="556"/>
    </row>
    <row r="173" spans="11:14" ht="13.5" customHeight="1">
      <c r="K173" s="556"/>
      <c r="L173" s="556"/>
      <c r="M173" s="556"/>
      <c r="N173" s="556"/>
    </row>
    <row r="174" spans="11:14" ht="13.5" customHeight="1">
      <c r="K174" s="556"/>
      <c r="L174" s="556"/>
      <c r="M174" s="556"/>
      <c r="N174" s="556"/>
    </row>
    <row r="175" spans="11:14" ht="13.5" customHeight="1">
      <c r="K175" s="556"/>
      <c r="L175" s="556"/>
      <c r="M175" s="556"/>
      <c r="N175" s="556"/>
    </row>
    <row r="176" spans="11:14" ht="13.5" customHeight="1">
      <c r="K176" s="556"/>
      <c r="L176" s="556"/>
      <c r="M176" s="556"/>
      <c r="N176" s="556"/>
    </row>
    <row r="177" spans="11:14" ht="13.5" customHeight="1">
      <c r="K177" s="556"/>
      <c r="L177" s="556"/>
      <c r="M177" s="556"/>
      <c r="N177" s="556"/>
    </row>
    <row r="178" spans="11:14" ht="13.5" customHeight="1">
      <c r="K178" s="556"/>
      <c r="L178" s="556"/>
      <c r="M178" s="556"/>
      <c r="N178" s="556"/>
    </row>
    <row r="179" spans="11:14" ht="13.5" customHeight="1">
      <c r="K179" s="556"/>
      <c r="L179" s="556"/>
      <c r="M179" s="556"/>
      <c r="N179" s="556"/>
    </row>
    <row r="180" spans="11:14" ht="13.5" customHeight="1">
      <c r="K180" s="556"/>
      <c r="L180" s="556"/>
      <c r="M180" s="556"/>
      <c r="N180" s="556"/>
    </row>
    <row r="181" spans="11:14" ht="13.5" customHeight="1">
      <c r="K181" s="556"/>
      <c r="L181" s="556"/>
      <c r="M181" s="556"/>
      <c r="N181" s="556"/>
    </row>
    <row r="182" spans="11:14" ht="13.5" customHeight="1">
      <c r="K182" s="556"/>
      <c r="L182" s="556"/>
      <c r="M182" s="556"/>
      <c r="N182" s="556"/>
    </row>
    <row r="183" spans="11:14" ht="13.5" customHeight="1">
      <c r="K183" s="556"/>
      <c r="L183" s="556"/>
      <c r="M183" s="556"/>
      <c r="N183" s="556"/>
    </row>
    <row r="184" spans="11:14" ht="13.5" customHeight="1">
      <c r="K184" s="556"/>
      <c r="L184" s="556"/>
      <c r="M184" s="556"/>
      <c r="N184" s="556"/>
    </row>
    <row r="185" spans="11:14" ht="13.5" customHeight="1">
      <c r="K185" s="556"/>
      <c r="L185" s="556"/>
      <c r="M185" s="556"/>
      <c r="N185" s="556"/>
    </row>
    <row r="186" spans="11:14" ht="13.5" customHeight="1">
      <c r="K186" s="556"/>
      <c r="L186" s="556"/>
      <c r="M186" s="556"/>
      <c r="N186" s="556"/>
    </row>
    <row r="187" spans="11:14" ht="13.5" customHeight="1">
      <c r="K187" s="556"/>
      <c r="L187" s="556"/>
      <c r="M187" s="556"/>
      <c r="N187" s="556"/>
    </row>
    <row r="188" spans="11:14" ht="13.5" customHeight="1">
      <c r="K188" s="556"/>
      <c r="L188" s="556"/>
      <c r="M188" s="556"/>
      <c r="N188" s="556"/>
    </row>
    <row r="189" spans="11:14" ht="13.5" customHeight="1">
      <c r="K189" s="556"/>
      <c r="L189" s="556"/>
      <c r="M189" s="556"/>
      <c r="N189" s="556"/>
    </row>
    <row r="190" spans="11:14" ht="13.5" customHeight="1">
      <c r="K190" s="556"/>
      <c r="L190" s="556"/>
      <c r="M190" s="556"/>
      <c r="N190" s="556"/>
    </row>
    <row r="191" spans="11:14" ht="13.5" customHeight="1">
      <c r="K191" s="556"/>
      <c r="L191" s="556"/>
      <c r="M191" s="556"/>
      <c r="N191" s="556"/>
    </row>
    <row r="192" spans="11:14" ht="13.5" customHeight="1">
      <c r="K192" s="556"/>
      <c r="L192" s="556"/>
      <c r="M192" s="556"/>
      <c r="N192" s="556"/>
    </row>
    <row r="193" spans="11:14" ht="13.5" customHeight="1">
      <c r="K193" s="556"/>
      <c r="L193" s="556"/>
      <c r="M193" s="556"/>
      <c r="N193" s="556"/>
    </row>
    <row r="194" spans="11:14" ht="13.5" customHeight="1">
      <c r="K194" s="556"/>
      <c r="L194" s="556"/>
      <c r="M194" s="556"/>
      <c r="N194" s="556"/>
    </row>
    <row r="195" spans="11:14" ht="13.5" customHeight="1"/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 tint="-0.249977111117893"/>
    <outlinePr summaryBelow="0" summaryRight="0"/>
    <pageSetUpPr autoPageBreaks="0"/>
  </sheetPr>
  <dimension ref="B1:IE195"/>
  <sheetViews>
    <sheetView showGridLines="0" view="pageBreakPreview" zoomScaleNormal="100" zoomScaleSheetLayoutView="100" workbookViewId="0"/>
  </sheetViews>
  <sheetFormatPr defaultRowHeight="11.25"/>
  <cols>
    <col min="1" max="1" width="5.83203125" style="327" customWidth="1"/>
    <col min="2" max="2" width="38.5" style="327" bestFit="1" customWidth="1"/>
    <col min="3" max="3" width="22.1640625" style="327" bestFit="1" customWidth="1"/>
    <col min="4" max="4" width="17.1640625" style="327" bestFit="1" customWidth="1"/>
    <col min="5" max="5" width="21" style="327" bestFit="1" customWidth="1"/>
    <col min="6" max="6" width="22.83203125" style="327" bestFit="1" customWidth="1"/>
    <col min="7" max="7" width="11.33203125" style="327" bestFit="1" customWidth="1"/>
    <col min="8" max="8" width="15.6640625" style="327" bestFit="1" customWidth="1"/>
    <col min="9" max="16384" width="9.33203125" style="327"/>
  </cols>
  <sheetData>
    <row r="1" spans="2:239" ht="13.5" customHeight="1"/>
    <row r="2" spans="2:239" ht="13.5" customHeight="1">
      <c r="B2" s="437" t="s">
        <v>45</v>
      </c>
    </row>
    <row r="3" spans="2:239" s="332" customFormat="1" ht="13.5" customHeight="1">
      <c r="B3" s="335" t="s">
        <v>199</v>
      </c>
      <c r="C3" s="333"/>
      <c r="D3" s="333"/>
      <c r="E3" s="333"/>
      <c r="F3" s="333"/>
      <c r="G3" s="333"/>
      <c r="H3" s="333"/>
      <c r="I3" s="334"/>
      <c r="J3" s="334"/>
      <c r="K3" s="334"/>
      <c r="L3" s="334"/>
      <c r="M3" s="334"/>
      <c r="N3" s="334"/>
      <c r="O3" s="334"/>
      <c r="P3" s="334"/>
      <c r="Q3" s="334"/>
      <c r="R3" s="334"/>
      <c r="S3" s="334"/>
      <c r="T3" s="334"/>
      <c r="U3" s="334"/>
      <c r="V3" s="334"/>
      <c r="W3" s="334"/>
      <c r="X3" s="334"/>
      <c r="Y3" s="334"/>
      <c r="Z3" s="334"/>
      <c r="AA3" s="334"/>
      <c r="AB3" s="334"/>
      <c r="AC3" s="334"/>
      <c r="AD3" s="334"/>
      <c r="AE3" s="334"/>
      <c r="AF3" s="334"/>
      <c r="AG3" s="334"/>
      <c r="AH3" s="334"/>
      <c r="AI3" s="334"/>
      <c r="AJ3" s="334"/>
      <c r="AK3" s="334"/>
      <c r="AL3" s="334"/>
      <c r="AM3" s="334"/>
      <c r="AN3" s="334"/>
      <c r="AO3" s="334"/>
      <c r="AP3" s="334"/>
      <c r="AQ3" s="334"/>
      <c r="AR3" s="334"/>
      <c r="AS3" s="334"/>
      <c r="AT3" s="334"/>
      <c r="AU3" s="334"/>
      <c r="AV3" s="334"/>
      <c r="AW3" s="334"/>
      <c r="AX3" s="334"/>
      <c r="AY3" s="334"/>
      <c r="AZ3" s="334"/>
      <c r="BA3" s="334"/>
      <c r="BB3" s="334"/>
      <c r="BC3" s="334"/>
      <c r="BD3" s="334"/>
      <c r="BE3" s="334"/>
      <c r="BF3" s="334"/>
      <c r="BG3" s="334"/>
      <c r="BH3" s="334"/>
      <c r="BI3" s="334"/>
      <c r="BJ3" s="334"/>
      <c r="BK3" s="334"/>
      <c r="BL3" s="334"/>
      <c r="BM3" s="334"/>
      <c r="BN3" s="334"/>
      <c r="BO3" s="334"/>
      <c r="BP3" s="334"/>
      <c r="BQ3" s="334"/>
      <c r="BR3" s="334"/>
      <c r="BS3" s="334"/>
      <c r="BT3" s="334"/>
      <c r="BU3" s="334"/>
      <c r="BV3" s="334"/>
      <c r="BW3" s="334"/>
      <c r="BX3" s="334"/>
      <c r="BY3" s="334"/>
      <c r="BZ3" s="334"/>
      <c r="CA3" s="334"/>
      <c r="CB3" s="334"/>
      <c r="CC3" s="334"/>
      <c r="CD3" s="334"/>
      <c r="CE3" s="334"/>
      <c r="CF3" s="334"/>
      <c r="CG3" s="334"/>
      <c r="CH3" s="334"/>
      <c r="CI3" s="334"/>
      <c r="CJ3" s="334"/>
      <c r="CK3" s="334"/>
      <c r="CL3" s="334"/>
      <c r="CM3" s="334"/>
      <c r="CN3" s="334"/>
      <c r="CO3" s="334"/>
      <c r="CP3" s="334"/>
      <c r="CQ3" s="334"/>
      <c r="CR3" s="334"/>
      <c r="CS3" s="334"/>
      <c r="CT3" s="334"/>
      <c r="CU3" s="334"/>
      <c r="CV3" s="334"/>
      <c r="CW3" s="334"/>
      <c r="CX3" s="334"/>
      <c r="CY3" s="334"/>
      <c r="CZ3" s="334"/>
      <c r="DA3" s="334"/>
      <c r="DB3" s="334"/>
      <c r="DC3" s="334"/>
      <c r="DD3" s="334"/>
      <c r="DE3" s="334"/>
      <c r="DF3" s="334"/>
      <c r="DG3" s="334"/>
      <c r="DH3" s="334"/>
      <c r="DI3" s="334"/>
      <c r="DJ3" s="334"/>
      <c r="DK3" s="334"/>
      <c r="DL3" s="334"/>
      <c r="DM3" s="334"/>
      <c r="DN3" s="334"/>
      <c r="DO3" s="334"/>
      <c r="DP3" s="334"/>
      <c r="DQ3" s="334"/>
      <c r="DR3" s="334"/>
      <c r="DS3" s="334"/>
      <c r="DT3" s="334"/>
      <c r="DU3" s="334"/>
      <c r="DV3" s="334"/>
      <c r="DW3" s="334"/>
      <c r="DX3" s="334"/>
      <c r="DY3" s="334"/>
      <c r="DZ3" s="334"/>
      <c r="EA3" s="334"/>
      <c r="EB3" s="334"/>
      <c r="EC3" s="334"/>
      <c r="ED3" s="334"/>
      <c r="EE3" s="334"/>
      <c r="EF3" s="334"/>
      <c r="EG3" s="334"/>
      <c r="EH3" s="334"/>
      <c r="EI3" s="334"/>
      <c r="EJ3" s="334"/>
      <c r="EK3" s="334"/>
      <c r="EL3" s="334"/>
      <c r="EM3" s="334"/>
      <c r="EN3" s="334"/>
      <c r="EO3" s="334"/>
      <c r="EP3" s="334"/>
      <c r="EQ3" s="334"/>
      <c r="ER3" s="334"/>
      <c r="ES3" s="334"/>
      <c r="ET3" s="334"/>
      <c r="EU3" s="334"/>
      <c r="EV3" s="334"/>
      <c r="EW3" s="334"/>
      <c r="EX3" s="334"/>
      <c r="EY3" s="334"/>
      <c r="EZ3" s="334"/>
      <c r="FA3" s="334"/>
      <c r="FB3" s="334"/>
      <c r="FC3" s="334"/>
      <c r="FD3" s="334"/>
      <c r="FE3" s="334"/>
      <c r="FF3" s="334"/>
      <c r="FG3" s="334"/>
      <c r="FH3" s="334"/>
      <c r="FI3" s="334"/>
      <c r="FJ3" s="334"/>
      <c r="FK3" s="334"/>
      <c r="FL3" s="334"/>
      <c r="FM3" s="334"/>
      <c r="FN3" s="334"/>
      <c r="FO3" s="334"/>
      <c r="FP3" s="334"/>
      <c r="FQ3" s="334"/>
      <c r="FR3" s="334"/>
      <c r="FS3" s="334"/>
      <c r="FT3" s="334"/>
      <c r="FU3" s="334"/>
      <c r="FV3" s="334"/>
      <c r="FW3" s="334"/>
      <c r="FX3" s="334"/>
      <c r="FY3" s="334"/>
      <c r="FZ3" s="334"/>
      <c r="GA3" s="334"/>
      <c r="GB3" s="334"/>
      <c r="GC3" s="334"/>
      <c r="GD3" s="334"/>
      <c r="GE3" s="334"/>
      <c r="GF3" s="334"/>
      <c r="GG3" s="334"/>
      <c r="GH3" s="334"/>
      <c r="GI3" s="334"/>
      <c r="GJ3" s="334"/>
      <c r="GK3" s="334"/>
      <c r="GL3" s="334"/>
      <c r="GM3" s="334"/>
      <c r="GN3" s="334"/>
      <c r="GO3" s="334"/>
      <c r="GP3" s="334"/>
      <c r="GQ3" s="334"/>
      <c r="GR3" s="334"/>
      <c r="GS3" s="334"/>
      <c r="GT3" s="334"/>
      <c r="GU3" s="334"/>
      <c r="GV3" s="334"/>
      <c r="GW3" s="334"/>
      <c r="GX3" s="334"/>
      <c r="GY3" s="334"/>
      <c r="GZ3" s="334"/>
      <c r="HA3" s="334"/>
      <c r="HB3" s="334"/>
      <c r="HC3" s="334"/>
      <c r="HD3" s="334"/>
      <c r="HE3" s="334"/>
      <c r="HF3" s="334"/>
      <c r="HG3" s="334"/>
      <c r="HH3" s="334"/>
      <c r="HI3" s="334"/>
      <c r="HJ3" s="334"/>
      <c r="HK3" s="334"/>
      <c r="HL3" s="334"/>
      <c r="HM3" s="334"/>
      <c r="HN3" s="334"/>
      <c r="HO3" s="334"/>
      <c r="HP3" s="334"/>
      <c r="HQ3" s="334"/>
      <c r="HR3" s="334"/>
      <c r="HS3" s="334"/>
      <c r="HT3" s="334"/>
      <c r="HU3" s="334"/>
      <c r="HV3" s="334"/>
      <c r="HW3" s="334"/>
      <c r="HX3" s="334"/>
      <c r="HY3" s="334"/>
      <c r="HZ3" s="334"/>
      <c r="IA3" s="334"/>
      <c r="IB3" s="334"/>
      <c r="IC3" s="334"/>
      <c r="ID3" s="334"/>
      <c r="IE3" s="334"/>
    </row>
    <row r="4" spans="2:239" s="332" customFormat="1" ht="13.5" customHeight="1">
      <c r="B4" s="434"/>
      <c r="C4" s="333"/>
      <c r="D4" s="333"/>
      <c r="E4" s="333"/>
      <c r="F4" s="333"/>
      <c r="G4" s="333"/>
      <c r="H4" s="333"/>
      <c r="I4" s="334"/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334"/>
      <c r="V4" s="334"/>
      <c r="W4" s="334"/>
      <c r="X4" s="334"/>
      <c r="Y4" s="334"/>
      <c r="Z4" s="334"/>
      <c r="AA4" s="334"/>
      <c r="AB4" s="334"/>
      <c r="AC4" s="334"/>
      <c r="AD4" s="334"/>
      <c r="AE4" s="334"/>
      <c r="AF4" s="334"/>
      <c r="AG4" s="334"/>
      <c r="AH4" s="334"/>
      <c r="AI4" s="334"/>
      <c r="AJ4" s="334"/>
      <c r="AK4" s="334"/>
      <c r="AL4" s="334"/>
      <c r="AM4" s="334"/>
      <c r="AN4" s="334"/>
      <c r="AO4" s="334"/>
      <c r="AP4" s="334"/>
      <c r="AQ4" s="334"/>
      <c r="AR4" s="334"/>
      <c r="AS4" s="334"/>
      <c r="AT4" s="334"/>
      <c r="AU4" s="334"/>
      <c r="AV4" s="334"/>
      <c r="AW4" s="334"/>
      <c r="AX4" s="334"/>
      <c r="AY4" s="334"/>
      <c r="AZ4" s="334"/>
      <c r="BA4" s="334"/>
      <c r="BB4" s="334"/>
      <c r="BC4" s="334"/>
      <c r="BD4" s="334"/>
      <c r="BE4" s="334"/>
      <c r="BF4" s="334"/>
      <c r="BG4" s="334"/>
      <c r="BH4" s="334"/>
      <c r="BI4" s="334"/>
      <c r="BJ4" s="334"/>
      <c r="BK4" s="334"/>
      <c r="BL4" s="334"/>
      <c r="BM4" s="334"/>
      <c r="BN4" s="334"/>
      <c r="BO4" s="334"/>
      <c r="BP4" s="334"/>
      <c r="BQ4" s="334"/>
      <c r="BR4" s="334"/>
      <c r="BS4" s="334"/>
      <c r="BT4" s="334"/>
      <c r="BU4" s="334"/>
      <c r="BV4" s="334"/>
      <c r="BW4" s="334"/>
      <c r="BX4" s="334"/>
      <c r="BY4" s="334"/>
      <c r="BZ4" s="334"/>
      <c r="CA4" s="334"/>
      <c r="CB4" s="334"/>
      <c r="CC4" s="334"/>
      <c r="CD4" s="334"/>
      <c r="CE4" s="334"/>
      <c r="CF4" s="334"/>
      <c r="CG4" s="334"/>
      <c r="CH4" s="334"/>
      <c r="CI4" s="334"/>
      <c r="CJ4" s="334"/>
      <c r="CK4" s="334"/>
      <c r="CL4" s="334"/>
      <c r="CM4" s="334"/>
      <c r="CN4" s="334"/>
      <c r="CO4" s="334"/>
      <c r="CP4" s="334"/>
      <c r="CQ4" s="334"/>
      <c r="CR4" s="334"/>
      <c r="CS4" s="334"/>
      <c r="CT4" s="334"/>
      <c r="CU4" s="334"/>
      <c r="CV4" s="334"/>
      <c r="CW4" s="334"/>
      <c r="CX4" s="334"/>
      <c r="CY4" s="334"/>
      <c r="CZ4" s="334"/>
      <c r="DA4" s="334"/>
      <c r="DB4" s="334"/>
      <c r="DC4" s="334"/>
      <c r="DD4" s="334"/>
      <c r="DE4" s="334"/>
      <c r="DF4" s="334"/>
      <c r="DG4" s="334"/>
      <c r="DH4" s="334"/>
      <c r="DI4" s="334"/>
      <c r="DJ4" s="334"/>
      <c r="DK4" s="334"/>
      <c r="DL4" s="334"/>
      <c r="DM4" s="334"/>
      <c r="DN4" s="334"/>
      <c r="DO4" s="334"/>
      <c r="DP4" s="334"/>
      <c r="DQ4" s="334"/>
      <c r="DR4" s="334"/>
      <c r="DS4" s="334"/>
      <c r="DT4" s="334"/>
      <c r="DU4" s="334"/>
      <c r="DV4" s="334"/>
      <c r="DW4" s="334"/>
      <c r="DX4" s="334"/>
      <c r="DY4" s="334"/>
      <c r="DZ4" s="334"/>
      <c r="EA4" s="334"/>
      <c r="EB4" s="334"/>
      <c r="EC4" s="334"/>
      <c r="ED4" s="334"/>
      <c r="EE4" s="334"/>
      <c r="EF4" s="334"/>
      <c r="EG4" s="334"/>
      <c r="EH4" s="334"/>
      <c r="EI4" s="334"/>
      <c r="EJ4" s="334"/>
      <c r="EK4" s="334"/>
      <c r="EL4" s="334"/>
      <c r="EM4" s="334"/>
      <c r="EN4" s="334"/>
      <c r="EO4" s="334"/>
      <c r="EP4" s="334"/>
      <c r="EQ4" s="334"/>
      <c r="ER4" s="334"/>
      <c r="ES4" s="334"/>
      <c r="ET4" s="334"/>
      <c r="EU4" s="334"/>
      <c r="EV4" s="334"/>
      <c r="EW4" s="334"/>
      <c r="EX4" s="334"/>
      <c r="EY4" s="334"/>
      <c r="EZ4" s="334"/>
      <c r="FA4" s="334"/>
      <c r="FB4" s="334"/>
      <c r="FC4" s="334"/>
      <c r="FD4" s="334"/>
      <c r="FE4" s="334"/>
      <c r="FF4" s="334"/>
      <c r="FG4" s="334"/>
      <c r="FH4" s="334"/>
      <c r="FI4" s="334"/>
      <c r="FJ4" s="334"/>
      <c r="FK4" s="334"/>
      <c r="FL4" s="334"/>
      <c r="FM4" s="334"/>
      <c r="FN4" s="334"/>
      <c r="FO4" s="334"/>
      <c r="FP4" s="334"/>
      <c r="FQ4" s="334"/>
      <c r="FR4" s="334"/>
      <c r="FS4" s="334"/>
      <c r="FT4" s="334"/>
      <c r="FU4" s="334"/>
      <c r="FV4" s="334"/>
      <c r="FW4" s="334"/>
      <c r="FX4" s="334"/>
      <c r="FY4" s="334"/>
      <c r="FZ4" s="334"/>
      <c r="GA4" s="334"/>
      <c r="GB4" s="334"/>
      <c r="GC4" s="334"/>
      <c r="GD4" s="334"/>
      <c r="GE4" s="334"/>
      <c r="GF4" s="334"/>
      <c r="GG4" s="334"/>
      <c r="GH4" s="334"/>
      <c r="GI4" s="334"/>
      <c r="GJ4" s="334"/>
      <c r="GK4" s="334"/>
      <c r="GL4" s="334"/>
      <c r="GM4" s="334"/>
      <c r="GN4" s="334"/>
      <c r="GO4" s="334"/>
      <c r="GP4" s="334"/>
      <c r="GQ4" s="334"/>
      <c r="GR4" s="334"/>
      <c r="GS4" s="334"/>
      <c r="GT4" s="334"/>
      <c r="GU4" s="334"/>
      <c r="GV4" s="334"/>
      <c r="GW4" s="334"/>
      <c r="GX4" s="334"/>
      <c r="GY4" s="334"/>
      <c r="GZ4" s="334"/>
      <c r="HA4" s="334"/>
      <c r="HB4" s="334"/>
      <c r="HC4" s="334"/>
      <c r="HD4" s="334"/>
      <c r="HE4" s="334"/>
      <c r="HF4" s="334"/>
      <c r="HG4" s="334"/>
      <c r="HH4" s="334"/>
      <c r="HI4" s="334"/>
      <c r="HJ4" s="334"/>
      <c r="HK4" s="334"/>
      <c r="HL4" s="334"/>
      <c r="HM4" s="334"/>
      <c r="HN4" s="334"/>
      <c r="HO4" s="334"/>
      <c r="HP4" s="334"/>
      <c r="HQ4" s="334"/>
      <c r="HR4" s="334"/>
      <c r="HS4" s="334"/>
      <c r="HT4" s="334"/>
      <c r="HU4" s="334"/>
      <c r="HV4" s="334"/>
      <c r="HW4" s="334"/>
      <c r="HX4" s="334"/>
      <c r="HY4" s="334"/>
      <c r="HZ4" s="334"/>
      <c r="IA4" s="334"/>
      <c r="IB4" s="334"/>
      <c r="IC4" s="334"/>
      <c r="ID4" s="334"/>
      <c r="IE4" s="334"/>
    </row>
    <row r="5" spans="2:239" ht="13.5" customHeight="1">
      <c r="B5" s="433" t="s">
        <v>198</v>
      </c>
      <c r="C5" s="368" t="s">
        <v>200</v>
      </c>
      <c r="D5" s="368" t="s">
        <v>203</v>
      </c>
      <c r="E5" s="368" t="s">
        <v>197</v>
      </c>
      <c r="F5" s="368" t="s">
        <v>204</v>
      </c>
      <c r="G5" s="368" t="s">
        <v>196</v>
      </c>
      <c r="H5" s="369" t="s">
        <v>195</v>
      </c>
      <c r="I5" s="432"/>
      <c r="J5" s="432"/>
    </row>
    <row r="6" spans="2:239" ht="13.5" customHeight="1">
      <c r="B6" s="330" t="s">
        <v>194</v>
      </c>
      <c r="C6" s="336">
        <v>2380610</v>
      </c>
      <c r="D6" s="339">
        <v>0.10086000000000001</v>
      </c>
      <c r="E6" s="337">
        <v>118.5</v>
      </c>
      <c r="F6" s="762">
        <v>56866</v>
      </c>
      <c r="G6" s="339">
        <v>2.4500000000000001E-2</v>
      </c>
      <c r="H6" s="331">
        <v>41912</v>
      </c>
    </row>
    <row r="7" spans="2:239" ht="13.5" customHeight="1">
      <c r="B7" s="330" t="s">
        <v>193</v>
      </c>
      <c r="C7" s="336">
        <v>2100000</v>
      </c>
      <c r="D7" s="339">
        <v>8.8980000000000004E-2</v>
      </c>
      <c r="E7" s="337">
        <v>104.5</v>
      </c>
      <c r="F7" s="338">
        <v>100000</v>
      </c>
      <c r="G7" s="339">
        <v>0.05</v>
      </c>
      <c r="H7" s="331">
        <v>41976</v>
      </c>
    </row>
    <row r="8" spans="2:239" ht="13.5" customHeight="1">
      <c r="B8" s="330" t="s">
        <v>192</v>
      </c>
      <c r="C8" s="336">
        <v>1982079</v>
      </c>
      <c r="D8" s="339">
        <v>8.3979999999999999E-2</v>
      </c>
      <c r="E8" s="337">
        <v>98.6</v>
      </c>
      <c r="F8" s="338">
        <v>-118159</v>
      </c>
      <c r="G8" s="339">
        <v>-5.6299999999999996E-2</v>
      </c>
      <c r="H8" s="331">
        <v>41912</v>
      </c>
    </row>
    <row r="9" spans="2:239" ht="13.5" customHeight="1">
      <c r="B9" s="330" t="s">
        <v>191</v>
      </c>
      <c r="C9" s="336">
        <v>1528635</v>
      </c>
      <c r="D9" s="339">
        <v>6.4770000000000008E-2</v>
      </c>
      <c r="E9" s="337">
        <v>76.099999999999994</v>
      </c>
      <c r="F9" s="338">
        <v>102500</v>
      </c>
      <c r="G9" s="339">
        <v>7.1900000000000006E-2</v>
      </c>
      <c r="H9" s="331">
        <v>41912</v>
      </c>
    </row>
    <row r="10" spans="2:239" ht="13.5" customHeight="1">
      <c r="B10" s="330" t="s">
        <v>190</v>
      </c>
      <c r="C10" s="336">
        <v>1456666</v>
      </c>
      <c r="D10" s="339">
        <v>6.1719999999999997E-2</v>
      </c>
      <c r="E10" s="337">
        <v>72.5</v>
      </c>
      <c r="F10" s="338">
        <v>-62266</v>
      </c>
      <c r="G10" s="339">
        <v>-4.0999999999999995E-2</v>
      </c>
      <c r="H10" s="331">
        <v>41912</v>
      </c>
    </row>
    <row r="11" spans="2:239" ht="13.5" customHeight="1">
      <c r="B11" s="330" t="s">
        <v>189</v>
      </c>
      <c r="C11" s="336">
        <v>1256590</v>
      </c>
      <c r="D11" s="339">
        <v>5.3239999999999996E-2</v>
      </c>
      <c r="E11" s="337">
        <v>62.5</v>
      </c>
      <c r="F11" s="338">
        <v>-160277</v>
      </c>
      <c r="G11" s="339">
        <v>-0.11310000000000001</v>
      </c>
      <c r="H11" s="331">
        <v>41912</v>
      </c>
    </row>
    <row r="12" spans="2:239" ht="13.5" customHeight="1">
      <c r="B12" s="330" t="s">
        <v>188</v>
      </c>
      <c r="C12" s="336">
        <v>755760</v>
      </c>
      <c r="D12" s="339">
        <v>3.202E-2</v>
      </c>
      <c r="E12" s="337">
        <v>37.6</v>
      </c>
      <c r="F12" s="338">
        <v>11351</v>
      </c>
      <c r="G12" s="339">
        <v>1.5300000000000001E-2</v>
      </c>
      <c r="H12" s="331">
        <v>41912</v>
      </c>
    </row>
    <row r="13" spans="2:239" ht="13.5" customHeight="1">
      <c r="B13" s="330" t="s">
        <v>187</v>
      </c>
      <c r="C13" s="336">
        <v>635000</v>
      </c>
      <c r="D13" s="339">
        <v>2.69E-2</v>
      </c>
      <c r="E13" s="337">
        <v>31.6</v>
      </c>
      <c r="F13" s="338">
        <v>635000</v>
      </c>
      <c r="G13" s="339" t="s">
        <v>176</v>
      </c>
      <c r="H13" s="331">
        <v>41912</v>
      </c>
    </row>
    <row r="14" spans="2:239" ht="13.5" customHeight="1">
      <c r="B14" s="330" t="s">
        <v>186</v>
      </c>
      <c r="C14" s="336">
        <v>580465</v>
      </c>
      <c r="D14" s="339">
        <v>2.4590000000000001E-2</v>
      </c>
      <c r="E14" s="337">
        <v>28.9</v>
      </c>
      <c r="F14" s="338">
        <v>15975</v>
      </c>
      <c r="G14" s="339">
        <v>2.8300000000000002E-2</v>
      </c>
      <c r="H14" s="331">
        <v>41912</v>
      </c>
    </row>
    <row r="15" spans="2:239" ht="13.5" customHeight="1">
      <c r="B15" s="330" t="s">
        <v>185</v>
      </c>
      <c r="C15" s="336">
        <v>482643</v>
      </c>
      <c r="D15" s="339">
        <v>2.0449999999999999E-2</v>
      </c>
      <c r="E15" s="337">
        <v>24</v>
      </c>
      <c r="F15" s="338">
        <v>4327</v>
      </c>
      <c r="G15" s="339">
        <v>9.1000000000000004E-3</v>
      </c>
      <c r="H15" s="331">
        <v>41884</v>
      </c>
    </row>
    <row r="16" spans="2:239" ht="13.5" customHeight="1">
      <c r="B16" s="330" t="s">
        <v>184</v>
      </c>
      <c r="C16" s="336">
        <v>474875</v>
      </c>
      <c r="D16" s="339">
        <v>2.0119999999999999E-2</v>
      </c>
      <c r="E16" s="337">
        <v>23.6</v>
      </c>
      <c r="F16" s="338">
        <v>-19878</v>
      </c>
      <c r="G16" s="339">
        <v>-4.0199999999999993E-2</v>
      </c>
      <c r="H16" s="331">
        <v>41912</v>
      </c>
    </row>
    <row r="17" spans="2:8" ht="13.5" customHeight="1">
      <c r="B17" s="330" t="s">
        <v>183</v>
      </c>
      <c r="C17" s="336">
        <v>430473</v>
      </c>
      <c r="D17" s="339">
        <v>1.8239999999999999E-2</v>
      </c>
      <c r="E17" s="337">
        <v>21.4</v>
      </c>
      <c r="F17" s="338">
        <v>-2230</v>
      </c>
      <c r="G17" s="339">
        <v>-5.1999999999999998E-3</v>
      </c>
      <c r="H17" s="331">
        <v>41912</v>
      </c>
    </row>
    <row r="18" spans="2:8" ht="13.5" customHeight="1">
      <c r="B18" s="330" t="s">
        <v>182</v>
      </c>
      <c r="C18" s="336">
        <v>429870</v>
      </c>
      <c r="D18" s="339">
        <v>1.821E-2</v>
      </c>
      <c r="E18" s="337">
        <v>21.4</v>
      </c>
      <c r="F18" s="338" t="s">
        <v>152</v>
      </c>
      <c r="G18" s="339">
        <v>0</v>
      </c>
      <c r="H18" s="331">
        <v>41820</v>
      </c>
    </row>
    <row r="19" spans="2:8" ht="13.5" customHeight="1">
      <c r="B19" s="330" t="s">
        <v>181</v>
      </c>
      <c r="C19" s="336">
        <v>419559</v>
      </c>
      <c r="D19" s="339">
        <v>1.7780000000000001E-2</v>
      </c>
      <c r="E19" s="337">
        <v>20.9</v>
      </c>
      <c r="F19" s="338">
        <v>419559</v>
      </c>
      <c r="G19" s="339" t="s">
        <v>176</v>
      </c>
      <c r="H19" s="331">
        <v>41912</v>
      </c>
    </row>
    <row r="20" spans="2:8" ht="13.5" customHeight="1">
      <c r="B20" s="330" t="s">
        <v>336</v>
      </c>
      <c r="C20" s="336">
        <v>413637</v>
      </c>
      <c r="D20" s="339">
        <v>1.753E-2</v>
      </c>
      <c r="E20" s="337">
        <v>20.6</v>
      </c>
      <c r="F20" s="338">
        <v>210600</v>
      </c>
      <c r="G20" s="339">
        <v>1.0373000000000001</v>
      </c>
      <c r="H20" s="331">
        <v>41912</v>
      </c>
    </row>
    <row r="21" spans="2:8" ht="13.5" customHeight="1">
      <c r="B21" s="330" t="s">
        <v>180</v>
      </c>
      <c r="C21" s="336">
        <v>383875</v>
      </c>
      <c r="D21" s="339">
        <v>1.626E-2</v>
      </c>
      <c r="E21" s="337">
        <v>19.100000000000001</v>
      </c>
      <c r="F21" s="338">
        <v>-41237</v>
      </c>
      <c r="G21" s="339">
        <v>-9.6999999999999989E-2</v>
      </c>
      <c r="H21" s="331">
        <v>41912</v>
      </c>
    </row>
    <row r="22" spans="2:8" ht="13.5" customHeight="1">
      <c r="B22" s="330" t="s">
        <v>179</v>
      </c>
      <c r="C22" s="336">
        <v>362418</v>
      </c>
      <c r="D22" s="339">
        <v>1.536E-2</v>
      </c>
      <c r="E22" s="337">
        <v>18</v>
      </c>
      <c r="F22" s="338">
        <v>-125651</v>
      </c>
      <c r="G22" s="339">
        <v>-0.25750000000000001</v>
      </c>
      <c r="H22" s="331">
        <v>41912</v>
      </c>
    </row>
    <row r="23" spans="2:8" ht="13.5" customHeight="1">
      <c r="B23" s="330" t="s">
        <v>178</v>
      </c>
      <c r="C23" s="336">
        <v>359399</v>
      </c>
      <c r="D23" s="339">
        <v>1.5229999999999999E-2</v>
      </c>
      <c r="E23" s="337">
        <v>17.899999999999999</v>
      </c>
      <c r="F23" s="338">
        <v>-43601</v>
      </c>
      <c r="G23" s="339">
        <v>-0.1082</v>
      </c>
      <c r="H23" s="331">
        <v>41912</v>
      </c>
    </row>
    <row r="24" spans="2:8" ht="13.5" customHeight="1">
      <c r="B24" s="330" t="s">
        <v>177</v>
      </c>
      <c r="C24" s="336">
        <v>343327</v>
      </c>
      <c r="D24" s="339">
        <v>1.455E-2</v>
      </c>
      <c r="E24" s="337">
        <v>17.100000000000001</v>
      </c>
      <c r="F24" s="338">
        <v>343327</v>
      </c>
      <c r="G24" s="339" t="s">
        <v>176</v>
      </c>
      <c r="H24" s="331">
        <v>41912</v>
      </c>
    </row>
    <row r="25" spans="2:8" ht="13.5" customHeight="1">
      <c r="B25" s="330" t="s">
        <v>335</v>
      </c>
      <c r="C25" s="336">
        <v>301238</v>
      </c>
      <c r="D25" s="339">
        <v>1.2760000000000001E-2</v>
      </c>
      <c r="E25" s="337">
        <v>15</v>
      </c>
      <c r="F25" s="338">
        <v>196582</v>
      </c>
      <c r="G25" s="339">
        <v>1.8784000000000001</v>
      </c>
      <c r="H25" s="331">
        <v>41912</v>
      </c>
    </row>
    <row r="26" spans="2:8" ht="13.5" customHeight="1">
      <c r="B26" s="330" t="s">
        <v>175</v>
      </c>
      <c r="C26" s="336">
        <v>279593</v>
      </c>
      <c r="D26" s="339">
        <v>1.1850000000000001E-2</v>
      </c>
      <c r="E26" s="337">
        <v>13.9</v>
      </c>
      <c r="F26" s="338">
        <v>1115</v>
      </c>
      <c r="G26" s="339">
        <v>4.0000000000000001E-3</v>
      </c>
      <c r="H26" s="331">
        <v>41912</v>
      </c>
    </row>
    <row r="27" spans="2:8" ht="13.5" customHeight="1">
      <c r="B27" s="330" t="s">
        <v>174</v>
      </c>
      <c r="C27" s="336">
        <v>263315</v>
      </c>
      <c r="D27" s="339">
        <v>1.1160000000000002E-2</v>
      </c>
      <c r="E27" s="337">
        <v>13.1</v>
      </c>
      <c r="F27" s="338" t="s">
        <v>152</v>
      </c>
      <c r="G27" s="339">
        <v>0</v>
      </c>
      <c r="H27" s="331">
        <v>41912</v>
      </c>
    </row>
    <row r="28" spans="2:8" ht="13.5" customHeight="1"/>
    <row r="29" spans="2:8" ht="13.5" customHeight="1"/>
    <row r="30" spans="2:8" ht="13.5" customHeight="1"/>
    <row r="31" spans="2:8" ht="13.5" customHeight="1"/>
    <row r="32" spans="2:8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</sheetData>
  <pageMargins left="0.2" right="0.2" top="0.5" bottom="0.5" header="0.5" footer="0.5"/>
  <pageSetup fitToWidth="0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 tint="-0.249977111117893"/>
    <pageSetUpPr fitToPage="1"/>
  </sheetPr>
  <dimension ref="B1:K196"/>
  <sheetViews>
    <sheetView showGridLines="0" view="pageBreakPreview" zoomScaleNormal="100" zoomScaleSheetLayoutView="100" workbookViewId="0"/>
  </sheetViews>
  <sheetFormatPr defaultRowHeight="11.25"/>
  <cols>
    <col min="1" max="1" width="5.83203125" style="17" customWidth="1"/>
    <col min="2" max="2" width="40.1640625" style="17" customWidth="1"/>
    <col min="3" max="3" width="11.6640625" style="17" bestFit="1" customWidth="1"/>
    <col min="4" max="4" width="10.83203125" style="17" bestFit="1" customWidth="1"/>
    <col min="5" max="6" width="12.1640625" style="17" bestFit="1" customWidth="1"/>
    <col min="7" max="7" width="11.33203125" style="17" bestFit="1" customWidth="1"/>
    <col min="8" max="10" width="12.1640625" style="17" bestFit="1" customWidth="1"/>
    <col min="11" max="16384" width="9.33203125" style="17"/>
  </cols>
  <sheetData>
    <row r="1" spans="2:11" ht="13.5" customHeight="1"/>
    <row r="2" spans="2:11" ht="13.5" customHeight="1">
      <c r="B2" s="437" t="s">
        <v>45</v>
      </c>
      <c r="C2" s="6"/>
      <c r="D2" s="5"/>
      <c r="E2" s="5"/>
      <c r="F2" s="5"/>
      <c r="G2" s="5"/>
      <c r="H2" s="5"/>
      <c r="I2" s="5"/>
      <c r="J2" s="5"/>
    </row>
    <row r="3" spans="2:11" ht="13.5" customHeight="1">
      <c r="B3" s="335" t="s">
        <v>154</v>
      </c>
      <c r="C3" s="6"/>
      <c r="D3" s="5"/>
      <c r="E3" s="5"/>
      <c r="F3" s="5"/>
      <c r="G3" s="5"/>
      <c r="H3" s="5"/>
      <c r="I3" s="5"/>
      <c r="J3" s="5"/>
    </row>
    <row r="4" spans="2:11" ht="13.5" customHeight="1">
      <c r="B4" s="10"/>
      <c r="C4" s="6" t="s">
        <v>12</v>
      </c>
      <c r="D4" s="5"/>
      <c r="E4" s="5"/>
      <c r="F4" s="764"/>
      <c r="G4" s="5"/>
      <c r="H4" s="5"/>
      <c r="I4" s="5"/>
      <c r="J4" s="5"/>
    </row>
    <row r="5" spans="2:11" ht="13.5" customHeight="1">
      <c r="B5" s="91"/>
      <c r="C5" s="20">
        <v>2010</v>
      </c>
      <c r="D5" s="20">
        <f t="shared" ref="D5:J5" si="0">+C5+1</f>
        <v>2011</v>
      </c>
      <c r="E5" s="20">
        <f t="shared" si="0"/>
        <v>2012</v>
      </c>
      <c r="F5" s="20">
        <f t="shared" si="0"/>
        <v>2013</v>
      </c>
      <c r="G5" s="1071">
        <f t="shared" si="0"/>
        <v>2014</v>
      </c>
      <c r="H5" s="15">
        <f t="shared" si="0"/>
        <v>2015</v>
      </c>
      <c r="I5" s="15">
        <f t="shared" si="0"/>
        <v>2016</v>
      </c>
      <c r="J5" s="15">
        <f t="shared" si="0"/>
        <v>2017</v>
      </c>
    </row>
    <row r="6" spans="2:11" s="366" customFormat="1" ht="13.5" customHeight="1">
      <c r="B6" s="357" t="s">
        <v>0</v>
      </c>
      <c r="C6" s="367">
        <f>IS!C29</f>
        <v>70.328000000000003</v>
      </c>
      <c r="D6" s="367">
        <f>IS!D29</f>
        <v>54.163000000000075</v>
      </c>
      <c r="E6" s="367">
        <f>IS!E29</f>
        <v>74.375999999999962</v>
      </c>
      <c r="F6" s="367">
        <f>IS!F29</f>
        <v>-1.7</v>
      </c>
      <c r="G6" s="742">
        <f>IS!G29</f>
        <v>32.5</v>
      </c>
      <c r="H6" s="367">
        <f ca="1">IS!H29</f>
        <v>33.020012223818085</v>
      </c>
      <c r="I6" s="367">
        <f ca="1">IS!I29</f>
        <v>43.471762314349391</v>
      </c>
      <c r="J6" s="367">
        <f ca="1">IS!J29</f>
        <v>47.265455715595316</v>
      </c>
    </row>
    <row r="7" spans="2:11" s="356" customFormat="1" ht="13.5" customHeight="1">
      <c r="B7" s="357" t="s">
        <v>113</v>
      </c>
      <c r="C7" s="358">
        <f>BS!C37</f>
        <v>638.15700000000004</v>
      </c>
      <c r="D7" s="358">
        <f>BS!D37</f>
        <v>664.11</v>
      </c>
      <c r="E7" s="358">
        <f>BS!E37</f>
        <v>656.58600000000001</v>
      </c>
      <c r="F7" s="358">
        <f>BS!F37</f>
        <v>591.72</v>
      </c>
      <c r="G7" s="743">
        <f>BS!G37</f>
        <v>385.58800000000002</v>
      </c>
      <c r="H7" s="358">
        <f ca="1">BS!H37</f>
        <v>377.3573657491408</v>
      </c>
      <c r="I7" s="358">
        <f ca="1">BS!I37</f>
        <v>369.2048738430334</v>
      </c>
      <c r="J7" s="358">
        <f ca="1">BS!J37</f>
        <v>374.68100636728582</v>
      </c>
    </row>
    <row r="8" spans="2:11" s="417" customFormat="1" ht="13.5" customHeight="1">
      <c r="B8" s="435" t="s">
        <v>201</v>
      </c>
      <c r="C8" s="418">
        <f>C6/C7</f>
        <v>0.1102048555449521</v>
      </c>
      <c r="D8" s="418">
        <f t="shared" ref="D8:E8" si="1">D6/D7</f>
        <v>8.155727213865184E-2</v>
      </c>
      <c r="E8" s="418">
        <f t="shared" si="1"/>
        <v>0.11327685939084897</v>
      </c>
      <c r="F8" s="418">
        <f>F6/F7</f>
        <v>-2.8729804637328462E-3</v>
      </c>
      <c r="G8" s="744">
        <f>G6/G7</f>
        <v>8.4286855400064309E-2</v>
      </c>
      <c r="H8" s="419">
        <f t="shared" ref="H8:J8" ca="1" si="2">H6/H7</f>
        <v>8.7503293219852216E-2</v>
      </c>
      <c r="I8" s="419">
        <f t="shared" ca="1" si="2"/>
        <v>0.1177442807345802</v>
      </c>
      <c r="J8" s="420">
        <f t="shared" ca="1" si="2"/>
        <v>0.12614852344360031</v>
      </c>
    </row>
    <row r="9" spans="2:11" s="356" customFormat="1" ht="13.5" customHeight="1">
      <c r="B9" s="360"/>
      <c r="C9" s="361"/>
      <c r="D9" s="361"/>
      <c r="E9" s="361"/>
      <c r="F9" s="362"/>
      <c r="G9" s="745"/>
      <c r="H9" s="362"/>
      <c r="I9" s="362"/>
      <c r="J9" s="362"/>
    </row>
    <row r="10" spans="2:11" s="356" customFormat="1" ht="13.5" customHeight="1">
      <c r="B10" s="357" t="s">
        <v>141</v>
      </c>
      <c r="C10" s="358">
        <f>IS!C22</f>
        <v>106.41399999999999</v>
      </c>
      <c r="D10" s="358">
        <f>IS!D22</f>
        <v>88.540000000000077</v>
      </c>
      <c r="E10" s="358">
        <f>IS!E22</f>
        <v>107.87399999999997</v>
      </c>
      <c r="F10" s="358">
        <f>IS!F22</f>
        <v>30.642999999999972</v>
      </c>
      <c r="G10" s="743">
        <f>IS!G22</f>
        <v>33.125000000000114</v>
      </c>
      <c r="H10" s="358">
        <f>IS!H22</f>
        <v>51.712152900000092</v>
      </c>
      <c r="I10" s="358">
        <f>IS!I22</f>
        <v>75.238801380999689</v>
      </c>
      <c r="J10" s="358">
        <f>IS!J22</f>
        <v>84.208938947324839</v>
      </c>
    </row>
    <row r="11" spans="2:11" s="356" customFormat="1" ht="13.5" customHeight="1">
      <c r="B11" s="371" t="s">
        <v>155</v>
      </c>
      <c r="C11" s="415">
        <f>IS!C28</f>
        <v>25.997999999999998</v>
      </c>
      <c r="D11" s="415">
        <f>IS!D28</f>
        <v>25.509999999999998</v>
      </c>
      <c r="E11" s="415">
        <f>IS!E28</f>
        <v>25.614000000000001</v>
      </c>
      <c r="F11" s="415">
        <f>IS!F28</f>
        <v>-142.52300000000002</v>
      </c>
      <c r="G11" s="746">
        <f>IS!G28</f>
        <v>-0.17600000000000104</v>
      </c>
      <c r="H11" s="415">
        <f ca="1">IS!H28</f>
        <v>9.0631617548899044</v>
      </c>
      <c r="I11" s="415">
        <f ca="1">IS!I28</f>
        <v>16.905685344469216</v>
      </c>
      <c r="J11" s="415">
        <f ca="1">IS!J28</f>
        <v>18.381010556064844</v>
      </c>
    </row>
    <row r="12" spans="2:11" s="356" customFormat="1" ht="13.5" customHeight="1">
      <c r="B12" s="357" t="s">
        <v>156</v>
      </c>
      <c r="C12" s="361">
        <f>C10-C11</f>
        <v>80.415999999999997</v>
      </c>
      <c r="D12" s="361">
        <f>D10-D11</f>
        <v>63.030000000000079</v>
      </c>
      <c r="E12" s="361">
        <f>E10-E11</f>
        <v>82.259999999999962</v>
      </c>
      <c r="F12" s="361">
        <f>F10-F11</f>
        <v>173.166</v>
      </c>
      <c r="G12" s="747">
        <f>G10-G11</f>
        <v>33.301000000000116</v>
      </c>
      <c r="H12" s="361">
        <f t="shared" ref="H12:J12" ca="1" si="3">H10-H11</f>
        <v>42.648991145110188</v>
      </c>
      <c r="I12" s="361">
        <f t="shared" ca="1" si="3"/>
        <v>58.33311603653047</v>
      </c>
      <c r="J12" s="361">
        <f t="shared" ca="1" si="3"/>
        <v>65.827928391260002</v>
      </c>
    </row>
    <row r="13" spans="2:11" s="356" customFormat="1" ht="13.5" customHeight="1">
      <c r="B13" s="370" t="s">
        <v>331</v>
      </c>
      <c r="C13" s="361">
        <v>28.2</v>
      </c>
      <c r="D13" s="361">
        <v>30.6</v>
      </c>
      <c r="E13" s="361">
        <v>10</v>
      </c>
      <c r="F13" s="361">
        <v>12.5</v>
      </c>
      <c r="G13" s="747">
        <v>13.6</v>
      </c>
      <c r="H13" s="364">
        <f>G13</f>
        <v>13.6</v>
      </c>
      <c r="I13" s="361">
        <f>H13</f>
        <v>13.6</v>
      </c>
      <c r="J13" s="361">
        <f>I13</f>
        <v>13.6</v>
      </c>
    </row>
    <row r="14" spans="2:11" s="356" customFormat="1" ht="13.5" customHeight="1">
      <c r="B14" s="370" t="s">
        <v>157</v>
      </c>
      <c r="C14" s="361">
        <f>IS!C26*(1-IS!C30)</f>
        <v>7.3652893715092507</v>
      </c>
      <c r="D14" s="361">
        <f>IS!D26*(1-IS!D30)</f>
        <v>6.0279306791510336</v>
      </c>
      <c r="E14" s="361">
        <f>IS!E26*(1-IS!E30)</f>
        <v>5.8643902790279014</v>
      </c>
      <c r="F14" s="361">
        <f>IS!F26*(1-IS!F30)</f>
        <v>11.485000000000001</v>
      </c>
      <c r="G14" s="747">
        <f>IS!G26*(1-IS!G30)</f>
        <v>3.5140000000000002</v>
      </c>
      <c r="H14" s="361">
        <f ca="1">IS!H26*(1-IS!H30)</f>
        <v>7.5552524114463457</v>
      </c>
      <c r="I14" s="361">
        <f ca="1">IS!I26*(1-IS!I30)</f>
        <v>8.3933110542105904</v>
      </c>
      <c r="J14" s="361">
        <f ca="1">IS!J26*(1-IS!J30)</f>
        <v>8.4330849376187089</v>
      </c>
    </row>
    <row r="15" spans="2:11" s="351" customFormat="1" ht="13.5" customHeight="1">
      <c r="B15" s="435" t="s">
        <v>158</v>
      </c>
      <c r="C15" s="130">
        <f t="shared" ref="C15:J15" si="4">C12+C13+C14</f>
        <v>115.98128937150925</v>
      </c>
      <c r="D15" s="130">
        <f t="shared" si="4"/>
        <v>99.657930679151121</v>
      </c>
      <c r="E15" s="130">
        <f t="shared" si="4"/>
        <v>98.124390279027864</v>
      </c>
      <c r="F15" s="130">
        <f t="shared" si="4"/>
        <v>197.15100000000001</v>
      </c>
      <c r="G15" s="622">
        <f t="shared" si="4"/>
        <v>50.41500000000012</v>
      </c>
      <c r="H15" s="160">
        <f t="shared" ca="1" si="4"/>
        <v>63.804243556556536</v>
      </c>
      <c r="I15" s="160">
        <f t="shared" ca="1" si="4"/>
        <v>80.326427090741049</v>
      </c>
      <c r="J15" s="317">
        <f t="shared" ca="1" si="4"/>
        <v>87.861013328878698</v>
      </c>
      <c r="K15" s="416"/>
    </row>
    <row r="16" spans="2:11" s="365" customFormat="1" ht="13.5" customHeight="1">
      <c r="B16" s="479"/>
      <c r="C16" s="480"/>
      <c r="D16" s="480"/>
      <c r="E16" s="480"/>
      <c r="F16" s="480"/>
      <c r="G16" s="748"/>
      <c r="H16" s="480"/>
      <c r="I16" s="480"/>
      <c r="J16" s="480"/>
    </row>
    <row r="17" spans="2:10" s="351" customFormat="1" ht="13.5" customHeight="1">
      <c r="B17" s="347" t="s">
        <v>159</v>
      </c>
      <c r="C17" s="341"/>
      <c r="D17" s="341"/>
      <c r="E17" s="341"/>
      <c r="F17" s="343"/>
      <c r="G17" s="749"/>
      <c r="H17" s="342"/>
      <c r="I17" s="342"/>
      <c r="J17" s="342"/>
    </row>
    <row r="18" spans="2:10" s="351" customFormat="1" ht="13.5" customHeight="1">
      <c r="B18" s="354" t="s">
        <v>113</v>
      </c>
      <c r="C18" s="361">
        <f t="shared" ref="C18:J18" si="5">C7</f>
        <v>638.15700000000004</v>
      </c>
      <c r="D18" s="361">
        <f t="shared" si="5"/>
        <v>664.11</v>
      </c>
      <c r="E18" s="361">
        <f t="shared" si="5"/>
        <v>656.58600000000001</v>
      </c>
      <c r="F18" s="361">
        <f t="shared" si="5"/>
        <v>591.72</v>
      </c>
      <c r="G18" s="747">
        <f t="shared" si="5"/>
        <v>385.58800000000002</v>
      </c>
      <c r="H18" s="361">
        <f t="shared" ca="1" si="5"/>
        <v>377.3573657491408</v>
      </c>
      <c r="I18" s="361">
        <f t="shared" ca="1" si="5"/>
        <v>369.2048738430334</v>
      </c>
      <c r="J18" s="361">
        <f t="shared" ca="1" si="5"/>
        <v>374.68100636728582</v>
      </c>
    </row>
    <row r="19" spans="2:10" s="351" customFormat="1" ht="13.5" customHeight="1">
      <c r="B19" s="421" t="s">
        <v>160</v>
      </c>
      <c r="C19" s="361">
        <f>BS!C8</f>
        <v>17.803000000000015</v>
      </c>
      <c r="D19" s="361">
        <f>BS!D8</f>
        <v>57.73</v>
      </c>
      <c r="E19" s="361">
        <f>BS!E8</f>
        <v>35.945999999999998</v>
      </c>
      <c r="F19" s="361">
        <f>BS!F8</f>
        <v>9.01</v>
      </c>
      <c r="G19" s="747">
        <f>BS!G8</f>
        <v>7.8259999999999996</v>
      </c>
      <c r="H19" s="361">
        <f ca="1">BS!H8</f>
        <v>5</v>
      </c>
      <c r="I19" s="361">
        <f ca="1">BS!I8</f>
        <v>5</v>
      </c>
      <c r="J19" s="361">
        <f ca="1">BS!J8</f>
        <v>5</v>
      </c>
    </row>
    <row r="20" spans="2:10" s="351" customFormat="1" ht="13.5" customHeight="1">
      <c r="B20" s="421" t="s">
        <v>15</v>
      </c>
      <c r="C20" s="361">
        <f>BS!C40</f>
        <v>190.19200000000001</v>
      </c>
      <c r="D20" s="361">
        <f>BS!D40</f>
        <v>149.28700000000001</v>
      </c>
      <c r="E20" s="361">
        <f>BS!E40</f>
        <v>135.71600000000001</v>
      </c>
      <c r="F20" s="361">
        <f>BS!F40</f>
        <v>202.249</v>
      </c>
      <c r="G20" s="747">
        <f>BS!G40</f>
        <v>459.733</v>
      </c>
      <c r="H20" s="361">
        <f ca="1">BS!H40</f>
        <v>464.5789910375259</v>
      </c>
      <c r="I20" s="361">
        <f ca="1">BS!I40</f>
        <v>483.5674318885666</v>
      </c>
      <c r="J20" s="361">
        <f ca="1">BS!J40</f>
        <v>487.60973728694086</v>
      </c>
    </row>
    <row r="21" spans="2:10" s="351" customFormat="1" ht="13.5" customHeight="1">
      <c r="B21" s="353" t="s">
        <v>26</v>
      </c>
      <c r="C21" s="361">
        <f>C20+C19</f>
        <v>207.99500000000003</v>
      </c>
      <c r="D21" s="361">
        <f>D20+D19</f>
        <v>207.017</v>
      </c>
      <c r="E21" s="361">
        <f>E20+E19</f>
        <v>171.66200000000001</v>
      </c>
      <c r="F21" s="361">
        <f>F20+F19</f>
        <v>211.25899999999999</v>
      </c>
      <c r="G21" s="747">
        <f>G20+G19</f>
        <v>467.55900000000003</v>
      </c>
      <c r="H21" s="361">
        <f t="shared" ref="H21:J21" ca="1" si="6">H20+H19</f>
        <v>469.5789910375259</v>
      </c>
      <c r="I21" s="361">
        <f t="shared" ca="1" si="6"/>
        <v>488.5674318885666</v>
      </c>
      <c r="J21" s="361">
        <f t="shared" ca="1" si="6"/>
        <v>492.60973728694086</v>
      </c>
    </row>
    <row r="22" spans="2:10" s="351" customFormat="1" ht="13.5" customHeight="1">
      <c r="B22" s="422" t="s">
        <v>161</v>
      </c>
      <c r="C22" s="361">
        <f t="shared" ref="C22:J22" si="7">8*C30</f>
        <v>85.6</v>
      </c>
      <c r="D22" s="361">
        <f t="shared" si="7"/>
        <v>106.4</v>
      </c>
      <c r="E22" s="361">
        <f t="shared" si="7"/>
        <v>38.4</v>
      </c>
      <c r="F22" s="361">
        <f t="shared" si="7"/>
        <v>59.2</v>
      </c>
      <c r="G22" s="747">
        <f t="shared" si="7"/>
        <v>13.6</v>
      </c>
      <c r="H22" s="361">
        <f t="shared" si="7"/>
        <v>13.6</v>
      </c>
      <c r="I22" s="361">
        <f t="shared" si="7"/>
        <v>13.6</v>
      </c>
      <c r="J22" s="361">
        <f t="shared" si="7"/>
        <v>13.6</v>
      </c>
    </row>
    <row r="23" spans="2:10" s="351" customFormat="1" ht="13.5" customHeight="1">
      <c r="B23" s="422" t="s">
        <v>202</v>
      </c>
      <c r="C23" s="361">
        <v>5.4</v>
      </c>
      <c r="D23" s="361">
        <v>6.5</v>
      </c>
      <c r="E23" s="361">
        <v>4.9000000000000004</v>
      </c>
      <c r="F23" s="361">
        <v>1.9</v>
      </c>
      <c r="G23" s="747">
        <v>4.4000000000000004</v>
      </c>
      <c r="H23" s="364">
        <v>1</v>
      </c>
      <c r="I23" s="361">
        <f>H23</f>
        <v>1</v>
      </c>
      <c r="J23" s="361">
        <f>I23</f>
        <v>1</v>
      </c>
    </row>
    <row r="24" spans="2:10" s="351" customFormat="1" ht="13.5" customHeight="1">
      <c r="B24" s="352" t="s">
        <v>162</v>
      </c>
      <c r="C24" s="415">
        <f t="shared" ref="C24:J24" si="8">C21+C22+C23</f>
        <v>298.995</v>
      </c>
      <c r="D24" s="415">
        <f t="shared" si="8"/>
        <v>319.91700000000003</v>
      </c>
      <c r="E24" s="415">
        <f t="shared" si="8"/>
        <v>214.96200000000002</v>
      </c>
      <c r="F24" s="415">
        <f t="shared" si="8"/>
        <v>272.35899999999998</v>
      </c>
      <c r="G24" s="746">
        <f t="shared" si="8"/>
        <v>485.55900000000003</v>
      </c>
      <c r="H24" s="415">
        <f t="shared" ca="1" si="8"/>
        <v>484.17899103752592</v>
      </c>
      <c r="I24" s="415">
        <f t="shared" ca="1" si="8"/>
        <v>503.16743188856663</v>
      </c>
      <c r="J24" s="415">
        <f t="shared" ca="1" si="8"/>
        <v>507.20973728694088</v>
      </c>
    </row>
    <row r="25" spans="2:10" s="351" customFormat="1" ht="13.5" customHeight="1">
      <c r="B25" s="355" t="s">
        <v>163</v>
      </c>
      <c r="C25" s="363">
        <f t="shared" ref="C25:J25" si="9">C21+C18</f>
        <v>846.15200000000004</v>
      </c>
      <c r="D25" s="363">
        <f t="shared" si="9"/>
        <v>871.12699999999995</v>
      </c>
      <c r="E25" s="363">
        <f t="shared" si="9"/>
        <v>828.24800000000005</v>
      </c>
      <c r="F25" s="363">
        <f t="shared" si="9"/>
        <v>802.97900000000004</v>
      </c>
      <c r="G25" s="750">
        <f t="shared" si="9"/>
        <v>853.14700000000005</v>
      </c>
      <c r="H25" s="363">
        <f t="shared" ca="1" si="9"/>
        <v>846.93635678666669</v>
      </c>
      <c r="I25" s="363">
        <f t="shared" ca="1" si="9"/>
        <v>857.7723057316</v>
      </c>
      <c r="J25" s="363">
        <f t="shared" ca="1" si="9"/>
        <v>867.29074365422662</v>
      </c>
    </row>
    <row r="26" spans="2:10" s="351" customFormat="1" ht="13.5" customHeight="1">
      <c r="B26" s="355" t="s">
        <v>332</v>
      </c>
      <c r="C26" s="363">
        <f>C24+C18</f>
        <v>937.15200000000004</v>
      </c>
      <c r="D26" s="363">
        <f>D24+D18</f>
        <v>984.02700000000004</v>
      </c>
      <c r="E26" s="363">
        <f t="shared" ref="E26:J26" si="10">E24+E18</f>
        <v>871.548</v>
      </c>
      <c r="F26" s="363">
        <f t="shared" si="10"/>
        <v>864.07899999999995</v>
      </c>
      <c r="G26" s="750">
        <f t="shared" si="10"/>
        <v>871.14700000000005</v>
      </c>
      <c r="H26" s="363">
        <f t="shared" ca="1" si="10"/>
        <v>861.53635678666672</v>
      </c>
      <c r="I26" s="363">
        <f t="shared" ca="1" si="10"/>
        <v>872.37230573160002</v>
      </c>
      <c r="J26" s="363">
        <f t="shared" ca="1" si="10"/>
        <v>881.89074365422675</v>
      </c>
    </row>
    <row r="27" spans="2:10" s="351" customFormat="1" ht="13.5" customHeight="1">
      <c r="B27" s="435" t="s">
        <v>164</v>
      </c>
      <c r="C27" s="418">
        <f t="shared" ref="C27:J27" si="11">C12/C25</f>
        <v>9.5037298263196207E-2</v>
      </c>
      <c r="D27" s="418">
        <f t="shared" si="11"/>
        <v>7.2354547614756612E-2</v>
      </c>
      <c r="E27" s="418">
        <f t="shared" si="11"/>
        <v>9.9318078643111679E-2</v>
      </c>
      <c r="F27" s="418">
        <f t="shared" si="11"/>
        <v>0.21565445671680081</v>
      </c>
      <c r="G27" s="744">
        <f t="shared" si="11"/>
        <v>3.9033132625444521E-2</v>
      </c>
      <c r="H27" s="419">
        <f t="shared" ca="1" si="11"/>
        <v>5.0356783958269688E-2</v>
      </c>
      <c r="I27" s="419">
        <f t="shared" ca="1" si="11"/>
        <v>6.800536185040125E-2</v>
      </c>
      <c r="J27" s="420">
        <f t="shared" ca="1" si="11"/>
        <v>7.5900646781841385E-2</v>
      </c>
    </row>
    <row r="28" spans="2:10" s="351" customFormat="1" ht="13.5" customHeight="1">
      <c r="B28" s="436" t="s">
        <v>333</v>
      </c>
      <c r="C28" s="344">
        <f>C15/C26</f>
        <v>0.12375931478725889</v>
      </c>
      <c r="D28" s="344">
        <f>D15/D26</f>
        <v>0.10127560593271437</v>
      </c>
      <c r="E28" s="344">
        <f>E15/E26</f>
        <v>0.11258632947241903</v>
      </c>
      <c r="F28" s="344">
        <f>F15/F26</f>
        <v>0.2281631656364754</v>
      </c>
      <c r="G28" s="425">
        <f>G15/G26</f>
        <v>5.7871977978458417E-2</v>
      </c>
      <c r="H28" s="344">
        <f ca="1">H12/H26</f>
        <v>4.9503414231038559E-2</v>
      </c>
      <c r="I28" s="344">
        <f ca="1">I12/I26</f>
        <v>6.6867225900311453E-2</v>
      </c>
      <c r="J28" s="425">
        <f ca="1">J12/J26</f>
        <v>7.4644085863168924E-2</v>
      </c>
    </row>
    <row r="29" spans="2:10" s="351" customFormat="1" ht="13.5" customHeight="1">
      <c r="B29" s="352"/>
      <c r="C29" s="344"/>
      <c r="D29" s="344"/>
      <c r="E29" s="345"/>
      <c r="F29" s="345"/>
      <c r="G29" s="751"/>
      <c r="H29" s="346"/>
      <c r="I29" s="345"/>
      <c r="J29" s="328"/>
    </row>
    <row r="30" spans="2:10" s="423" customFormat="1" ht="13.5" customHeight="1">
      <c r="B30" s="867" t="s">
        <v>165</v>
      </c>
      <c r="C30" s="868">
        <v>10.7</v>
      </c>
      <c r="D30" s="869">
        <v>13.3</v>
      </c>
      <c r="E30" s="869">
        <v>4.8</v>
      </c>
      <c r="F30" s="869">
        <v>7.4</v>
      </c>
      <c r="G30" s="870">
        <v>1.7</v>
      </c>
      <c r="H30" s="871">
        <f>G30</f>
        <v>1.7</v>
      </c>
      <c r="I30" s="869">
        <f>H30</f>
        <v>1.7</v>
      </c>
      <c r="J30" s="870">
        <f>I30</f>
        <v>1.7</v>
      </c>
    </row>
    <row r="31" spans="2:10" s="351" customFormat="1" ht="13.5" customHeight="1">
      <c r="B31" s="872" t="s">
        <v>166</v>
      </c>
      <c r="C31" s="873">
        <f>8</f>
        <v>8</v>
      </c>
      <c r="D31" s="873">
        <f>8</f>
        <v>8</v>
      </c>
      <c r="E31" s="873">
        <f>8</f>
        <v>8</v>
      </c>
      <c r="F31" s="873">
        <f>8</f>
        <v>8</v>
      </c>
      <c r="G31" s="874">
        <f>8</f>
        <v>8</v>
      </c>
      <c r="H31" s="873">
        <f>8</f>
        <v>8</v>
      </c>
      <c r="I31" s="873">
        <f>8</f>
        <v>8</v>
      </c>
      <c r="J31" s="874">
        <f>8</f>
        <v>8</v>
      </c>
    </row>
    <row r="32" spans="2:10" s="351" customFormat="1" ht="13.5" customHeight="1">
      <c r="B32" s="426"/>
      <c r="C32" s="424"/>
      <c r="D32" s="424"/>
      <c r="E32" s="424"/>
      <c r="F32" s="424"/>
      <c r="G32" s="752"/>
      <c r="H32" s="424"/>
      <c r="I32" s="424"/>
      <c r="J32" s="424"/>
    </row>
    <row r="33" spans="2:10" s="427" customFormat="1" ht="13.5" customHeight="1">
      <c r="B33" s="428" t="s">
        <v>10</v>
      </c>
      <c r="C33" s="865">
        <f>IS!C25</f>
        <v>190.22</v>
      </c>
      <c r="D33" s="865">
        <f>IS!D25</f>
        <v>181.62800000000007</v>
      </c>
      <c r="E33" s="865">
        <f>IS!E25</f>
        <v>197.387</v>
      </c>
      <c r="F33" s="865">
        <f>IS!F25</f>
        <v>210.71713819999997</v>
      </c>
      <c r="G33" s="866">
        <f>IS!G25</f>
        <v>128.1311725000001</v>
      </c>
      <c r="H33" s="865">
        <f>IS!H25</f>
        <v>141.16118430000012</v>
      </c>
      <c r="I33" s="865">
        <f>IS!I25</f>
        <v>171.64071011899969</v>
      </c>
      <c r="J33" s="865">
        <f>IS!J25</f>
        <v>180.95470241357486</v>
      </c>
    </row>
    <row r="34" spans="2:10" s="351" customFormat="1" ht="13.5" customHeight="1">
      <c r="B34" s="426" t="s">
        <v>167</v>
      </c>
      <c r="C34" s="429">
        <f t="shared" ref="C34:J34" si="12">C21/C33</f>
        <v>1.0934444327620652</v>
      </c>
      <c r="D34" s="429">
        <f t="shared" si="12"/>
        <v>1.1397857158587879</v>
      </c>
      <c r="E34" s="429">
        <f t="shared" si="12"/>
        <v>0.86967226818382171</v>
      </c>
      <c r="F34" s="429">
        <f t="shared" si="12"/>
        <v>1.0025715127142896</v>
      </c>
      <c r="G34" s="753">
        <f t="shared" si="12"/>
        <v>3.6490651796696829</v>
      </c>
      <c r="H34" s="429">
        <f t="shared" ca="1" si="12"/>
        <v>3.3265447110415431</v>
      </c>
      <c r="I34" s="429">
        <f t="shared" ca="1" si="12"/>
        <v>2.8464542680453806</v>
      </c>
      <c r="J34" s="429">
        <f t="shared" ca="1" si="12"/>
        <v>2.7222820447134524</v>
      </c>
    </row>
    <row r="35" spans="2:10" s="351" customFormat="1" ht="13.5" customHeight="1">
      <c r="B35" s="426" t="s">
        <v>168</v>
      </c>
      <c r="C35" s="429">
        <f t="shared" ref="C35:J35" si="13">C24/C33</f>
        <v>1.5718378719377564</v>
      </c>
      <c r="D35" s="429">
        <f t="shared" si="13"/>
        <v>1.7613859096615054</v>
      </c>
      <c r="E35" s="429">
        <f t="shared" si="13"/>
        <v>1.0890382851960869</v>
      </c>
      <c r="F35" s="429">
        <f t="shared" si="13"/>
        <v>1.2925336891273329</v>
      </c>
      <c r="G35" s="753">
        <f t="shared" si="13"/>
        <v>3.7895462167881093</v>
      </c>
      <c r="H35" s="429">
        <f t="shared" ca="1" si="13"/>
        <v>3.4299725766577147</v>
      </c>
      <c r="I35" s="429">
        <f t="shared" ca="1" si="13"/>
        <v>2.9315156732905447</v>
      </c>
      <c r="J35" s="429">
        <f t="shared" ca="1" si="13"/>
        <v>2.8029652201450115</v>
      </c>
    </row>
    <row r="36" spans="2:10" s="351" customFormat="1" ht="13.5" customHeight="1">
      <c r="B36" s="347"/>
      <c r="C36" s="344"/>
      <c r="D36" s="344"/>
      <c r="E36" s="344"/>
      <c r="F36" s="344"/>
      <c r="G36" s="425"/>
      <c r="H36" s="348"/>
      <c r="I36" s="348"/>
      <c r="J36" s="329"/>
    </row>
    <row r="37" spans="2:10" s="351" customFormat="1" ht="13.5" customHeight="1">
      <c r="B37" s="347" t="s">
        <v>169</v>
      </c>
      <c r="C37" s="344"/>
      <c r="D37" s="344"/>
      <c r="E37" s="349"/>
      <c r="F37" s="349"/>
      <c r="G37" s="754"/>
      <c r="H37" s="350"/>
      <c r="I37" s="349"/>
      <c r="J37" s="329"/>
    </row>
    <row r="38" spans="2:10" s="351" customFormat="1" ht="13.5" customHeight="1">
      <c r="B38" s="347" t="s">
        <v>141</v>
      </c>
      <c r="C38" s="431">
        <f t="shared" ref="C38:J39" si="14">C10</f>
        <v>106.41399999999999</v>
      </c>
      <c r="D38" s="431">
        <f t="shared" si="14"/>
        <v>88.540000000000077</v>
      </c>
      <c r="E38" s="431">
        <f t="shared" si="14"/>
        <v>107.87399999999997</v>
      </c>
      <c r="F38" s="431">
        <f t="shared" si="14"/>
        <v>30.642999999999972</v>
      </c>
      <c r="G38" s="755">
        <f t="shared" si="14"/>
        <v>33.125000000000114</v>
      </c>
      <c r="H38" s="431">
        <f t="shared" si="14"/>
        <v>51.712152900000092</v>
      </c>
      <c r="I38" s="431">
        <f t="shared" si="14"/>
        <v>75.238801380999689</v>
      </c>
      <c r="J38" s="431">
        <f t="shared" si="14"/>
        <v>84.208938947324839</v>
      </c>
    </row>
    <row r="39" spans="2:10" s="351" customFormat="1" ht="13.5" customHeight="1">
      <c r="B39" s="422" t="s">
        <v>155</v>
      </c>
      <c r="C39" s="359">
        <f t="shared" si="14"/>
        <v>25.997999999999998</v>
      </c>
      <c r="D39" s="359">
        <f t="shared" si="14"/>
        <v>25.509999999999998</v>
      </c>
      <c r="E39" s="359">
        <f t="shared" si="14"/>
        <v>25.614000000000001</v>
      </c>
      <c r="F39" s="359">
        <f t="shared" si="14"/>
        <v>-142.52300000000002</v>
      </c>
      <c r="G39" s="756">
        <f t="shared" si="14"/>
        <v>-0.17600000000000104</v>
      </c>
      <c r="H39" s="359">
        <f t="shared" ca="1" si="14"/>
        <v>9.0631617548899044</v>
      </c>
      <c r="I39" s="359">
        <f t="shared" ca="1" si="14"/>
        <v>16.905685344469216</v>
      </c>
      <c r="J39" s="359">
        <f t="shared" ca="1" si="14"/>
        <v>18.381010556064844</v>
      </c>
    </row>
    <row r="40" spans="2:10" s="351" customFormat="1" ht="13.5" customHeight="1">
      <c r="B40" s="347" t="s">
        <v>170</v>
      </c>
      <c r="C40" s="430">
        <f>C38-C39</f>
        <v>80.415999999999997</v>
      </c>
      <c r="D40" s="430">
        <f>D38-D39</f>
        <v>63.030000000000079</v>
      </c>
      <c r="E40" s="430">
        <f>E38-E39</f>
        <v>82.259999999999962</v>
      </c>
      <c r="F40" s="430">
        <f>F38-F39</f>
        <v>173.166</v>
      </c>
      <c r="G40" s="757">
        <f>G38-G39</f>
        <v>33.301000000000116</v>
      </c>
      <c r="H40" s="430">
        <f t="shared" ref="H40:J40" ca="1" si="15">H38-H39</f>
        <v>42.648991145110188</v>
      </c>
      <c r="I40" s="430">
        <f t="shared" ca="1" si="15"/>
        <v>58.33311603653047</v>
      </c>
      <c r="J40" s="430">
        <f t="shared" ca="1" si="15"/>
        <v>65.827928391260002</v>
      </c>
    </row>
    <row r="41" spans="2:10" s="351" customFormat="1" ht="13.5" customHeight="1">
      <c r="B41" s="422" t="s">
        <v>13</v>
      </c>
      <c r="C41" s="358">
        <f t="shared" ref="C41:J41" si="16">C19</f>
        <v>17.803000000000015</v>
      </c>
      <c r="D41" s="358">
        <f t="shared" si="16"/>
        <v>57.73</v>
      </c>
      <c r="E41" s="358">
        <f t="shared" si="16"/>
        <v>35.945999999999998</v>
      </c>
      <c r="F41" s="358">
        <f t="shared" si="16"/>
        <v>9.01</v>
      </c>
      <c r="G41" s="743">
        <f t="shared" si="16"/>
        <v>7.8259999999999996</v>
      </c>
      <c r="H41" s="358">
        <f t="shared" ca="1" si="16"/>
        <v>5</v>
      </c>
      <c r="I41" s="358">
        <f t="shared" ca="1" si="16"/>
        <v>5</v>
      </c>
      <c r="J41" s="358">
        <f t="shared" ca="1" si="16"/>
        <v>5</v>
      </c>
    </row>
    <row r="42" spans="2:10" s="351" customFormat="1" ht="13.5" customHeight="1">
      <c r="B42" s="422" t="s">
        <v>103</v>
      </c>
      <c r="C42" s="358">
        <f>BS!C16</f>
        <v>961.97400000000005</v>
      </c>
      <c r="D42" s="358">
        <f>BS!D16</f>
        <v>900.87800000000004</v>
      </c>
      <c r="E42" s="358">
        <f>BS!E16</f>
        <v>883.29499999999996</v>
      </c>
      <c r="F42" s="358">
        <f>BS!F16</f>
        <v>788.38599999999997</v>
      </c>
      <c r="G42" s="743">
        <f>BS!G16</f>
        <v>875.45799999999997</v>
      </c>
      <c r="H42" s="358">
        <f>BS!H16</f>
        <v>849.91996860000006</v>
      </c>
      <c r="I42" s="358">
        <f>BS!I16</f>
        <v>862.31805986199993</v>
      </c>
      <c r="J42" s="358">
        <f>BS!J16</f>
        <v>873.30593789542991</v>
      </c>
    </row>
    <row r="43" spans="2:10" s="351" customFormat="1" ht="13.5" customHeight="1">
      <c r="B43" s="422" t="s">
        <v>334</v>
      </c>
      <c r="C43" s="358">
        <f>BS!C15-BS!C8</f>
        <v>59.120999999999995</v>
      </c>
      <c r="D43" s="358">
        <f>BS!D15-BS!D8</f>
        <v>61.874999999999993</v>
      </c>
      <c r="E43" s="358">
        <f>BS!E15-BS!E8</f>
        <v>67.700999999999993</v>
      </c>
      <c r="F43" s="358">
        <f>BS!F15-BS!F8</f>
        <v>138.67000000000002</v>
      </c>
      <c r="G43" s="743">
        <f>BS!G15-BS!G8</f>
        <v>110.47100000000002</v>
      </c>
      <c r="H43" s="358">
        <f ca="1">BS!H15-BS!H8</f>
        <v>110.00553991999999</v>
      </c>
      <c r="I43" s="358">
        <f ca="1">BS!I15-BS!I8</f>
        <v>112.06395763386666</v>
      </c>
      <c r="J43" s="358">
        <f ca="1">BS!J15-BS!J8</f>
        <v>112.96783626757599</v>
      </c>
    </row>
    <row r="44" spans="2:10" s="351" customFormat="1" ht="13.5" customHeight="1">
      <c r="B44" s="422" t="s">
        <v>55</v>
      </c>
      <c r="C44" s="358">
        <f>BS!C18</f>
        <v>27.175000000000001</v>
      </c>
      <c r="D44" s="358">
        <f>BS!D18</f>
        <v>40.697000000000003</v>
      </c>
      <c r="E44" s="358">
        <f>BS!E18</f>
        <v>39.877000000000002</v>
      </c>
      <c r="F44" s="358">
        <f>BS!F18</f>
        <v>60.868000000000002</v>
      </c>
      <c r="G44" s="743">
        <f>BS!G18</f>
        <v>51.656999999999996</v>
      </c>
      <c r="H44" s="358">
        <f>BS!H18</f>
        <v>55.2</v>
      </c>
      <c r="I44" s="358">
        <f>BS!I18</f>
        <v>55.2</v>
      </c>
      <c r="J44" s="358">
        <f>BS!J18</f>
        <v>55.2</v>
      </c>
    </row>
    <row r="45" spans="2:10" s="351" customFormat="1" ht="13.5" customHeight="1">
      <c r="B45" s="422" t="s">
        <v>171</v>
      </c>
      <c r="C45" s="359">
        <f>BS!C30</f>
        <v>193.45600000000002</v>
      </c>
      <c r="D45" s="359">
        <f>BS!D30</f>
        <v>171.11199999999997</v>
      </c>
      <c r="E45" s="359">
        <f>BS!E30</f>
        <v>194.88900000000001</v>
      </c>
      <c r="F45" s="359">
        <f>BS!F30</f>
        <v>340.88400000000001</v>
      </c>
      <c r="G45" s="756">
        <f>BS!G30</f>
        <v>601.84</v>
      </c>
      <c r="H45" s="359">
        <f>BS!H30</f>
        <v>133.16695983333332</v>
      </c>
      <c r="I45" s="359">
        <f>BS!I30</f>
        <v>135.71896740526665</v>
      </c>
      <c r="J45" s="359">
        <f>BS!J30</f>
        <v>137.00580891228429</v>
      </c>
    </row>
    <row r="46" spans="2:10" s="351" customFormat="1" ht="13.5" customHeight="1">
      <c r="B46" s="347" t="s">
        <v>172</v>
      </c>
      <c r="C46" s="431">
        <f t="shared" ref="C46:J46" si="17">SUM(C42:C45)-C41</f>
        <v>1223.923</v>
      </c>
      <c r="D46" s="431">
        <f t="shared" si="17"/>
        <v>1116.8319999999999</v>
      </c>
      <c r="E46" s="431">
        <f t="shared" si="17"/>
        <v>1149.816</v>
      </c>
      <c r="F46" s="431">
        <f t="shared" si="17"/>
        <v>1319.798</v>
      </c>
      <c r="G46" s="755">
        <f t="shared" si="17"/>
        <v>1631.6</v>
      </c>
      <c r="H46" s="431">
        <f t="shared" ca="1" si="17"/>
        <v>1143.2924683533333</v>
      </c>
      <c r="I46" s="431">
        <f t="shared" ca="1" si="17"/>
        <v>1160.3009849011332</v>
      </c>
      <c r="J46" s="431">
        <f t="shared" ca="1" si="17"/>
        <v>1173.4795830752901</v>
      </c>
    </row>
    <row r="47" spans="2:10" s="351" customFormat="1" ht="13.5" customHeight="1">
      <c r="B47" s="435" t="s">
        <v>173</v>
      </c>
      <c r="C47" s="418">
        <f t="shared" ref="C47:J47" si="18">C40/C46</f>
        <v>6.5703479712367521E-2</v>
      </c>
      <c r="D47" s="418">
        <f t="shared" si="18"/>
        <v>5.643642015988088E-2</v>
      </c>
      <c r="E47" s="418">
        <f t="shared" si="18"/>
        <v>7.1541881483646041E-2</v>
      </c>
      <c r="F47" s="418">
        <f t="shared" si="18"/>
        <v>0.13120644219797273</v>
      </c>
      <c r="G47" s="744">
        <f t="shared" si="18"/>
        <v>2.0410026967394041E-2</v>
      </c>
      <c r="H47" s="419">
        <f t="shared" ca="1" si="18"/>
        <v>3.7303657922750838E-2</v>
      </c>
      <c r="I47" s="419">
        <f t="shared" ca="1" si="18"/>
        <v>5.0274124382908209E-2</v>
      </c>
      <c r="J47" s="420">
        <f t="shared" ca="1" si="18"/>
        <v>5.6096355949157149E-2</v>
      </c>
    </row>
    <row r="48" spans="2:10" s="351" customFormat="1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</sheetData>
  <hyperlinks>
    <hyperlink ref="D22" r:id="rId1" tooltip="Debt Equivalent Oper. Leases_x000a_ FY: 2010_x000a_ Period End Date: Jan-31-2010_x000a_ Filing Date: Mar-28-2012_x000a_ Period Type: Annual_x000a_ Value: 1,808.3, Currency: USD, Millions" display="javascript:void(0);" xr:uid="{00000000-0004-0000-0B00-000000000000}"/>
    <hyperlink ref="D23" r:id="rId2" tooltip="Debt Equiv. of Unfunded Proj. Benefit Obligation_x000a_ FY: 2010_x000a_ Period End Date: Jan-31-2010_x000a_ Filing Date: Mar-28-2012_x000a_ Period Type: Annual_x000a_ Value: 180.7, Currency: USD, Millions" display="javascript:void(0);" xr:uid="{00000000-0004-0000-0B00-000001000000}"/>
    <hyperlink ref="E23" r:id="rId3" tooltip="Debt Equiv. of Unfunded Proj. Benefit Obligation_x000a_ FY: 2011_x000a_ Period End Date: Jan-31-2011_x000a_ Filing Date: Mar-28-2013_x000a_ Period Type: Annual_x000a_ Value: 169.9, Currency: USD, Millions" display="javascript:void(0);" xr:uid="{00000000-0004-0000-0B00-000002000000}"/>
    <hyperlink ref="F23" r:id="rId4" tooltip="Debt Equiv. of Unfunded Proj. Benefit Obligation_x000a_ FY: 2012_x000a_ Period End Date: Jan-31-2012_x000a_ Filing Date: Apr-01-2014_x000a_ Period Type: Annual_x000a_ Value: 281.9, Currency: USD, Millions" display="javascript:void(0);" xr:uid="{00000000-0004-0000-0B00-000003000000}"/>
    <hyperlink ref="G23" r:id="rId5" tooltip="Debt Equiv. of Unfunded Proj. Benefit Obligation_x000a_ FY: 2013_x000a_ Period End Date: Jan-31-2013_x000a_ Filing Date: Apr-01-2014_x000a_ Period Type: Annual_x000a_ Value: 300.4, Currency: USD, Millions" display="javascript:void(0);" xr:uid="{00000000-0004-0000-0B00-000004000000}"/>
    <hyperlink ref="D30" r:id="rId6" tooltip="Net Rental Exp._x000a_ FY: 2010_x000a_ Period End Date: Jan-31-2010_x000a_ Filing Date: Mar-28-2012_x000a_ Period Type: Annual_x000a_ Value: 226.0, Currency: USD, Millions" display="javascript:void(0);" xr:uid="{00000000-0004-0000-0B00-000005000000}"/>
    <hyperlink ref="F30" r:id="rId7" tooltip="Net Rental Exp._x000a_ FY: 2012_x000a_ Period End Date: Jan-31-2012_x000a_ Filing Date: Apr-01-2014_x000a_ Period Type: Annual_x000a_ Value: 300.6, Currency: USD, Millions" display="javascript:void(0);" xr:uid="{00000000-0004-0000-0B00-000006000000}"/>
    <hyperlink ref="G30" r:id="rId8" tooltip="Net Rental Exp._x000a_ FY: 2013_x000a_ Period End Date: Jan-31-2013_x000a_ Filing Date: Apr-01-2014_x000a_ Period Type: Annual_x000a_ Value: 318.3, Currency: USD, Millions" display="javascript:void(0);" xr:uid="{00000000-0004-0000-0B00-000007000000}"/>
    <hyperlink ref="E22" r:id="rId9" tooltip="Debt Equivalent Oper. Leases_x000a_ FY: 2010_x000a_ Period End Date: Jan-31-2010_x000a_ Filing Date: Mar-28-2012_x000a_ Period Type: Annual_x000a_ Value: 1,808.3, Currency: USD, Millions" display="javascript:void(0);" xr:uid="{00000000-0004-0000-0B00-000008000000}"/>
    <hyperlink ref="F22" r:id="rId10" tooltip="Debt Equivalent Oper. Leases_x000a_ FY: 2010_x000a_ Period End Date: Jan-31-2010_x000a_ Filing Date: Mar-28-2012_x000a_ Period Type: Annual_x000a_ Value: 1,808.3, Currency: USD, Millions" display="javascript:void(0);" xr:uid="{00000000-0004-0000-0B00-000009000000}"/>
    <hyperlink ref="G22" r:id="rId11" tooltip="Debt Equivalent Oper. Leases_x000a_ FY: 2010_x000a_ Period End Date: Jan-31-2010_x000a_ Filing Date: Mar-28-2012_x000a_ Period Type: Annual_x000a_ Value: 1,808.3, Currency: USD, Millions" display="javascript:void(0);" xr:uid="{00000000-0004-0000-0B00-00000A000000}"/>
    <hyperlink ref="H22" r:id="rId12" tooltip="Debt Equivalent Oper. Leases_x000a_ FY: 2010_x000a_ Period End Date: Jan-31-2010_x000a_ Filing Date: Mar-28-2012_x000a_ Period Type: Annual_x000a_ Value: 1,808.3, Currency: USD, Millions" display="javascript:void(0);" xr:uid="{00000000-0004-0000-0B00-00000B000000}"/>
    <hyperlink ref="I22" r:id="rId13" tooltip="Debt Equivalent Oper. Leases_x000a_ FY: 2010_x000a_ Period End Date: Jan-31-2010_x000a_ Filing Date: Mar-28-2012_x000a_ Period Type: Annual_x000a_ Value: 1,808.3, Currency: USD, Millions" display="javascript:void(0);" xr:uid="{00000000-0004-0000-0B00-00000C000000}"/>
    <hyperlink ref="J22" r:id="rId14" tooltip="Debt Equivalent Oper. Leases_x000a_ FY: 2010_x000a_ Period End Date: Jan-31-2010_x000a_ Filing Date: Mar-28-2012_x000a_ Period Type: Annual_x000a_ Value: 1,808.3, Currency: USD, Millions" display="javascript:void(0);" xr:uid="{00000000-0004-0000-0B00-00000D000000}"/>
    <hyperlink ref="E30" r:id="rId15" tooltip="Net Rental Exp._x000a_ FY: 2011_x000a_ Period End Date: Jan-31-2011_x000a_ Filing Date: Mar-28-2013_x000a_ Period Type: Annual_x000a_ Value: 258.7, Currency: USD, Millions" display="javascript:void(0);" xr:uid="{00000000-0004-0000-0B00-00000E000000}"/>
    <hyperlink ref="C22" r:id="rId16" tooltip="Debt Equivalent Oper. Leases_x000a_ FY: 2010_x000a_ Period End Date: Jan-31-2010_x000a_ Filing Date: Mar-28-2012_x000a_ Period Type: Annual_x000a_ Value: 1,808.3, Currency: USD, Millions" display="javascript:void(0);" xr:uid="{00000000-0004-0000-0B00-00000F000000}"/>
  </hyperlinks>
  <pageMargins left="0.7" right="0.7" top="0.75" bottom="0.75" header="0.3" footer="0.3"/>
  <pageSetup scale="89" orientation="landscape" r:id="rId17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 tint="-0.249977111117893"/>
    <outlinePr summaryBelow="0" summaryRight="0"/>
    <pageSetUpPr autoPageBreaks="0"/>
  </sheetPr>
  <dimension ref="B1:HU195"/>
  <sheetViews>
    <sheetView showGridLines="0" view="pageBreakPreview" zoomScaleNormal="100" zoomScaleSheetLayoutView="100" workbookViewId="0"/>
  </sheetViews>
  <sheetFormatPr defaultRowHeight="11.25"/>
  <cols>
    <col min="1" max="1" width="5.83203125" style="327" customWidth="1"/>
    <col min="2" max="2" width="42.83203125" style="327" customWidth="1"/>
    <col min="3" max="3" width="11.6640625" style="327" bestFit="1" customWidth="1"/>
    <col min="4" max="4" width="10.33203125" style="327" customWidth="1"/>
    <col min="5" max="9" width="10.1640625" style="327" customWidth="1"/>
    <col min="10" max="10" width="14.6640625" style="327" customWidth="1"/>
    <col min="11" max="11" width="11.33203125" style="327" customWidth="1"/>
    <col min="12" max="12" width="17.5" style="327" customWidth="1"/>
    <col min="13" max="255" width="9.33203125" style="327"/>
    <col min="256" max="256" width="55.83203125" style="327" customWidth="1"/>
    <col min="257" max="259" width="24.33203125" style="327" customWidth="1"/>
    <col min="260" max="260" width="17.5" style="327" customWidth="1"/>
    <col min="261" max="261" width="15.5" style="327" customWidth="1"/>
    <col min="262" max="262" width="16.1640625" style="327" customWidth="1"/>
    <col min="263" max="263" width="17.33203125" style="327" customWidth="1"/>
    <col min="264" max="264" width="15.33203125" style="327" customWidth="1"/>
    <col min="265" max="511" width="9.33203125" style="327"/>
    <col min="512" max="512" width="55.83203125" style="327" customWidth="1"/>
    <col min="513" max="515" width="24.33203125" style="327" customWidth="1"/>
    <col min="516" max="516" width="17.5" style="327" customWidth="1"/>
    <col min="517" max="517" width="15.5" style="327" customWidth="1"/>
    <col min="518" max="518" width="16.1640625" style="327" customWidth="1"/>
    <col min="519" max="519" width="17.33203125" style="327" customWidth="1"/>
    <col min="520" max="520" width="15.33203125" style="327" customWidth="1"/>
    <col min="521" max="767" width="9.33203125" style="327"/>
    <col min="768" max="768" width="55.83203125" style="327" customWidth="1"/>
    <col min="769" max="771" width="24.33203125" style="327" customWidth="1"/>
    <col min="772" max="772" width="17.5" style="327" customWidth="1"/>
    <col min="773" max="773" width="15.5" style="327" customWidth="1"/>
    <col min="774" max="774" width="16.1640625" style="327" customWidth="1"/>
    <col min="775" max="775" width="17.33203125" style="327" customWidth="1"/>
    <col min="776" max="776" width="15.33203125" style="327" customWidth="1"/>
    <col min="777" max="1023" width="9.33203125" style="327"/>
    <col min="1024" max="1024" width="55.83203125" style="327" customWidth="1"/>
    <col min="1025" max="1027" width="24.33203125" style="327" customWidth="1"/>
    <col min="1028" max="1028" width="17.5" style="327" customWidth="1"/>
    <col min="1029" max="1029" width="15.5" style="327" customWidth="1"/>
    <col min="1030" max="1030" width="16.1640625" style="327" customWidth="1"/>
    <col min="1031" max="1031" width="17.33203125" style="327" customWidth="1"/>
    <col min="1032" max="1032" width="15.33203125" style="327" customWidth="1"/>
    <col min="1033" max="1279" width="9.33203125" style="327"/>
    <col min="1280" max="1280" width="55.83203125" style="327" customWidth="1"/>
    <col min="1281" max="1283" width="24.33203125" style="327" customWidth="1"/>
    <col min="1284" max="1284" width="17.5" style="327" customWidth="1"/>
    <col min="1285" max="1285" width="15.5" style="327" customWidth="1"/>
    <col min="1286" max="1286" width="16.1640625" style="327" customWidth="1"/>
    <col min="1287" max="1287" width="17.33203125" style="327" customWidth="1"/>
    <col min="1288" max="1288" width="15.33203125" style="327" customWidth="1"/>
    <col min="1289" max="1535" width="9.33203125" style="327"/>
    <col min="1536" max="1536" width="55.83203125" style="327" customWidth="1"/>
    <col min="1537" max="1539" width="24.33203125" style="327" customWidth="1"/>
    <col min="1540" max="1540" width="17.5" style="327" customWidth="1"/>
    <col min="1541" max="1541" width="15.5" style="327" customWidth="1"/>
    <col min="1542" max="1542" width="16.1640625" style="327" customWidth="1"/>
    <col min="1543" max="1543" width="17.33203125" style="327" customWidth="1"/>
    <col min="1544" max="1544" width="15.33203125" style="327" customWidth="1"/>
    <col min="1545" max="1791" width="9.33203125" style="327"/>
    <col min="1792" max="1792" width="55.83203125" style="327" customWidth="1"/>
    <col min="1793" max="1795" width="24.33203125" style="327" customWidth="1"/>
    <col min="1796" max="1796" width="17.5" style="327" customWidth="1"/>
    <col min="1797" max="1797" width="15.5" style="327" customWidth="1"/>
    <col min="1798" max="1798" width="16.1640625" style="327" customWidth="1"/>
    <col min="1799" max="1799" width="17.33203125" style="327" customWidth="1"/>
    <col min="1800" max="1800" width="15.33203125" style="327" customWidth="1"/>
    <col min="1801" max="2047" width="9.33203125" style="327"/>
    <col min="2048" max="2048" width="55.83203125" style="327" customWidth="1"/>
    <col min="2049" max="2051" width="24.33203125" style="327" customWidth="1"/>
    <col min="2052" max="2052" width="17.5" style="327" customWidth="1"/>
    <col min="2053" max="2053" width="15.5" style="327" customWidth="1"/>
    <col min="2054" max="2054" width="16.1640625" style="327" customWidth="1"/>
    <col min="2055" max="2055" width="17.33203125" style="327" customWidth="1"/>
    <col min="2056" max="2056" width="15.33203125" style="327" customWidth="1"/>
    <col min="2057" max="2303" width="9.33203125" style="327"/>
    <col min="2304" max="2304" width="55.83203125" style="327" customWidth="1"/>
    <col min="2305" max="2307" width="24.33203125" style="327" customWidth="1"/>
    <col min="2308" max="2308" width="17.5" style="327" customWidth="1"/>
    <col min="2309" max="2309" width="15.5" style="327" customWidth="1"/>
    <col min="2310" max="2310" width="16.1640625" style="327" customWidth="1"/>
    <col min="2311" max="2311" width="17.33203125" style="327" customWidth="1"/>
    <col min="2312" max="2312" width="15.33203125" style="327" customWidth="1"/>
    <col min="2313" max="2559" width="9.33203125" style="327"/>
    <col min="2560" max="2560" width="55.83203125" style="327" customWidth="1"/>
    <col min="2561" max="2563" width="24.33203125" style="327" customWidth="1"/>
    <col min="2564" max="2564" width="17.5" style="327" customWidth="1"/>
    <col min="2565" max="2565" width="15.5" style="327" customWidth="1"/>
    <col min="2566" max="2566" width="16.1640625" style="327" customWidth="1"/>
    <col min="2567" max="2567" width="17.33203125" style="327" customWidth="1"/>
    <col min="2568" max="2568" width="15.33203125" style="327" customWidth="1"/>
    <col min="2569" max="2815" width="9.33203125" style="327"/>
    <col min="2816" max="2816" width="55.83203125" style="327" customWidth="1"/>
    <col min="2817" max="2819" width="24.33203125" style="327" customWidth="1"/>
    <col min="2820" max="2820" width="17.5" style="327" customWidth="1"/>
    <col min="2821" max="2821" width="15.5" style="327" customWidth="1"/>
    <col min="2822" max="2822" width="16.1640625" style="327" customWidth="1"/>
    <col min="2823" max="2823" width="17.33203125" style="327" customWidth="1"/>
    <col min="2824" max="2824" width="15.33203125" style="327" customWidth="1"/>
    <col min="2825" max="3071" width="9.33203125" style="327"/>
    <col min="3072" max="3072" width="55.83203125" style="327" customWidth="1"/>
    <col min="3073" max="3075" width="24.33203125" style="327" customWidth="1"/>
    <col min="3076" max="3076" width="17.5" style="327" customWidth="1"/>
    <col min="3077" max="3077" width="15.5" style="327" customWidth="1"/>
    <col min="3078" max="3078" width="16.1640625" style="327" customWidth="1"/>
    <col min="3079" max="3079" width="17.33203125" style="327" customWidth="1"/>
    <col min="3080" max="3080" width="15.33203125" style="327" customWidth="1"/>
    <col min="3081" max="3327" width="9.33203125" style="327"/>
    <col min="3328" max="3328" width="55.83203125" style="327" customWidth="1"/>
    <col min="3329" max="3331" width="24.33203125" style="327" customWidth="1"/>
    <col min="3332" max="3332" width="17.5" style="327" customWidth="1"/>
    <col min="3333" max="3333" width="15.5" style="327" customWidth="1"/>
    <col min="3334" max="3334" width="16.1640625" style="327" customWidth="1"/>
    <col min="3335" max="3335" width="17.33203125" style="327" customWidth="1"/>
    <col min="3336" max="3336" width="15.33203125" style="327" customWidth="1"/>
    <col min="3337" max="3583" width="9.33203125" style="327"/>
    <col min="3584" max="3584" width="55.83203125" style="327" customWidth="1"/>
    <col min="3585" max="3587" width="24.33203125" style="327" customWidth="1"/>
    <col min="3588" max="3588" width="17.5" style="327" customWidth="1"/>
    <col min="3589" max="3589" width="15.5" style="327" customWidth="1"/>
    <col min="3590" max="3590" width="16.1640625" style="327" customWidth="1"/>
    <col min="3591" max="3591" width="17.33203125" style="327" customWidth="1"/>
    <col min="3592" max="3592" width="15.33203125" style="327" customWidth="1"/>
    <col min="3593" max="3839" width="9.33203125" style="327"/>
    <col min="3840" max="3840" width="55.83203125" style="327" customWidth="1"/>
    <col min="3841" max="3843" width="24.33203125" style="327" customWidth="1"/>
    <col min="3844" max="3844" width="17.5" style="327" customWidth="1"/>
    <col min="3845" max="3845" width="15.5" style="327" customWidth="1"/>
    <col min="3846" max="3846" width="16.1640625" style="327" customWidth="1"/>
    <col min="3847" max="3847" width="17.33203125" style="327" customWidth="1"/>
    <col min="3848" max="3848" width="15.33203125" style="327" customWidth="1"/>
    <col min="3849" max="4095" width="9.33203125" style="327"/>
    <col min="4096" max="4096" width="55.83203125" style="327" customWidth="1"/>
    <col min="4097" max="4099" width="24.33203125" style="327" customWidth="1"/>
    <col min="4100" max="4100" width="17.5" style="327" customWidth="1"/>
    <col min="4101" max="4101" width="15.5" style="327" customWidth="1"/>
    <col min="4102" max="4102" width="16.1640625" style="327" customWidth="1"/>
    <col min="4103" max="4103" width="17.33203125" style="327" customWidth="1"/>
    <col min="4104" max="4104" width="15.33203125" style="327" customWidth="1"/>
    <col min="4105" max="4351" width="9.33203125" style="327"/>
    <col min="4352" max="4352" width="55.83203125" style="327" customWidth="1"/>
    <col min="4353" max="4355" width="24.33203125" style="327" customWidth="1"/>
    <col min="4356" max="4356" width="17.5" style="327" customWidth="1"/>
    <col min="4357" max="4357" width="15.5" style="327" customWidth="1"/>
    <col min="4358" max="4358" width="16.1640625" style="327" customWidth="1"/>
    <col min="4359" max="4359" width="17.33203125" style="327" customWidth="1"/>
    <col min="4360" max="4360" width="15.33203125" style="327" customWidth="1"/>
    <col min="4361" max="4607" width="9.33203125" style="327"/>
    <col min="4608" max="4608" width="55.83203125" style="327" customWidth="1"/>
    <col min="4609" max="4611" width="24.33203125" style="327" customWidth="1"/>
    <col min="4612" max="4612" width="17.5" style="327" customWidth="1"/>
    <col min="4613" max="4613" width="15.5" style="327" customWidth="1"/>
    <col min="4614" max="4614" width="16.1640625" style="327" customWidth="1"/>
    <col min="4615" max="4615" width="17.33203125" style="327" customWidth="1"/>
    <col min="4616" max="4616" width="15.33203125" style="327" customWidth="1"/>
    <col min="4617" max="4863" width="9.33203125" style="327"/>
    <col min="4864" max="4864" width="55.83203125" style="327" customWidth="1"/>
    <col min="4865" max="4867" width="24.33203125" style="327" customWidth="1"/>
    <col min="4868" max="4868" width="17.5" style="327" customWidth="1"/>
    <col min="4869" max="4869" width="15.5" style="327" customWidth="1"/>
    <col min="4870" max="4870" width="16.1640625" style="327" customWidth="1"/>
    <col min="4871" max="4871" width="17.33203125" style="327" customWidth="1"/>
    <col min="4872" max="4872" width="15.33203125" style="327" customWidth="1"/>
    <col min="4873" max="5119" width="9.33203125" style="327"/>
    <col min="5120" max="5120" width="55.83203125" style="327" customWidth="1"/>
    <col min="5121" max="5123" width="24.33203125" style="327" customWidth="1"/>
    <col min="5124" max="5124" width="17.5" style="327" customWidth="1"/>
    <col min="5125" max="5125" width="15.5" style="327" customWidth="1"/>
    <col min="5126" max="5126" width="16.1640625" style="327" customWidth="1"/>
    <col min="5127" max="5127" width="17.33203125" style="327" customWidth="1"/>
    <col min="5128" max="5128" width="15.33203125" style="327" customWidth="1"/>
    <col min="5129" max="5375" width="9.33203125" style="327"/>
    <col min="5376" max="5376" width="55.83203125" style="327" customWidth="1"/>
    <col min="5377" max="5379" width="24.33203125" style="327" customWidth="1"/>
    <col min="5380" max="5380" width="17.5" style="327" customWidth="1"/>
    <col min="5381" max="5381" width="15.5" style="327" customWidth="1"/>
    <col min="5382" max="5382" width="16.1640625" style="327" customWidth="1"/>
    <col min="5383" max="5383" width="17.33203125" style="327" customWidth="1"/>
    <col min="5384" max="5384" width="15.33203125" style="327" customWidth="1"/>
    <col min="5385" max="5631" width="9.33203125" style="327"/>
    <col min="5632" max="5632" width="55.83203125" style="327" customWidth="1"/>
    <col min="5633" max="5635" width="24.33203125" style="327" customWidth="1"/>
    <col min="5636" max="5636" width="17.5" style="327" customWidth="1"/>
    <col min="5637" max="5637" width="15.5" style="327" customWidth="1"/>
    <col min="5638" max="5638" width="16.1640625" style="327" customWidth="1"/>
    <col min="5639" max="5639" width="17.33203125" style="327" customWidth="1"/>
    <col min="5640" max="5640" width="15.33203125" style="327" customWidth="1"/>
    <col min="5641" max="5887" width="9.33203125" style="327"/>
    <col min="5888" max="5888" width="55.83203125" style="327" customWidth="1"/>
    <col min="5889" max="5891" width="24.33203125" style="327" customWidth="1"/>
    <col min="5892" max="5892" width="17.5" style="327" customWidth="1"/>
    <col min="5893" max="5893" width="15.5" style="327" customWidth="1"/>
    <col min="5894" max="5894" width="16.1640625" style="327" customWidth="1"/>
    <col min="5895" max="5895" width="17.33203125" style="327" customWidth="1"/>
    <col min="5896" max="5896" width="15.33203125" style="327" customWidth="1"/>
    <col min="5897" max="6143" width="9.33203125" style="327"/>
    <col min="6144" max="6144" width="55.83203125" style="327" customWidth="1"/>
    <col min="6145" max="6147" width="24.33203125" style="327" customWidth="1"/>
    <col min="6148" max="6148" width="17.5" style="327" customWidth="1"/>
    <col min="6149" max="6149" width="15.5" style="327" customWidth="1"/>
    <col min="6150" max="6150" width="16.1640625" style="327" customWidth="1"/>
    <col min="6151" max="6151" width="17.33203125" style="327" customWidth="1"/>
    <col min="6152" max="6152" width="15.33203125" style="327" customWidth="1"/>
    <col min="6153" max="6399" width="9.33203125" style="327"/>
    <col min="6400" max="6400" width="55.83203125" style="327" customWidth="1"/>
    <col min="6401" max="6403" width="24.33203125" style="327" customWidth="1"/>
    <col min="6404" max="6404" width="17.5" style="327" customWidth="1"/>
    <col min="6405" max="6405" width="15.5" style="327" customWidth="1"/>
    <col min="6406" max="6406" width="16.1640625" style="327" customWidth="1"/>
    <col min="6407" max="6407" width="17.33203125" style="327" customWidth="1"/>
    <col min="6408" max="6408" width="15.33203125" style="327" customWidth="1"/>
    <col min="6409" max="6655" width="9.33203125" style="327"/>
    <col min="6656" max="6656" width="55.83203125" style="327" customWidth="1"/>
    <col min="6657" max="6659" width="24.33203125" style="327" customWidth="1"/>
    <col min="6660" max="6660" width="17.5" style="327" customWidth="1"/>
    <col min="6661" max="6661" width="15.5" style="327" customWidth="1"/>
    <col min="6662" max="6662" width="16.1640625" style="327" customWidth="1"/>
    <col min="6663" max="6663" width="17.33203125" style="327" customWidth="1"/>
    <col min="6664" max="6664" width="15.33203125" style="327" customWidth="1"/>
    <col min="6665" max="6911" width="9.33203125" style="327"/>
    <col min="6912" max="6912" width="55.83203125" style="327" customWidth="1"/>
    <col min="6913" max="6915" width="24.33203125" style="327" customWidth="1"/>
    <col min="6916" max="6916" width="17.5" style="327" customWidth="1"/>
    <col min="6917" max="6917" width="15.5" style="327" customWidth="1"/>
    <col min="6918" max="6918" width="16.1640625" style="327" customWidth="1"/>
    <col min="6919" max="6919" width="17.33203125" style="327" customWidth="1"/>
    <col min="6920" max="6920" width="15.33203125" style="327" customWidth="1"/>
    <col min="6921" max="7167" width="9.33203125" style="327"/>
    <col min="7168" max="7168" width="55.83203125" style="327" customWidth="1"/>
    <col min="7169" max="7171" width="24.33203125" style="327" customWidth="1"/>
    <col min="7172" max="7172" width="17.5" style="327" customWidth="1"/>
    <col min="7173" max="7173" width="15.5" style="327" customWidth="1"/>
    <col min="7174" max="7174" width="16.1640625" style="327" customWidth="1"/>
    <col min="7175" max="7175" width="17.33203125" style="327" customWidth="1"/>
    <col min="7176" max="7176" width="15.33203125" style="327" customWidth="1"/>
    <col min="7177" max="7423" width="9.33203125" style="327"/>
    <col min="7424" max="7424" width="55.83203125" style="327" customWidth="1"/>
    <col min="7425" max="7427" width="24.33203125" style="327" customWidth="1"/>
    <col min="7428" max="7428" width="17.5" style="327" customWidth="1"/>
    <col min="7429" max="7429" width="15.5" style="327" customWidth="1"/>
    <col min="7430" max="7430" width="16.1640625" style="327" customWidth="1"/>
    <col min="7431" max="7431" width="17.33203125" style="327" customWidth="1"/>
    <col min="7432" max="7432" width="15.33203125" style="327" customWidth="1"/>
    <col min="7433" max="7679" width="9.33203125" style="327"/>
    <col min="7680" max="7680" width="55.83203125" style="327" customWidth="1"/>
    <col min="7681" max="7683" width="24.33203125" style="327" customWidth="1"/>
    <col min="7684" max="7684" width="17.5" style="327" customWidth="1"/>
    <col min="7685" max="7685" width="15.5" style="327" customWidth="1"/>
    <col min="7686" max="7686" width="16.1640625" style="327" customWidth="1"/>
    <col min="7687" max="7687" width="17.33203125" style="327" customWidth="1"/>
    <col min="7688" max="7688" width="15.33203125" style="327" customWidth="1"/>
    <col min="7689" max="7935" width="9.33203125" style="327"/>
    <col min="7936" max="7936" width="55.83203125" style="327" customWidth="1"/>
    <col min="7937" max="7939" width="24.33203125" style="327" customWidth="1"/>
    <col min="7940" max="7940" width="17.5" style="327" customWidth="1"/>
    <col min="7941" max="7941" width="15.5" style="327" customWidth="1"/>
    <col min="7942" max="7942" width="16.1640625" style="327" customWidth="1"/>
    <col min="7943" max="7943" width="17.33203125" style="327" customWidth="1"/>
    <col min="7944" max="7944" width="15.33203125" style="327" customWidth="1"/>
    <col min="7945" max="8191" width="9.33203125" style="327"/>
    <col min="8192" max="8192" width="55.83203125" style="327" customWidth="1"/>
    <col min="8193" max="8195" width="24.33203125" style="327" customWidth="1"/>
    <col min="8196" max="8196" width="17.5" style="327" customWidth="1"/>
    <col min="8197" max="8197" width="15.5" style="327" customWidth="1"/>
    <col min="8198" max="8198" width="16.1640625" style="327" customWidth="1"/>
    <col min="8199" max="8199" width="17.33203125" style="327" customWidth="1"/>
    <col min="8200" max="8200" width="15.33203125" style="327" customWidth="1"/>
    <col min="8201" max="8447" width="9.33203125" style="327"/>
    <col min="8448" max="8448" width="55.83203125" style="327" customWidth="1"/>
    <col min="8449" max="8451" width="24.33203125" style="327" customWidth="1"/>
    <col min="8452" max="8452" width="17.5" style="327" customWidth="1"/>
    <col min="8453" max="8453" width="15.5" style="327" customWidth="1"/>
    <col min="8454" max="8454" width="16.1640625" style="327" customWidth="1"/>
    <col min="8455" max="8455" width="17.33203125" style="327" customWidth="1"/>
    <col min="8456" max="8456" width="15.33203125" style="327" customWidth="1"/>
    <col min="8457" max="8703" width="9.33203125" style="327"/>
    <col min="8704" max="8704" width="55.83203125" style="327" customWidth="1"/>
    <col min="8705" max="8707" width="24.33203125" style="327" customWidth="1"/>
    <col min="8708" max="8708" width="17.5" style="327" customWidth="1"/>
    <col min="8709" max="8709" width="15.5" style="327" customWidth="1"/>
    <col min="8710" max="8710" width="16.1640625" style="327" customWidth="1"/>
    <col min="8711" max="8711" width="17.33203125" style="327" customWidth="1"/>
    <col min="8712" max="8712" width="15.33203125" style="327" customWidth="1"/>
    <col min="8713" max="8959" width="9.33203125" style="327"/>
    <col min="8960" max="8960" width="55.83203125" style="327" customWidth="1"/>
    <col min="8961" max="8963" width="24.33203125" style="327" customWidth="1"/>
    <col min="8964" max="8964" width="17.5" style="327" customWidth="1"/>
    <col min="8965" max="8965" width="15.5" style="327" customWidth="1"/>
    <col min="8966" max="8966" width="16.1640625" style="327" customWidth="1"/>
    <col min="8967" max="8967" width="17.33203125" style="327" customWidth="1"/>
    <col min="8968" max="8968" width="15.33203125" style="327" customWidth="1"/>
    <col min="8969" max="9215" width="9.33203125" style="327"/>
    <col min="9216" max="9216" width="55.83203125" style="327" customWidth="1"/>
    <col min="9217" max="9219" width="24.33203125" style="327" customWidth="1"/>
    <col min="9220" max="9220" width="17.5" style="327" customWidth="1"/>
    <col min="9221" max="9221" width="15.5" style="327" customWidth="1"/>
    <col min="9222" max="9222" width="16.1640625" style="327" customWidth="1"/>
    <col min="9223" max="9223" width="17.33203125" style="327" customWidth="1"/>
    <col min="9224" max="9224" width="15.33203125" style="327" customWidth="1"/>
    <col min="9225" max="9471" width="9.33203125" style="327"/>
    <col min="9472" max="9472" width="55.83203125" style="327" customWidth="1"/>
    <col min="9473" max="9475" width="24.33203125" style="327" customWidth="1"/>
    <col min="9476" max="9476" width="17.5" style="327" customWidth="1"/>
    <col min="9477" max="9477" width="15.5" style="327" customWidth="1"/>
    <col min="9478" max="9478" width="16.1640625" style="327" customWidth="1"/>
    <col min="9479" max="9479" width="17.33203125" style="327" customWidth="1"/>
    <col min="9480" max="9480" width="15.33203125" style="327" customWidth="1"/>
    <col min="9481" max="9727" width="9.33203125" style="327"/>
    <col min="9728" max="9728" width="55.83203125" style="327" customWidth="1"/>
    <col min="9729" max="9731" width="24.33203125" style="327" customWidth="1"/>
    <col min="9732" max="9732" width="17.5" style="327" customWidth="1"/>
    <col min="9733" max="9733" width="15.5" style="327" customWidth="1"/>
    <col min="9734" max="9734" width="16.1640625" style="327" customWidth="1"/>
    <col min="9735" max="9735" width="17.33203125" style="327" customWidth="1"/>
    <col min="9736" max="9736" width="15.33203125" style="327" customWidth="1"/>
    <col min="9737" max="9983" width="9.33203125" style="327"/>
    <col min="9984" max="9984" width="55.83203125" style="327" customWidth="1"/>
    <col min="9985" max="9987" width="24.33203125" style="327" customWidth="1"/>
    <col min="9988" max="9988" width="17.5" style="327" customWidth="1"/>
    <col min="9989" max="9989" width="15.5" style="327" customWidth="1"/>
    <col min="9990" max="9990" width="16.1640625" style="327" customWidth="1"/>
    <col min="9991" max="9991" width="17.33203125" style="327" customWidth="1"/>
    <col min="9992" max="9992" width="15.33203125" style="327" customWidth="1"/>
    <col min="9993" max="10239" width="9.33203125" style="327"/>
    <col min="10240" max="10240" width="55.83203125" style="327" customWidth="1"/>
    <col min="10241" max="10243" width="24.33203125" style="327" customWidth="1"/>
    <col min="10244" max="10244" width="17.5" style="327" customWidth="1"/>
    <col min="10245" max="10245" width="15.5" style="327" customWidth="1"/>
    <col min="10246" max="10246" width="16.1640625" style="327" customWidth="1"/>
    <col min="10247" max="10247" width="17.33203125" style="327" customWidth="1"/>
    <col min="10248" max="10248" width="15.33203125" style="327" customWidth="1"/>
    <col min="10249" max="10495" width="9.33203125" style="327"/>
    <col min="10496" max="10496" width="55.83203125" style="327" customWidth="1"/>
    <col min="10497" max="10499" width="24.33203125" style="327" customWidth="1"/>
    <col min="10500" max="10500" width="17.5" style="327" customWidth="1"/>
    <col min="10501" max="10501" width="15.5" style="327" customWidth="1"/>
    <col min="10502" max="10502" width="16.1640625" style="327" customWidth="1"/>
    <col min="10503" max="10503" width="17.33203125" style="327" customWidth="1"/>
    <col min="10504" max="10504" width="15.33203125" style="327" customWidth="1"/>
    <col min="10505" max="10751" width="9.33203125" style="327"/>
    <col min="10752" max="10752" width="55.83203125" style="327" customWidth="1"/>
    <col min="10753" max="10755" width="24.33203125" style="327" customWidth="1"/>
    <col min="10756" max="10756" width="17.5" style="327" customWidth="1"/>
    <col min="10757" max="10757" width="15.5" style="327" customWidth="1"/>
    <col min="10758" max="10758" width="16.1640625" style="327" customWidth="1"/>
    <col min="10759" max="10759" width="17.33203125" style="327" customWidth="1"/>
    <col min="10760" max="10760" width="15.33203125" style="327" customWidth="1"/>
    <col min="10761" max="11007" width="9.33203125" style="327"/>
    <col min="11008" max="11008" width="55.83203125" style="327" customWidth="1"/>
    <col min="11009" max="11011" width="24.33203125" style="327" customWidth="1"/>
    <col min="11012" max="11012" width="17.5" style="327" customWidth="1"/>
    <col min="11013" max="11013" width="15.5" style="327" customWidth="1"/>
    <col min="11014" max="11014" width="16.1640625" style="327" customWidth="1"/>
    <col min="11015" max="11015" width="17.33203125" style="327" customWidth="1"/>
    <col min="11016" max="11016" width="15.33203125" style="327" customWidth="1"/>
    <col min="11017" max="11263" width="9.33203125" style="327"/>
    <col min="11264" max="11264" width="55.83203125" style="327" customWidth="1"/>
    <col min="11265" max="11267" width="24.33203125" style="327" customWidth="1"/>
    <col min="11268" max="11268" width="17.5" style="327" customWidth="1"/>
    <col min="11269" max="11269" width="15.5" style="327" customWidth="1"/>
    <col min="11270" max="11270" width="16.1640625" style="327" customWidth="1"/>
    <col min="11271" max="11271" width="17.33203125" style="327" customWidth="1"/>
    <col min="11272" max="11272" width="15.33203125" style="327" customWidth="1"/>
    <col min="11273" max="11519" width="9.33203125" style="327"/>
    <col min="11520" max="11520" width="55.83203125" style="327" customWidth="1"/>
    <col min="11521" max="11523" width="24.33203125" style="327" customWidth="1"/>
    <col min="11524" max="11524" width="17.5" style="327" customWidth="1"/>
    <col min="11525" max="11525" width="15.5" style="327" customWidth="1"/>
    <col min="11526" max="11526" width="16.1640625" style="327" customWidth="1"/>
    <col min="11527" max="11527" width="17.33203125" style="327" customWidth="1"/>
    <col min="11528" max="11528" width="15.33203125" style="327" customWidth="1"/>
    <col min="11529" max="11775" width="9.33203125" style="327"/>
    <col min="11776" max="11776" width="55.83203125" style="327" customWidth="1"/>
    <col min="11777" max="11779" width="24.33203125" style="327" customWidth="1"/>
    <col min="11780" max="11780" width="17.5" style="327" customWidth="1"/>
    <col min="11781" max="11781" width="15.5" style="327" customWidth="1"/>
    <col min="11782" max="11782" width="16.1640625" style="327" customWidth="1"/>
    <col min="11783" max="11783" width="17.33203125" style="327" customWidth="1"/>
    <col min="11784" max="11784" width="15.33203125" style="327" customWidth="1"/>
    <col min="11785" max="12031" width="9.33203125" style="327"/>
    <col min="12032" max="12032" width="55.83203125" style="327" customWidth="1"/>
    <col min="12033" max="12035" width="24.33203125" style="327" customWidth="1"/>
    <col min="12036" max="12036" width="17.5" style="327" customWidth="1"/>
    <col min="12037" max="12037" width="15.5" style="327" customWidth="1"/>
    <col min="12038" max="12038" width="16.1640625" style="327" customWidth="1"/>
    <col min="12039" max="12039" width="17.33203125" style="327" customWidth="1"/>
    <col min="12040" max="12040" width="15.33203125" style="327" customWidth="1"/>
    <col min="12041" max="12287" width="9.33203125" style="327"/>
    <col min="12288" max="12288" width="55.83203125" style="327" customWidth="1"/>
    <col min="12289" max="12291" width="24.33203125" style="327" customWidth="1"/>
    <col min="12292" max="12292" width="17.5" style="327" customWidth="1"/>
    <col min="12293" max="12293" width="15.5" style="327" customWidth="1"/>
    <col min="12294" max="12294" width="16.1640625" style="327" customWidth="1"/>
    <col min="12295" max="12295" width="17.33203125" style="327" customWidth="1"/>
    <col min="12296" max="12296" width="15.33203125" style="327" customWidth="1"/>
    <col min="12297" max="12543" width="9.33203125" style="327"/>
    <col min="12544" max="12544" width="55.83203125" style="327" customWidth="1"/>
    <col min="12545" max="12547" width="24.33203125" style="327" customWidth="1"/>
    <col min="12548" max="12548" width="17.5" style="327" customWidth="1"/>
    <col min="12549" max="12549" width="15.5" style="327" customWidth="1"/>
    <col min="12550" max="12550" width="16.1640625" style="327" customWidth="1"/>
    <col min="12551" max="12551" width="17.33203125" style="327" customWidth="1"/>
    <col min="12552" max="12552" width="15.33203125" style="327" customWidth="1"/>
    <col min="12553" max="12799" width="9.33203125" style="327"/>
    <col min="12800" max="12800" width="55.83203125" style="327" customWidth="1"/>
    <col min="12801" max="12803" width="24.33203125" style="327" customWidth="1"/>
    <col min="12804" max="12804" width="17.5" style="327" customWidth="1"/>
    <col min="12805" max="12805" width="15.5" style="327" customWidth="1"/>
    <col min="12806" max="12806" width="16.1640625" style="327" customWidth="1"/>
    <col min="12807" max="12807" width="17.33203125" style="327" customWidth="1"/>
    <col min="12808" max="12808" width="15.33203125" style="327" customWidth="1"/>
    <col min="12809" max="13055" width="9.33203125" style="327"/>
    <col min="13056" max="13056" width="55.83203125" style="327" customWidth="1"/>
    <col min="13057" max="13059" width="24.33203125" style="327" customWidth="1"/>
    <col min="13060" max="13060" width="17.5" style="327" customWidth="1"/>
    <col min="13061" max="13061" width="15.5" style="327" customWidth="1"/>
    <col min="13062" max="13062" width="16.1640625" style="327" customWidth="1"/>
    <col min="13063" max="13063" width="17.33203125" style="327" customWidth="1"/>
    <col min="13064" max="13064" width="15.33203125" style="327" customWidth="1"/>
    <col min="13065" max="13311" width="9.33203125" style="327"/>
    <col min="13312" max="13312" width="55.83203125" style="327" customWidth="1"/>
    <col min="13313" max="13315" width="24.33203125" style="327" customWidth="1"/>
    <col min="13316" max="13316" width="17.5" style="327" customWidth="1"/>
    <col min="13317" max="13317" width="15.5" style="327" customWidth="1"/>
    <col min="13318" max="13318" width="16.1640625" style="327" customWidth="1"/>
    <col min="13319" max="13319" width="17.33203125" style="327" customWidth="1"/>
    <col min="13320" max="13320" width="15.33203125" style="327" customWidth="1"/>
    <col min="13321" max="13567" width="9.33203125" style="327"/>
    <col min="13568" max="13568" width="55.83203125" style="327" customWidth="1"/>
    <col min="13569" max="13571" width="24.33203125" style="327" customWidth="1"/>
    <col min="13572" max="13572" width="17.5" style="327" customWidth="1"/>
    <col min="13573" max="13573" width="15.5" style="327" customWidth="1"/>
    <col min="13574" max="13574" width="16.1640625" style="327" customWidth="1"/>
    <col min="13575" max="13575" width="17.33203125" style="327" customWidth="1"/>
    <col min="13576" max="13576" width="15.33203125" style="327" customWidth="1"/>
    <col min="13577" max="13823" width="9.33203125" style="327"/>
    <col min="13824" max="13824" width="55.83203125" style="327" customWidth="1"/>
    <col min="13825" max="13827" width="24.33203125" style="327" customWidth="1"/>
    <col min="13828" max="13828" width="17.5" style="327" customWidth="1"/>
    <col min="13829" max="13829" width="15.5" style="327" customWidth="1"/>
    <col min="13830" max="13830" width="16.1640625" style="327" customWidth="1"/>
    <col min="13831" max="13831" width="17.33203125" style="327" customWidth="1"/>
    <col min="13832" max="13832" width="15.33203125" style="327" customWidth="1"/>
    <col min="13833" max="14079" width="9.33203125" style="327"/>
    <col min="14080" max="14080" width="55.83203125" style="327" customWidth="1"/>
    <col min="14081" max="14083" width="24.33203125" style="327" customWidth="1"/>
    <col min="14084" max="14084" width="17.5" style="327" customWidth="1"/>
    <col min="14085" max="14085" width="15.5" style="327" customWidth="1"/>
    <col min="14086" max="14086" width="16.1640625" style="327" customWidth="1"/>
    <col min="14087" max="14087" width="17.33203125" style="327" customWidth="1"/>
    <col min="14088" max="14088" width="15.33203125" style="327" customWidth="1"/>
    <col min="14089" max="14335" width="9.33203125" style="327"/>
    <col min="14336" max="14336" width="55.83203125" style="327" customWidth="1"/>
    <col min="14337" max="14339" width="24.33203125" style="327" customWidth="1"/>
    <col min="14340" max="14340" width="17.5" style="327" customWidth="1"/>
    <col min="14341" max="14341" width="15.5" style="327" customWidth="1"/>
    <col min="14342" max="14342" width="16.1640625" style="327" customWidth="1"/>
    <col min="14343" max="14343" width="17.33203125" style="327" customWidth="1"/>
    <col min="14344" max="14344" width="15.33203125" style="327" customWidth="1"/>
    <col min="14345" max="14591" width="9.33203125" style="327"/>
    <col min="14592" max="14592" width="55.83203125" style="327" customWidth="1"/>
    <col min="14593" max="14595" width="24.33203125" style="327" customWidth="1"/>
    <col min="14596" max="14596" width="17.5" style="327" customWidth="1"/>
    <col min="14597" max="14597" width="15.5" style="327" customWidth="1"/>
    <col min="14598" max="14598" width="16.1640625" style="327" customWidth="1"/>
    <col min="14599" max="14599" width="17.33203125" style="327" customWidth="1"/>
    <col min="14600" max="14600" width="15.33203125" style="327" customWidth="1"/>
    <col min="14601" max="14847" width="9.33203125" style="327"/>
    <col min="14848" max="14848" width="55.83203125" style="327" customWidth="1"/>
    <col min="14849" max="14851" width="24.33203125" style="327" customWidth="1"/>
    <col min="14852" max="14852" width="17.5" style="327" customWidth="1"/>
    <col min="14853" max="14853" width="15.5" style="327" customWidth="1"/>
    <col min="14854" max="14854" width="16.1640625" style="327" customWidth="1"/>
    <col min="14855" max="14855" width="17.33203125" style="327" customWidth="1"/>
    <col min="14856" max="14856" width="15.33203125" style="327" customWidth="1"/>
    <col min="14857" max="15103" width="9.33203125" style="327"/>
    <col min="15104" max="15104" width="55.83203125" style="327" customWidth="1"/>
    <col min="15105" max="15107" width="24.33203125" style="327" customWidth="1"/>
    <col min="15108" max="15108" width="17.5" style="327" customWidth="1"/>
    <col min="15109" max="15109" width="15.5" style="327" customWidth="1"/>
    <col min="15110" max="15110" width="16.1640625" style="327" customWidth="1"/>
    <col min="15111" max="15111" width="17.33203125" style="327" customWidth="1"/>
    <col min="15112" max="15112" width="15.33203125" style="327" customWidth="1"/>
    <col min="15113" max="15359" width="9.33203125" style="327"/>
    <col min="15360" max="15360" width="55.83203125" style="327" customWidth="1"/>
    <col min="15361" max="15363" width="24.33203125" style="327" customWidth="1"/>
    <col min="15364" max="15364" width="17.5" style="327" customWidth="1"/>
    <col min="15365" max="15365" width="15.5" style="327" customWidth="1"/>
    <col min="15366" max="15366" width="16.1640625" style="327" customWidth="1"/>
    <col min="15367" max="15367" width="17.33203125" style="327" customWidth="1"/>
    <col min="15368" max="15368" width="15.33203125" style="327" customWidth="1"/>
    <col min="15369" max="15615" width="9.33203125" style="327"/>
    <col min="15616" max="15616" width="55.83203125" style="327" customWidth="1"/>
    <col min="15617" max="15619" width="24.33203125" style="327" customWidth="1"/>
    <col min="15620" max="15620" width="17.5" style="327" customWidth="1"/>
    <col min="15621" max="15621" width="15.5" style="327" customWidth="1"/>
    <col min="15622" max="15622" width="16.1640625" style="327" customWidth="1"/>
    <col min="15623" max="15623" width="17.33203125" style="327" customWidth="1"/>
    <col min="15624" max="15624" width="15.33203125" style="327" customWidth="1"/>
    <col min="15625" max="15871" width="9.33203125" style="327"/>
    <col min="15872" max="15872" width="55.83203125" style="327" customWidth="1"/>
    <col min="15873" max="15875" width="24.33203125" style="327" customWidth="1"/>
    <col min="15876" max="15876" width="17.5" style="327" customWidth="1"/>
    <col min="15877" max="15877" width="15.5" style="327" customWidth="1"/>
    <col min="15878" max="15878" width="16.1640625" style="327" customWidth="1"/>
    <col min="15879" max="15879" width="17.33203125" style="327" customWidth="1"/>
    <col min="15880" max="15880" width="15.33203125" style="327" customWidth="1"/>
    <col min="15881" max="16127" width="9.33203125" style="327"/>
    <col min="16128" max="16128" width="55.83203125" style="327" customWidth="1"/>
    <col min="16129" max="16131" width="24.33203125" style="327" customWidth="1"/>
    <col min="16132" max="16132" width="17.5" style="327" customWidth="1"/>
    <col min="16133" max="16133" width="15.5" style="327" customWidth="1"/>
    <col min="16134" max="16134" width="16.1640625" style="327" customWidth="1"/>
    <col min="16135" max="16135" width="17.33203125" style="327" customWidth="1"/>
    <col min="16136" max="16136" width="15.33203125" style="327" customWidth="1"/>
    <col min="16137" max="16384" width="9.33203125" style="327"/>
  </cols>
  <sheetData>
    <row r="1" spans="2:229" ht="13.5" customHeight="1"/>
    <row r="2" spans="2:229" ht="13.5" customHeight="1">
      <c r="B2" s="437" t="s">
        <v>45</v>
      </c>
    </row>
    <row r="3" spans="2:229" s="332" customFormat="1" ht="13.5" customHeight="1">
      <c r="B3" s="335" t="s">
        <v>284</v>
      </c>
      <c r="C3" s="438"/>
      <c r="D3" s="438"/>
      <c r="E3" s="438"/>
      <c r="F3" s="334"/>
      <c r="G3" s="334"/>
      <c r="H3" s="334"/>
      <c r="I3" s="334"/>
      <c r="J3" s="334"/>
      <c r="K3" s="334"/>
      <c r="L3" s="334"/>
      <c r="M3" s="334"/>
      <c r="N3" s="334"/>
      <c r="O3" s="334"/>
      <c r="P3" s="334"/>
      <c r="Q3" s="334"/>
      <c r="R3" s="334"/>
      <c r="S3" s="334"/>
      <c r="T3" s="334"/>
      <c r="U3" s="334"/>
      <c r="V3" s="334"/>
      <c r="W3" s="334"/>
      <c r="X3" s="334"/>
      <c r="Y3" s="334"/>
      <c r="Z3" s="334"/>
      <c r="AA3" s="334"/>
      <c r="AB3" s="334"/>
      <c r="AC3" s="334"/>
      <c r="AD3" s="334"/>
      <c r="AE3" s="334"/>
      <c r="AF3" s="334"/>
      <c r="AG3" s="334"/>
      <c r="AH3" s="334"/>
      <c r="AI3" s="334"/>
      <c r="AJ3" s="334"/>
      <c r="AK3" s="334"/>
      <c r="AL3" s="334"/>
      <c r="AM3" s="334"/>
      <c r="AN3" s="334"/>
      <c r="AO3" s="334"/>
      <c r="AP3" s="334"/>
      <c r="AQ3" s="334"/>
      <c r="AR3" s="334"/>
      <c r="AS3" s="334"/>
      <c r="AT3" s="334"/>
      <c r="AU3" s="334"/>
      <c r="AV3" s="334"/>
      <c r="AW3" s="334"/>
      <c r="AX3" s="334"/>
      <c r="AY3" s="334"/>
      <c r="AZ3" s="334"/>
      <c r="BA3" s="334"/>
      <c r="BB3" s="334"/>
      <c r="BC3" s="334"/>
      <c r="BD3" s="334"/>
      <c r="BE3" s="334"/>
      <c r="BF3" s="334"/>
      <c r="BG3" s="334"/>
      <c r="BH3" s="334"/>
      <c r="BI3" s="334"/>
      <c r="BJ3" s="334"/>
      <c r="BK3" s="334"/>
      <c r="BL3" s="334"/>
      <c r="BM3" s="334"/>
      <c r="BN3" s="334"/>
      <c r="BO3" s="334"/>
      <c r="BP3" s="334"/>
      <c r="BQ3" s="334"/>
      <c r="BR3" s="334"/>
      <c r="BS3" s="334"/>
      <c r="BT3" s="334"/>
      <c r="BU3" s="334"/>
      <c r="BV3" s="334"/>
      <c r="BW3" s="334"/>
      <c r="BX3" s="334"/>
      <c r="BY3" s="334"/>
      <c r="BZ3" s="334"/>
      <c r="CA3" s="334"/>
      <c r="CB3" s="334"/>
      <c r="CC3" s="334"/>
      <c r="CD3" s="334"/>
      <c r="CE3" s="334"/>
      <c r="CF3" s="334"/>
      <c r="CG3" s="334"/>
      <c r="CH3" s="334"/>
      <c r="CI3" s="334"/>
      <c r="CJ3" s="334"/>
      <c r="CK3" s="334"/>
      <c r="CL3" s="334"/>
      <c r="CM3" s="334"/>
      <c r="CN3" s="334"/>
      <c r="CO3" s="334"/>
      <c r="CP3" s="334"/>
      <c r="CQ3" s="334"/>
      <c r="CR3" s="334"/>
      <c r="CS3" s="334"/>
      <c r="CT3" s="334"/>
      <c r="CU3" s="334"/>
      <c r="CV3" s="334"/>
      <c r="CW3" s="334"/>
      <c r="CX3" s="334"/>
      <c r="CY3" s="334"/>
      <c r="CZ3" s="334"/>
      <c r="DA3" s="334"/>
      <c r="DB3" s="334"/>
      <c r="DC3" s="334"/>
      <c r="DD3" s="334"/>
      <c r="DE3" s="334"/>
      <c r="DF3" s="334"/>
      <c r="DG3" s="334"/>
      <c r="DH3" s="334"/>
      <c r="DI3" s="334"/>
      <c r="DJ3" s="334"/>
      <c r="DK3" s="334"/>
      <c r="DL3" s="334"/>
      <c r="DM3" s="334"/>
      <c r="DN3" s="334"/>
      <c r="DO3" s="334"/>
      <c r="DP3" s="334"/>
      <c r="DQ3" s="334"/>
      <c r="DR3" s="334"/>
      <c r="DS3" s="334"/>
      <c r="DT3" s="334"/>
      <c r="DU3" s="334"/>
      <c r="DV3" s="334"/>
      <c r="DW3" s="334"/>
      <c r="DX3" s="334"/>
      <c r="DY3" s="334"/>
      <c r="DZ3" s="334"/>
      <c r="EA3" s="334"/>
      <c r="EB3" s="334"/>
      <c r="EC3" s="334"/>
      <c r="ED3" s="334"/>
      <c r="EE3" s="334"/>
      <c r="EF3" s="334"/>
      <c r="EG3" s="334"/>
      <c r="EH3" s="334"/>
      <c r="EI3" s="334"/>
      <c r="EJ3" s="334"/>
      <c r="EK3" s="334"/>
      <c r="EL3" s="334"/>
      <c r="EM3" s="334"/>
      <c r="EN3" s="334"/>
      <c r="EO3" s="334"/>
      <c r="EP3" s="334"/>
      <c r="EQ3" s="334"/>
      <c r="ER3" s="334"/>
      <c r="ES3" s="334"/>
      <c r="ET3" s="334"/>
      <c r="EU3" s="334"/>
      <c r="EV3" s="334"/>
      <c r="EW3" s="334"/>
      <c r="EX3" s="334"/>
      <c r="EY3" s="334"/>
      <c r="EZ3" s="334"/>
      <c r="FA3" s="334"/>
      <c r="FB3" s="334"/>
      <c r="FC3" s="334"/>
      <c r="FD3" s="334"/>
      <c r="FE3" s="334"/>
      <c r="FF3" s="334"/>
      <c r="FG3" s="334"/>
      <c r="FH3" s="334"/>
      <c r="FI3" s="334"/>
      <c r="FJ3" s="334"/>
      <c r="FK3" s="334"/>
      <c r="FL3" s="334"/>
      <c r="FM3" s="334"/>
      <c r="FN3" s="334"/>
      <c r="FO3" s="334"/>
      <c r="FP3" s="334"/>
      <c r="FQ3" s="334"/>
      <c r="FR3" s="334"/>
      <c r="FS3" s="334"/>
      <c r="FT3" s="334"/>
      <c r="FU3" s="334"/>
      <c r="FV3" s="334"/>
      <c r="FW3" s="334"/>
      <c r="FX3" s="334"/>
      <c r="FY3" s="334"/>
      <c r="FZ3" s="334"/>
      <c r="GA3" s="334"/>
      <c r="GB3" s="334"/>
      <c r="GC3" s="334"/>
      <c r="GD3" s="334"/>
      <c r="GE3" s="334"/>
      <c r="GF3" s="334"/>
      <c r="GG3" s="334"/>
      <c r="GH3" s="334"/>
      <c r="GI3" s="334"/>
      <c r="GJ3" s="334"/>
      <c r="GK3" s="334"/>
      <c r="GL3" s="334"/>
      <c r="GM3" s="334"/>
      <c r="GN3" s="334"/>
      <c r="GO3" s="334"/>
      <c r="GP3" s="334"/>
      <c r="GQ3" s="334"/>
      <c r="GR3" s="334"/>
      <c r="GS3" s="334"/>
      <c r="GT3" s="334"/>
      <c r="GU3" s="334"/>
      <c r="GV3" s="334"/>
      <c r="GW3" s="334"/>
      <c r="GX3" s="334"/>
      <c r="GY3" s="334"/>
      <c r="GZ3" s="334"/>
      <c r="HA3" s="334"/>
      <c r="HB3" s="334"/>
      <c r="HC3" s="334"/>
      <c r="HD3" s="334"/>
      <c r="HE3" s="334"/>
      <c r="HF3" s="334"/>
      <c r="HG3" s="334"/>
      <c r="HH3" s="334"/>
      <c r="HI3" s="334"/>
      <c r="HJ3" s="334"/>
      <c r="HK3" s="334"/>
      <c r="HL3" s="334"/>
      <c r="HM3" s="334"/>
      <c r="HN3" s="334"/>
      <c r="HO3" s="334"/>
      <c r="HP3" s="334"/>
      <c r="HQ3" s="334"/>
      <c r="HR3" s="334"/>
      <c r="HS3" s="334"/>
      <c r="HT3" s="334"/>
      <c r="HU3" s="334"/>
    </row>
    <row r="4" spans="2:229" s="332" customFormat="1" ht="13.5" customHeight="1">
      <c r="B4" s="335"/>
      <c r="C4" s="438"/>
      <c r="D4" s="438"/>
      <c r="E4" s="438"/>
      <c r="F4" s="334"/>
      <c r="G4" s="334"/>
      <c r="H4" s="334"/>
      <c r="I4" s="334"/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334"/>
      <c r="V4" s="334"/>
      <c r="W4" s="334"/>
      <c r="X4" s="334"/>
      <c r="Y4" s="334"/>
      <c r="Z4" s="334"/>
      <c r="AA4" s="334"/>
      <c r="AB4" s="334"/>
      <c r="AC4" s="334"/>
      <c r="AD4" s="334"/>
      <c r="AE4" s="334"/>
      <c r="AF4" s="334"/>
      <c r="AG4" s="334"/>
      <c r="AH4" s="334"/>
      <c r="AI4" s="334"/>
      <c r="AJ4" s="334"/>
      <c r="AK4" s="334"/>
      <c r="AL4" s="334"/>
      <c r="AM4" s="334"/>
      <c r="AN4" s="334"/>
      <c r="AO4" s="334"/>
      <c r="AP4" s="334"/>
      <c r="AQ4" s="334"/>
      <c r="AR4" s="334"/>
      <c r="AS4" s="334"/>
      <c r="AT4" s="334"/>
      <c r="AU4" s="334"/>
      <c r="AV4" s="334"/>
      <c r="AW4" s="334"/>
      <c r="AX4" s="334"/>
      <c r="AY4" s="334"/>
      <c r="AZ4" s="334"/>
      <c r="BA4" s="334"/>
      <c r="BB4" s="334"/>
      <c r="BC4" s="334"/>
      <c r="BD4" s="334"/>
      <c r="BE4" s="334"/>
      <c r="BF4" s="334"/>
      <c r="BG4" s="334"/>
      <c r="BH4" s="334"/>
      <c r="BI4" s="334"/>
      <c r="BJ4" s="334"/>
      <c r="BK4" s="334"/>
      <c r="BL4" s="334"/>
      <c r="BM4" s="334"/>
      <c r="BN4" s="334"/>
      <c r="BO4" s="334"/>
      <c r="BP4" s="334"/>
      <c r="BQ4" s="334"/>
      <c r="BR4" s="334"/>
      <c r="BS4" s="334"/>
      <c r="BT4" s="334"/>
      <c r="BU4" s="334"/>
      <c r="BV4" s="334"/>
      <c r="BW4" s="334"/>
      <c r="BX4" s="334"/>
      <c r="BY4" s="334"/>
      <c r="BZ4" s="334"/>
      <c r="CA4" s="334"/>
      <c r="CB4" s="334"/>
      <c r="CC4" s="334"/>
      <c r="CD4" s="334"/>
      <c r="CE4" s="334"/>
      <c r="CF4" s="334"/>
      <c r="CG4" s="334"/>
      <c r="CH4" s="334"/>
      <c r="CI4" s="334"/>
      <c r="CJ4" s="334"/>
      <c r="CK4" s="334"/>
      <c r="CL4" s="334"/>
      <c r="CM4" s="334"/>
      <c r="CN4" s="334"/>
      <c r="CO4" s="334"/>
      <c r="CP4" s="334"/>
      <c r="CQ4" s="334"/>
      <c r="CR4" s="334"/>
      <c r="CS4" s="334"/>
      <c r="CT4" s="334"/>
      <c r="CU4" s="334"/>
      <c r="CV4" s="334"/>
      <c r="CW4" s="334"/>
      <c r="CX4" s="334"/>
      <c r="CY4" s="334"/>
      <c r="CZ4" s="334"/>
      <c r="DA4" s="334"/>
      <c r="DB4" s="334"/>
      <c r="DC4" s="334"/>
      <c r="DD4" s="334"/>
      <c r="DE4" s="334"/>
      <c r="DF4" s="334"/>
      <c r="DG4" s="334"/>
      <c r="DH4" s="334"/>
      <c r="DI4" s="334"/>
      <c r="DJ4" s="334"/>
      <c r="DK4" s="334"/>
      <c r="DL4" s="334"/>
      <c r="DM4" s="334"/>
      <c r="DN4" s="334"/>
      <c r="DO4" s="334"/>
      <c r="DP4" s="334"/>
      <c r="DQ4" s="334"/>
      <c r="DR4" s="334"/>
      <c r="DS4" s="334"/>
      <c r="DT4" s="334"/>
      <c r="DU4" s="334"/>
      <c r="DV4" s="334"/>
      <c r="DW4" s="334"/>
      <c r="DX4" s="334"/>
      <c r="DY4" s="334"/>
      <c r="DZ4" s="334"/>
      <c r="EA4" s="334"/>
      <c r="EB4" s="334"/>
      <c r="EC4" s="334"/>
      <c r="ED4" s="334"/>
      <c r="EE4" s="334"/>
      <c r="EF4" s="334"/>
      <c r="EG4" s="334"/>
      <c r="EH4" s="334"/>
      <c r="EI4" s="334"/>
      <c r="EJ4" s="334"/>
      <c r="EK4" s="334"/>
      <c r="EL4" s="334"/>
      <c r="EM4" s="334"/>
      <c r="EN4" s="334"/>
      <c r="EO4" s="334"/>
      <c r="EP4" s="334"/>
      <c r="EQ4" s="334"/>
      <c r="ER4" s="334"/>
      <c r="ES4" s="334"/>
      <c r="ET4" s="334"/>
      <c r="EU4" s="334"/>
      <c r="EV4" s="334"/>
      <c r="EW4" s="334"/>
      <c r="EX4" s="334"/>
      <c r="EY4" s="334"/>
      <c r="EZ4" s="334"/>
      <c r="FA4" s="334"/>
      <c r="FB4" s="334"/>
      <c r="FC4" s="334"/>
      <c r="FD4" s="334"/>
      <c r="FE4" s="334"/>
      <c r="FF4" s="334"/>
      <c r="FG4" s="334"/>
      <c r="FH4" s="334"/>
      <c r="FI4" s="334"/>
      <c r="FJ4" s="334"/>
      <c r="FK4" s="334"/>
      <c r="FL4" s="334"/>
      <c r="FM4" s="334"/>
      <c r="FN4" s="334"/>
      <c r="FO4" s="334"/>
      <c r="FP4" s="334"/>
      <c r="FQ4" s="334"/>
      <c r="FR4" s="334"/>
      <c r="FS4" s="334"/>
      <c r="FT4" s="334"/>
      <c r="FU4" s="334"/>
      <c r="FV4" s="334"/>
      <c r="FW4" s="334"/>
      <c r="FX4" s="334"/>
      <c r="FY4" s="334"/>
      <c r="FZ4" s="334"/>
      <c r="GA4" s="334"/>
      <c r="GB4" s="334"/>
      <c r="GC4" s="334"/>
      <c r="GD4" s="334"/>
      <c r="GE4" s="334"/>
      <c r="GF4" s="334"/>
      <c r="GG4" s="334"/>
      <c r="GH4" s="334"/>
      <c r="GI4" s="334"/>
      <c r="GJ4" s="334"/>
      <c r="GK4" s="334"/>
      <c r="GL4" s="334"/>
      <c r="GM4" s="334"/>
      <c r="GN4" s="334"/>
      <c r="GO4" s="334"/>
      <c r="GP4" s="334"/>
      <c r="GQ4" s="334"/>
      <c r="GR4" s="334"/>
      <c r="GS4" s="334"/>
      <c r="GT4" s="334"/>
      <c r="GU4" s="334"/>
      <c r="GV4" s="334"/>
      <c r="GW4" s="334"/>
      <c r="GX4" s="334"/>
      <c r="GY4" s="334"/>
      <c r="GZ4" s="334"/>
      <c r="HA4" s="334"/>
      <c r="HB4" s="334"/>
      <c r="HC4" s="334"/>
      <c r="HD4" s="334"/>
      <c r="HE4" s="334"/>
      <c r="HF4" s="334"/>
      <c r="HG4" s="334"/>
      <c r="HH4" s="334"/>
      <c r="HI4" s="334"/>
      <c r="HJ4" s="334"/>
      <c r="HK4" s="334"/>
      <c r="HL4" s="334"/>
      <c r="HM4" s="334"/>
      <c r="HN4" s="334"/>
      <c r="HO4" s="334"/>
      <c r="HP4" s="334"/>
      <c r="HQ4" s="334"/>
      <c r="HR4" s="334"/>
      <c r="HS4" s="334"/>
      <c r="HT4" s="334"/>
      <c r="HU4" s="334"/>
    </row>
    <row r="5" spans="2:229" s="332" customFormat="1" ht="13.5" customHeight="1">
      <c r="B5" s="434" t="s">
        <v>264</v>
      </c>
      <c r="C5" s="875">
        <v>41992</v>
      </c>
      <c r="D5" s="440"/>
      <c r="E5" s="440"/>
      <c r="F5" s="442" t="s">
        <v>217</v>
      </c>
      <c r="G5" s="443"/>
      <c r="H5" s="442" t="s">
        <v>218</v>
      </c>
      <c r="I5" s="444"/>
      <c r="J5" s="442" t="s">
        <v>81</v>
      </c>
      <c r="K5" s="444"/>
      <c r="L5" s="441"/>
      <c r="M5" s="441"/>
      <c r="N5" s="441"/>
      <c r="O5" s="441"/>
      <c r="P5" s="441"/>
      <c r="Q5" s="441"/>
      <c r="R5" s="441"/>
      <c r="S5" s="441"/>
      <c r="T5" s="441"/>
      <c r="U5" s="441"/>
      <c r="V5" s="441"/>
      <c r="W5" s="441"/>
      <c r="X5" s="441"/>
      <c r="Y5" s="441"/>
      <c r="Z5" s="441"/>
      <c r="AA5" s="441"/>
      <c r="AB5" s="441"/>
      <c r="AC5" s="441"/>
      <c r="AD5" s="441"/>
      <c r="AE5" s="441"/>
      <c r="AF5" s="441"/>
      <c r="AG5" s="441"/>
      <c r="AH5" s="441"/>
      <c r="AI5" s="441"/>
      <c r="AJ5" s="441"/>
      <c r="AK5" s="441"/>
      <c r="AL5" s="441"/>
      <c r="AM5" s="441"/>
      <c r="AN5" s="441"/>
      <c r="AO5" s="441"/>
      <c r="AP5" s="441"/>
      <c r="AQ5" s="441"/>
      <c r="AR5" s="441"/>
      <c r="AS5" s="441"/>
      <c r="AT5" s="441"/>
      <c r="AU5" s="441"/>
      <c r="AV5" s="441"/>
      <c r="AW5" s="441"/>
      <c r="AX5" s="441"/>
      <c r="AY5" s="441"/>
      <c r="AZ5" s="441"/>
      <c r="BA5" s="441"/>
      <c r="BB5" s="441"/>
      <c r="BC5" s="441"/>
      <c r="BD5" s="441"/>
      <c r="BE5" s="441"/>
      <c r="BF5" s="441"/>
      <c r="BG5" s="441"/>
      <c r="BH5" s="441"/>
      <c r="BI5" s="441"/>
      <c r="BJ5" s="441"/>
      <c r="BK5" s="441"/>
      <c r="BL5" s="441"/>
      <c r="BM5" s="441"/>
      <c r="BN5" s="441"/>
      <c r="BO5" s="441"/>
      <c r="BP5" s="441"/>
      <c r="BQ5" s="441"/>
      <c r="BR5" s="441"/>
      <c r="BS5" s="441"/>
      <c r="BT5" s="441"/>
      <c r="BU5" s="441"/>
      <c r="BV5" s="441"/>
      <c r="BW5" s="441"/>
      <c r="BX5" s="441"/>
      <c r="BY5" s="441"/>
      <c r="BZ5" s="441"/>
      <c r="CA5" s="441"/>
      <c r="CB5" s="441"/>
      <c r="CC5" s="441"/>
      <c r="CD5" s="441"/>
      <c r="CE5" s="441"/>
      <c r="CF5" s="441"/>
      <c r="CG5" s="441"/>
      <c r="CH5" s="441"/>
      <c r="CI5" s="441"/>
      <c r="CJ5" s="441"/>
      <c r="CK5" s="441"/>
      <c r="CL5" s="441"/>
      <c r="CM5" s="441"/>
      <c r="CN5" s="441"/>
      <c r="CO5" s="441"/>
      <c r="CP5" s="441"/>
      <c r="CQ5" s="441"/>
      <c r="CR5" s="441"/>
      <c r="CS5" s="441"/>
      <c r="CT5" s="441"/>
      <c r="CU5" s="441"/>
      <c r="CV5" s="441"/>
      <c r="CW5" s="441"/>
      <c r="CX5" s="441"/>
      <c r="CY5" s="441"/>
      <c r="CZ5" s="441"/>
      <c r="DA5" s="441"/>
      <c r="DB5" s="441"/>
      <c r="DC5" s="441"/>
      <c r="DD5" s="441"/>
      <c r="DE5" s="441"/>
      <c r="DF5" s="441"/>
      <c r="DG5" s="441"/>
      <c r="DH5" s="441"/>
      <c r="DI5" s="441"/>
      <c r="DJ5" s="441"/>
      <c r="DK5" s="441"/>
      <c r="DL5" s="441"/>
      <c r="DM5" s="441"/>
      <c r="DN5" s="441"/>
      <c r="DO5" s="441"/>
      <c r="DP5" s="441"/>
      <c r="DQ5" s="441"/>
      <c r="DR5" s="441"/>
      <c r="DS5" s="441"/>
      <c r="DT5" s="441"/>
      <c r="DU5" s="441"/>
      <c r="DV5" s="441"/>
      <c r="DW5" s="441"/>
      <c r="DX5" s="441"/>
      <c r="DY5" s="441"/>
      <c r="DZ5" s="441"/>
      <c r="EA5" s="441"/>
      <c r="EB5" s="441"/>
      <c r="EC5" s="441"/>
      <c r="ED5" s="441"/>
      <c r="EE5" s="441"/>
      <c r="EF5" s="441"/>
      <c r="EG5" s="441"/>
      <c r="EH5" s="441"/>
      <c r="EI5" s="441"/>
      <c r="EJ5" s="441"/>
      <c r="EK5" s="441"/>
      <c r="EL5" s="441"/>
      <c r="EM5" s="441"/>
      <c r="EN5" s="441"/>
      <c r="EO5" s="441"/>
      <c r="EP5" s="441"/>
      <c r="EQ5" s="441"/>
      <c r="ER5" s="441"/>
      <c r="ES5" s="441"/>
      <c r="ET5" s="441"/>
      <c r="EU5" s="441"/>
      <c r="EV5" s="441"/>
      <c r="EW5" s="441"/>
      <c r="EX5" s="441"/>
      <c r="EY5" s="441"/>
      <c r="EZ5" s="441"/>
      <c r="FA5" s="441"/>
      <c r="FB5" s="441"/>
      <c r="FC5" s="441"/>
      <c r="FD5" s="441"/>
      <c r="FE5" s="441"/>
      <c r="FF5" s="441"/>
      <c r="FG5" s="441"/>
      <c r="FH5" s="441"/>
      <c r="FI5" s="441"/>
      <c r="FJ5" s="441"/>
      <c r="FK5" s="441"/>
      <c r="FL5" s="441"/>
      <c r="FM5" s="441"/>
      <c r="FN5" s="441"/>
      <c r="FO5" s="441"/>
      <c r="FP5" s="441"/>
      <c r="FQ5" s="441"/>
      <c r="FR5" s="441"/>
      <c r="FS5" s="441"/>
      <c r="FT5" s="441"/>
      <c r="FU5" s="441"/>
      <c r="FV5" s="441"/>
      <c r="FW5" s="441"/>
      <c r="FX5" s="441"/>
      <c r="FY5" s="441"/>
      <c r="FZ5" s="441"/>
      <c r="GA5" s="441"/>
      <c r="GB5" s="441"/>
      <c r="GC5" s="441"/>
      <c r="GD5" s="441"/>
      <c r="GE5" s="441"/>
      <c r="GF5" s="441"/>
      <c r="GG5" s="441"/>
      <c r="GH5" s="441"/>
      <c r="GI5" s="441"/>
      <c r="GJ5" s="441"/>
      <c r="GK5" s="441"/>
      <c r="GL5" s="441"/>
      <c r="GM5" s="441"/>
      <c r="GN5" s="441"/>
      <c r="GO5" s="441"/>
      <c r="GP5" s="441"/>
      <c r="GQ5" s="441"/>
      <c r="GR5" s="441"/>
      <c r="GS5" s="441"/>
      <c r="GT5" s="441"/>
      <c r="GU5" s="441"/>
      <c r="GV5" s="441"/>
      <c r="GW5" s="441"/>
      <c r="GX5" s="441"/>
      <c r="GY5" s="441"/>
      <c r="GZ5" s="441"/>
      <c r="HA5" s="441"/>
      <c r="HB5" s="441"/>
      <c r="HC5" s="441"/>
      <c r="HD5" s="441"/>
      <c r="HE5" s="441"/>
      <c r="HF5" s="441"/>
      <c r="HG5" s="441"/>
      <c r="HH5" s="441"/>
      <c r="HI5" s="441"/>
      <c r="HJ5" s="441"/>
      <c r="HK5" s="441"/>
      <c r="HL5" s="441"/>
      <c r="HM5" s="441"/>
      <c r="HN5" s="441"/>
      <c r="HO5" s="441"/>
      <c r="HP5" s="441"/>
      <c r="HQ5" s="441"/>
      <c r="HR5" s="441"/>
      <c r="HS5" s="441"/>
      <c r="HT5" s="441"/>
      <c r="HU5" s="441"/>
    </row>
    <row r="6" spans="2:229" s="447" customFormat="1" ht="13.5" customHeight="1">
      <c r="B6" s="445" t="s">
        <v>150</v>
      </c>
      <c r="C6" s="439" t="s">
        <v>151</v>
      </c>
      <c r="D6" s="439" t="s">
        <v>205</v>
      </c>
      <c r="E6" s="439" t="s">
        <v>210</v>
      </c>
      <c r="F6" s="439" t="s">
        <v>219</v>
      </c>
      <c r="G6" s="439" t="s">
        <v>153</v>
      </c>
      <c r="H6" s="439" t="s">
        <v>219</v>
      </c>
      <c r="I6" s="439" t="s">
        <v>153</v>
      </c>
      <c r="J6" s="439" t="s">
        <v>10</v>
      </c>
      <c r="K6" s="439" t="s">
        <v>42</v>
      </c>
      <c r="L6" s="446" t="s">
        <v>215</v>
      </c>
    </row>
    <row r="7" spans="2:229" s="332" customFormat="1" ht="13.5" customHeight="1">
      <c r="B7" s="448" t="s">
        <v>211</v>
      </c>
      <c r="C7" s="449">
        <v>72.7</v>
      </c>
      <c r="D7" s="450">
        <v>1019</v>
      </c>
      <c r="E7" s="450">
        <v>1154.9000000000001</v>
      </c>
      <c r="F7" s="451">
        <v>10</v>
      </c>
      <c r="G7" s="451">
        <v>8.6999999999999993</v>
      </c>
      <c r="H7" s="451">
        <v>29.8</v>
      </c>
      <c r="I7" s="451">
        <v>24.91</v>
      </c>
      <c r="J7" s="452">
        <v>0.104</v>
      </c>
      <c r="K7" s="452">
        <v>4.8000000000000001E-2</v>
      </c>
      <c r="L7" s="451">
        <v>1.4</v>
      </c>
      <c r="M7" s="454"/>
      <c r="N7" s="454"/>
    </row>
    <row r="8" spans="2:229" s="332" customFormat="1" ht="13.5" customHeight="1">
      <c r="B8" s="448" t="s">
        <v>209</v>
      </c>
      <c r="C8" s="449">
        <v>47.31</v>
      </c>
      <c r="D8" s="450">
        <v>1234</v>
      </c>
      <c r="E8" s="450">
        <v>1241.5999999999999</v>
      </c>
      <c r="F8" s="451">
        <v>14.7</v>
      </c>
      <c r="G8" s="451">
        <v>12.05</v>
      </c>
      <c r="H8" s="451">
        <v>68.599999999999994</v>
      </c>
      <c r="I8" s="451">
        <v>41.95</v>
      </c>
      <c r="J8" s="452">
        <v>0.10100000000000001</v>
      </c>
      <c r="K8" s="452">
        <v>3.5999999999999997E-2</v>
      </c>
      <c r="L8" s="451">
        <v>0.4</v>
      </c>
      <c r="M8" s="454"/>
      <c r="N8" s="454"/>
    </row>
    <row r="9" spans="2:229" s="332" customFormat="1" ht="13.5" customHeight="1">
      <c r="B9" s="448" t="s">
        <v>207</v>
      </c>
      <c r="C9" s="449">
        <v>32.78</v>
      </c>
      <c r="D9" s="450">
        <v>2276.1</v>
      </c>
      <c r="E9" s="450">
        <v>2276.1999999999998</v>
      </c>
      <c r="F9" s="451">
        <v>12.1</v>
      </c>
      <c r="G9" s="451">
        <v>10.69</v>
      </c>
      <c r="H9" s="451">
        <v>27.1</v>
      </c>
      <c r="I9" s="451">
        <v>23.99</v>
      </c>
      <c r="J9" s="452">
        <v>0.12</v>
      </c>
      <c r="K9" s="452">
        <v>8.2000000000000003E-2</v>
      </c>
      <c r="L9" s="451">
        <v>0.3</v>
      </c>
      <c r="M9" s="454"/>
      <c r="N9" s="454"/>
    </row>
    <row r="10" spans="2:229" s="332" customFormat="1" ht="13.5" customHeight="1">
      <c r="B10" s="448" t="s">
        <v>208</v>
      </c>
      <c r="C10" s="449">
        <v>49.06</v>
      </c>
      <c r="D10" s="450">
        <v>2340.9</v>
      </c>
      <c r="E10" s="450">
        <v>2420.4</v>
      </c>
      <c r="F10" s="451">
        <v>10.4</v>
      </c>
      <c r="G10" s="451">
        <v>9.49</v>
      </c>
      <c r="H10" s="451">
        <v>23.4</v>
      </c>
      <c r="I10" s="451">
        <v>21.04</v>
      </c>
      <c r="J10" s="452">
        <v>0.12</v>
      </c>
      <c r="K10" s="452">
        <v>7.6999999999999999E-2</v>
      </c>
      <c r="L10" s="451">
        <v>0.4</v>
      </c>
      <c r="M10" s="454"/>
      <c r="N10" s="454"/>
    </row>
    <row r="11" spans="2:229" s="332" customFormat="1" ht="13.5" customHeight="1">
      <c r="B11" s="448" t="s">
        <v>212</v>
      </c>
      <c r="C11" s="449">
        <v>133.85</v>
      </c>
      <c r="D11" s="450">
        <v>3200.9</v>
      </c>
      <c r="E11" s="450">
        <v>3497.4</v>
      </c>
      <c r="F11" s="451">
        <v>12.1</v>
      </c>
      <c r="G11" s="451">
        <v>11.58</v>
      </c>
      <c r="H11" s="451">
        <v>23.1</v>
      </c>
      <c r="I11" s="451">
        <v>21.71</v>
      </c>
      <c r="J11" s="452">
        <v>0.106</v>
      </c>
      <c r="K11" s="452">
        <v>8.1000000000000003E-2</v>
      </c>
      <c r="L11" s="451">
        <v>1.4</v>
      </c>
      <c r="M11" s="454"/>
      <c r="N11" s="454"/>
    </row>
    <row r="12" spans="2:229" s="332" customFormat="1" ht="13.5" customHeight="1">
      <c r="B12" s="448" t="s">
        <v>206</v>
      </c>
      <c r="C12" s="449">
        <v>172.55</v>
      </c>
      <c r="D12" s="450">
        <v>3265.7</v>
      </c>
      <c r="E12" s="450">
        <v>3166</v>
      </c>
      <c r="F12" s="451">
        <v>13.4</v>
      </c>
      <c r="G12" s="451">
        <v>11.73</v>
      </c>
      <c r="H12" s="451">
        <v>34.6</v>
      </c>
      <c r="I12" s="451">
        <v>31.53</v>
      </c>
      <c r="J12" s="452">
        <v>0.16300000000000001</v>
      </c>
      <c r="K12" s="452">
        <v>9.8000000000000004E-2</v>
      </c>
      <c r="L12" s="453" t="s">
        <v>152</v>
      </c>
      <c r="M12" s="454"/>
      <c r="N12" s="454"/>
    </row>
    <row r="13" spans="2:229" s="332" customFormat="1" ht="13.5" customHeight="1">
      <c r="B13" s="448" t="s">
        <v>213</v>
      </c>
      <c r="C13" s="449">
        <v>57.08</v>
      </c>
      <c r="D13" s="450">
        <v>7571.5</v>
      </c>
      <c r="E13" s="450">
        <v>8968.2000000000007</v>
      </c>
      <c r="F13" s="451">
        <v>15.1</v>
      </c>
      <c r="G13" s="451">
        <v>11.04</v>
      </c>
      <c r="H13" s="451">
        <v>88.2</v>
      </c>
      <c r="I13" s="451">
        <v>22.06</v>
      </c>
      <c r="J13" s="452">
        <v>9.1999999999999998E-2</v>
      </c>
      <c r="K13" s="452">
        <v>0.05</v>
      </c>
      <c r="L13" s="451">
        <v>2.6</v>
      </c>
      <c r="M13" s="454"/>
      <c r="N13" s="454"/>
    </row>
    <row r="14" spans="2:229" s="332" customFormat="1" ht="13.5" customHeight="1">
      <c r="B14" s="455"/>
      <c r="C14" s="456"/>
      <c r="D14" s="457"/>
      <c r="E14" s="457"/>
      <c r="F14" s="447"/>
      <c r="G14" s="458"/>
      <c r="H14" s="447"/>
      <c r="I14" s="458"/>
      <c r="J14" s="459"/>
      <c r="K14" s="459"/>
      <c r="L14" s="459"/>
      <c r="M14" s="454"/>
      <c r="N14" s="454"/>
    </row>
    <row r="15" spans="2:229" s="332" customFormat="1" ht="13.5" customHeight="1">
      <c r="B15" s="460" t="s">
        <v>214</v>
      </c>
      <c r="C15" s="461">
        <v>50.35</v>
      </c>
      <c r="D15" s="462">
        <v>1202</v>
      </c>
      <c r="E15" s="462">
        <v>1667</v>
      </c>
      <c r="F15" s="463">
        <v>14.8</v>
      </c>
      <c r="G15" s="463">
        <v>10.18</v>
      </c>
      <c r="H15" s="463">
        <v>59.1</v>
      </c>
      <c r="I15" s="463">
        <v>21.6</v>
      </c>
      <c r="J15" s="464">
        <v>8.5000000000000006E-2</v>
      </c>
      <c r="K15" s="464">
        <v>2.1999999999999999E-2</v>
      </c>
      <c r="L15" s="465">
        <v>4.2</v>
      </c>
      <c r="M15" s="454"/>
      <c r="N15" s="454"/>
    </row>
    <row r="16" spans="2:229" ht="13.5" customHeight="1">
      <c r="B16" s="471" t="s">
        <v>216</v>
      </c>
      <c r="C16" s="466"/>
      <c r="D16" s="467"/>
      <c r="E16" s="467"/>
      <c r="F16" s="451">
        <f t="shared" ref="F16:L16" si="0">AVERAGE(F7:F13)</f>
        <v>12.542857142857143</v>
      </c>
      <c r="G16" s="451">
        <f t="shared" si="0"/>
        <v>10.754285714285714</v>
      </c>
      <c r="H16" s="451">
        <f>AVERAGE(H7:H13)</f>
        <v>42.114285714285714</v>
      </c>
      <c r="I16" s="451">
        <f t="shared" si="0"/>
        <v>26.741428571428571</v>
      </c>
      <c r="J16" s="468">
        <f t="shared" si="0"/>
        <v>0.11514285714285714</v>
      </c>
      <c r="K16" s="468">
        <f t="shared" si="0"/>
        <v>6.7428571428571435E-2</v>
      </c>
      <c r="L16" s="451">
        <f t="shared" si="0"/>
        <v>1.0833333333333333</v>
      </c>
      <c r="M16" s="469"/>
      <c r="N16" s="469"/>
    </row>
    <row r="17" spans="2:14" ht="13.5" customHeight="1" thickBot="1">
      <c r="B17" s="571"/>
      <c r="C17" s="571"/>
      <c r="D17" s="571"/>
      <c r="E17" s="571"/>
      <c r="F17" s="571"/>
      <c r="G17" s="571"/>
      <c r="H17" s="571"/>
      <c r="I17" s="571"/>
      <c r="J17" s="571"/>
      <c r="K17" s="571"/>
      <c r="L17" s="571"/>
      <c r="M17" s="470"/>
      <c r="N17" s="470"/>
    </row>
    <row r="18" spans="2:14" ht="13.5" customHeight="1">
      <c r="B18" s="434"/>
      <c r="C18" s="470"/>
      <c r="D18" s="470"/>
      <c r="E18" s="470"/>
      <c r="F18" s="470"/>
      <c r="G18" s="470"/>
      <c r="H18" s="470"/>
      <c r="I18" s="470"/>
      <c r="J18" s="470"/>
      <c r="K18" s="470"/>
      <c r="L18" s="470"/>
      <c r="M18" s="470"/>
      <c r="N18" s="470"/>
    </row>
    <row r="19" spans="2:14" ht="13.5" customHeight="1">
      <c r="B19" s="434" t="s">
        <v>224</v>
      </c>
      <c r="C19" s="875">
        <v>41992</v>
      </c>
      <c r="D19" s="440"/>
      <c r="E19" s="440"/>
      <c r="F19" s="442" t="s">
        <v>217</v>
      </c>
      <c r="G19" s="443"/>
      <c r="H19" s="442" t="s">
        <v>218</v>
      </c>
      <c r="I19" s="444"/>
      <c r="J19" s="442" t="s">
        <v>81</v>
      </c>
      <c r="K19" s="444"/>
      <c r="L19" s="441"/>
      <c r="M19" s="470"/>
      <c r="N19" s="470"/>
    </row>
    <row r="20" spans="2:14" ht="13.5" customHeight="1">
      <c r="B20" s="445" t="s">
        <v>150</v>
      </c>
      <c r="C20" s="439" t="s">
        <v>151</v>
      </c>
      <c r="D20" s="439" t="s">
        <v>205</v>
      </c>
      <c r="E20" s="439" t="s">
        <v>210</v>
      </c>
      <c r="F20" s="439" t="s">
        <v>219</v>
      </c>
      <c r="G20" s="439" t="s">
        <v>153</v>
      </c>
      <c r="H20" s="439" t="s">
        <v>219</v>
      </c>
      <c r="I20" s="439" t="s">
        <v>153</v>
      </c>
      <c r="J20" s="439" t="s">
        <v>10</v>
      </c>
      <c r="K20" s="439" t="s">
        <v>42</v>
      </c>
      <c r="L20" s="446" t="s">
        <v>215</v>
      </c>
      <c r="M20" s="470"/>
      <c r="N20" s="470"/>
    </row>
    <row r="21" spans="2:14" ht="13.5" customHeight="1">
      <c r="B21" s="448" t="s">
        <v>260</v>
      </c>
      <c r="C21" s="449">
        <v>94.32</v>
      </c>
      <c r="D21" s="450">
        <v>2579</v>
      </c>
      <c r="E21" s="450">
        <v>2351</v>
      </c>
      <c r="F21" s="451">
        <v>13.7</v>
      </c>
      <c r="G21" s="451">
        <f>F21</f>
        <v>13.7</v>
      </c>
      <c r="H21" s="451">
        <v>25.9</v>
      </c>
      <c r="I21" s="451">
        <v>24.4</v>
      </c>
      <c r="J21" s="452">
        <v>0.16300000000000001</v>
      </c>
      <c r="K21" s="452">
        <v>0.14399999999999999</v>
      </c>
      <c r="L21" s="451"/>
      <c r="M21" s="470"/>
      <c r="N21" s="470"/>
    </row>
    <row r="22" spans="2:14" ht="13.5" customHeight="1">
      <c r="B22" s="448" t="s">
        <v>261</v>
      </c>
      <c r="C22" s="449">
        <v>35.06</v>
      </c>
      <c r="D22" s="450">
        <v>4111.5</v>
      </c>
      <c r="E22" s="450">
        <v>6274</v>
      </c>
      <c r="F22" s="451">
        <v>12.9</v>
      </c>
      <c r="G22" s="451">
        <v>11.86</v>
      </c>
      <c r="H22" s="451">
        <v>15.3</v>
      </c>
      <c r="I22" s="451">
        <v>18.940000000000001</v>
      </c>
      <c r="J22" s="452">
        <v>0.188</v>
      </c>
      <c r="K22" s="452">
        <v>0.157</v>
      </c>
      <c r="L22" s="451">
        <v>4.7</v>
      </c>
      <c r="M22" s="470"/>
      <c r="N22" s="470"/>
    </row>
    <row r="23" spans="2:14" ht="13.5" customHeight="1">
      <c r="B23" s="448" t="s">
        <v>262</v>
      </c>
      <c r="C23" s="449">
        <v>52.28</v>
      </c>
      <c r="D23" s="450">
        <v>13783</v>
      </c>
      <c r="E23" s="450">
        <v>13698</v>
      </c>
      <c r="F23" s="451">
        <v>12.9</v>
      </c>
      <c r="G23" s="451">
        <v>11.78</v>
      </c>
      <c r="H23" s="451">
        <v>23.4</v>
      </c>
      <c r="I23" s="451">
        <v>20.55</v>
      </c>
      <c r="J23" s="452">
        <v>0.112</v>
      </c>
      <c r="K23" s="452">
        <v>9.8000000000000004E-2</v>
      </c>
      <c r="L23" s="451">
        <v>0.2</v>
      </c>
      <c r="M23" s="470"/>
      <c r="N23" s="470"/>
    </row>
    <row r="24" spans="2:14" ht="13.5" customHeight="1">
      <c r="B24" s="448" t="s">
        <v>259</v>
      </c>
      <c r="C24" s="449">
        <v>44.3</v>
      </c>
      <c r="D24" s="450">
        <v>13881.1</v>
      </c>
      <c r="E24" s="450">
        <v>17699</v>
      </c>
      <c r="F24" s="451">
        <v>11.3</v>
      </c>
      <c r="G24" s="451">
        <v>11.38</v>
      </c>
      <c r="H24" s="451">
        <v>17.7</v>
      </c>
      <c r="I24" s="451">
        <v>17.899999999999999</v>
      </c>
      <c r="J24" s="452">
        <v>0.188</v>
      </c>
      <c r="K24" s="452">
        <v>0.151</v>
      </c>
      <c r="L24" s="451">
        <v>2.6</v>
      </c>
      <c r="M24" s="470"/>
      <c r="N24" s="470"/>
    </row>
    <row r="25" spans="2:14" ht="13.5" customHeight="1">
      <c r="B25" s="448" t="s">
        <v>263</v>
      </c>
      <c r="C25" s="449">
        <v>36.86</v>
      </c>
      <c r="D25" s="450">
        <v>15659.2</v>
      </c>
      <c r="E25" s="450">
        <v>24015</v>
      </c>
      <c r="F25" s="451">
        <v>9.9</v>
      </c>
      <c r="G25" s="451">
        <v>10.67</v>
      </c>
      <c r="H25" s="451">
        <v>56.7</v>
      </c>
      <c r="I25" s="451">
        <v>15.37</v>
      </c>
      <c r="J25" s="452">
        <v>0.13400000000000001</v>
      </c>
      <c r="K25" s="452">
        <v>9.9000000000000005E-2</v>
      </c>
      <c r="L25" s="451">
        <v>3.6</v>
      </c>
      <c r="M25" s="470"/>
      <c r="N25" s="470"/>
    </row>
    <row r="26" spans="2:14" ht="13.5" customHeight="1">
      <c r="B26" s="470"/>
      <c r="C26" s="470"/>
      <c r="D26" s="470"/>
      <c r="E26" s="470"/>
      <c r="F26" s="470"/>
      <c r="G26" s="470"/>
      <c r="H26" s="470"/>
      <c r="I26" s="470"/>
      <c r="J26" s="470"/>
      <c r="K26" s="470"/>
      <c r="L26" s="470"/>
      <c r="M26" s="470"/>
      <c r="N26" s="470"/>
    </row>
    <row r="27" spans="2:14" ht="13.5" customHeight="1">
      <c r="B27" s="460" t="s">
        <v>214</v>
      </c>
      <c r="C27" s="461">
        <v>50.35</v>
      </c>
      <c r="D27" s="462">
        <v>1202</v>
      </c>
      <c r="E27" s="462">
        <v>1667</v>
      </c>
      <c r="F27" s="463">
        <v>14.8</v>
      </c>
      <c r="G27" s="463">
        <v>10.18</v>
      </c>
      <c r="H27" s="463">
        <v>59.1</v>
      </c>
      <c r="I27" s="463">
        <v>21.6</v>
      </c>
      <c r="J27" s="464">
        <v>8.5000000000000006E-2</v>
      </c>
      <c r="K27" s="464">
        <v>2.1999999999999999E-2</v>
      </c>
      <c r="L27" s="465">
        <v>4.2</v>
      </c>
    </row>
    <row r="28" spans="2:14" ht="13.5" customHeight="1">
      <c r="B28" s="471" t="s">
        <v>216</v>
      </c>
      <c r="C28" s="466"/>
      <c r="D28" s="467"/>
      <c r="E28" s="467"/>
      <c r="F28" s="451">
        <f t="shared" ref="F28:J28" si="1">AVERAGE(F21:F25)</f>
        <v>12.139999999999999</v>
      </c>
      <c r="G28" s="451">
        <f t="shared" si="1"/>
        <v>11.878</v>
      </c>
      <c r="H28" s="451">
        <f t="shared" si="1"/>
        <v>27.8</v>
      </c>
      <c r="I28" s="451">
        <f t="shared" si="1"/>
        <v>19.431999999999999</v>
      </c>
      <c r="J28" s="468">
        <f t="shared" si="1"/>
        <v>0.157</v>
      </c>
      <c r="K28" s="468">
        <f>AVERAGE(K21:K25)</f>
        <v>0.1298</v>
      </c>
      <c r="L28" s="451">
        <f>AVERAGE(L21+L23+L24+L25)</f>
        <v>6.4</v>
      </c>
    </row>
    <row r="29" spans="2:14" ht="13.5" customHeight="1"/>
    <row r="30" spans="2:14" ht="13.5" customHeight="1"/>
    <row r="31" spans="2:14" ht="13.5" customHeight="1"/>
    <row r="32" spans="2:14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</sheetData>
  <sortState xmlns:xlrd2="http://schemas.microsoft.com/office/spreadsheetml/2017/richdata2" ref="B21:L25">
    <sortCondition ref="D21"/>
  </sortState>
  <pageMargins left="0.2" right="0.2" top="0.5" bottom="0.5" header="0.5" footer="0.5"/>
  <pageSetup fitToWidth="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13</vt:i4>
      </vt:variant>
    </vt:vector>
  </HeadingPairs>
  <TitlesOfParts>
    <vt:vector size="26" baseType="lpstr">
      <vt:lpstr>Cover</vt:lpstr>
      <vt:lpstr>Summary</vt:lpstr>
      <vt:lpstr>IS</vt:lpstr>
      <vt:lpstr>BS</vt:lpstr>
      <vt:lpstr>CF</vt:lpstr>
      <vt:lpstr>WC</vt:lpstr>
      <vt:lpstr>Equity</vt:lpstr>
      <vt:lpstr>Debt</vt:lpstr>
      <vt:lpstr>Segments+SG&amp;A</vt:lpstr>
      <vt:lpstr>Sale-Leaseback+Valuation</vt:lpstr>
      <vt:lpstr>Holders</vt:lpstr>
      <vt:lpstr>Returns</vt:lpstr>
      <vt:lpstr>Comp Sheet</vt:lpstr>
      <vt:lpstr>BS!Print_Area</vt:lpstr>
      <vt:lpstr>CF!Print_Area</vt:lpstr>
      <vt:lpstr>'Comp Sheet'!Print_Area</vt:lpstr>
      <vt:lpstr>Cover!Print_Area</vt:lpstr>
      <vt:lpstr>Debt!Print_Area</vt:lpstr>
      <vt:lpstr>Equity!Print_Area</vt:lpstr>
      <vt:lpstr>Holders!Print_Area</vt:lpstr>
      <vt:lpstr>IS!Print_Area</vt:lpstr>
      <vt:lpstr>Returns!Print_Area</vt:lpstr>
      <vt:lpstr>'Sale-Leaseback+Valuation'!Print_Area</vt:lpstr>
      <vt:lpstr>'Segments+SG&amp;A'!Print_Area</vt:lpstr>
      <vt:lpstr>Summary!Print_Area</vt:lpstr>
      <vt:lpstr>WC!Print_Area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2014-12-22T00:01:41Z</dcterms:created>
  <dcterms:modified xsi:type="dcterms:W3CDTF">2026-03-03T04:12:29Z</dcterms:modified>
</cp:coreProperties>
</file>