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 codeName="ThisWorkbook"/>
  <xr:revisionPtr revIDLastSave="0" documentId="13_ncr:1_{E228B8DF-C668-4581-8FDB-7C731E4AC59E}" xr6:coauthVersionLast="47" xr6:coauthVersionMax="47" xr10:uidLastSave="{00000000-0000-0000-0000-000000000000}"/>
  <bookViews>
    <workbookView xWindow="-120" yWindow="-120" windowWidth="29040" windowHeight="15720" tabRatio="693" xr2:uid="{00000000-000D-0000-FFFF-FFFF00000000}"/>
  </bookViews>
  <sheets>
    <sheet name="Cover" sheetId="28" r:id="rId1"/>
    <sheet name="Model" sheetId="29" r:id="rId2"/>
    <sheet name="Drivers" sheetId="38" r:id="rId3"/>
    <sheet name="Notes" sheetId="31" r:id="rId4"/>
    <sheet name="Charts" sheetId="32" r:id="rId5"/>
  </sheets>
  <externalReferences>
    <externalReference r:id="rId6"/>
  </externalReferences>
  <definedNames>
    <definedName name="__123Graph_A" hidden="1">[1]Ranges!#REF!</definedName>
    <definedName name="_Table1_In1" hidden="1">#REF!</definedName>
    <definedName name="_Table1_Out" hidden="1">#REF!</definedName>
    <definedName name="adsf" hidden="1">[1]Ranges!#REF!</definedName>
    <definedName name="Img_ML_1c3d1n6n" hidden="1">"IMG_10"</definedName>
    <definedName name="Img_ML_1e1k9n5y" hidden="1">"IMG_10"</definedName>
    <definedName name="Img_ML_1h4n3h8h" hidden="1">"IMG_10"</definedName>
    <definedName name="Img_ML_1k4g9u7k" hidden="1">"IMG_10"</definedName>
    <definedName name="Img_ML_1t5s6u1f" hidden="1">"IMG_10"</definedName>
    <definedName name="Img_ML_1y7a6c1t" hidden="1">"IMG_10"</definedName>
    <definedName name="Img_ML_2e1r5p2m" hidden="1">"IMG_10"</definedName>
    <definedName name="Img_ML_2j4h5d5y" hidden="1">"IMG_10"</definedName>
    <definedName name="Img_ML_2v6s9i5c" hidden="1">"IMG_10"</definedName>
    <definedName name="Img_ML_2x1b8j5c" hidden="1">"IMG_10"</definedName>
    <definedName name="Img_ML_2x8r4a2e" hidden="1">"IMG_10"</definedName>
    <definedName name="Img_ML_3b3j3x9k" hidden="1">"IMG_10"</definedName>
    <definedName name="Img_ML_3c6e9c4g" hidden="1">"IMG_10"</definedName>
    <definedName name="Img_ML_3c7g1a7g" hidden="1">"IMG_3"</definedName>
    <definedName name="Img_ML_3e2q4k7i" hidden="1">"IMG_10"</definedName>
    <definedName name="Img_ML_3h2n3p4v" hidden="1">"IMG_10"</definedName>
    <definedName name="Img_ML_3p2b9c6w" hidden="1">"IMG_10"</definedName>
    <definedName name="Img_ML_3p5d9q5j" hidden="1">"IMG_10"</definedName>
    <definedName name="Img_ML_3r4u7k1k" hidden="1">"IMG_10"</definedName>
    <definedName name="Img_ML_4k8k7q4x" hidden="1">"IMG_10"</definedName>
    <definedName name="Img_ML_4m3p5r8j" hidden="1">"IMG_10"</definedName>
    <definedName name="Img_ML_4r3t2p9g" hidden="1">"IMG_10"</definedName>
    <definedName name="Img_ML_5e7s6t2u" hidden="1">"IMG_10"</definedName>
    <definedName name="Img_ML_5f9d1i5x" hidden="1">"IMG_10"</definedName>
    <definedName name="Img_ML_5h6q3g8u" hidden="1">"IMG_10"</definedName>
    <definedName name="Img_ML_5k1g6v5e" hidden="1">"IMG_10"</definedName>
    <definedName name="Img_ML_5k7e4n8n" hidden="1">"IMG_10"</definedName>
    <definedName name="Img_ML_6a6y1x1h" hidden="1">"IMG_10"</definedName>
    <definedName name="Img_ML_6f2p1m9g" hidden="1">"IMG_10"</definedName>
    <definedName name="Img_ML_6k9c9p4d" hidden="1">"IMG_10"</definedName>
    <definedName name="Img_ML_6m3p7m9h" hidden="1">"IMG_10"</definedName>
    <definedName name="Img_ML_6r9u1n9k" hidden="1">"IMG_10"</definedName>
    <definedName name="Img_ML_6u1b6h4m" hidden="1">"IMG_10"</definedName>
    <definedName name="Img_ML_6u4t7r7e" hidden="1">"IMG_10"</definedName>
    <definedName name="Img_ML_6w6m7b7r" hidden="1">"IMG_10"</definedName>
    <definedName name="Img_ML_6y9f7y3n" hidden="1">"IMG_10"</definedName>
    <definedName name="Img_ML_7b3x8f2f" hidden="1">"IMG_10"</definedName>
    <definedName name="Img_ML_7g4k9d6i" hidden="1">"IMG_10"</definedName>
    <definedName name="Img_ML_7g5e5e2b" hidden="1">"IMG_3"</definedName>
    <definedName name="Img_ML_7m3b4p7p" hidden="1">"IMG_10"</definedName>
    <definedName name="Img_ML_7n6h3t1t" hidden="1">"IMG_10"</definedName>
    <definedName name="Img_ML_7s4w7c6r" hidden="1">"IMG_10"</definedName>
    <definedName name="Img_ML_8a8m2p9x" hidden="1">"IMG_10"</definedName>
    <definedName name="Img_ML_8b4s3j4n" hidden="1">"IMG_10"</definedName>
    <definedName name="Img_ML_8b9j5t1p" hidden="1">"IMG_10"</definedName>
    <definedName name="Img_ML_8g3e4a7v" hidden="1">"IMG_10"</definedName>
    <definedName name="Img_ML_8h3m3i1m" hidden="1">"IMG_10"</definedName>
    <definedName name="Img_ML_8h7g4d4d" hidden="1">"IMG_3"</definedName>
    <definedName name="Img_ML_8j3w6p4c" hidden="1">"IMG_10"</definedName>
    <definedName name="Img_ML_8r1k8t4y" hidden="1">"IMG_10"</definedName>
    <definedName name="Img_ML_8s3q3c1i" hidden="1">"IMG_10"</definedName>
    <definedName name="Img_ML_9c9p6w6g" hidden="1">"IMG_10"</definedName>
    <definedName name="Img_ML_9g2r1i7c" hidden="1">"IMG_10"</definedName>
    <definedName name="Img_ML_9g3r6t7h" hidden="1">"IMG_10"</definedName>
    <definedName name="Img_ML_9j3t2m3v" hidden="1">"IMG_10"</definedName>
    <definedName name="Img_ML_9u2c1d4e" hidden="1">"IMG_10"</definedName>
    <definedName name="Img_Production_Breakdown" hidden="1">"IMG_3"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L_Q" hidden="1">"c101"</definedName>
    <definedName name="IQ_CAL_Y" hidden="1">"c102"</definedName>
    <definedName name="IQ_CALL_FEATURE" hidden="1">"c2197"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ASSA_OUTSTANDING_BS_DATE" hidden="1">"c1971"</definedName>
    <definedName name="IQ_CLASSA_OUTSTANDING_FILING_DATE" hidden="1">"c1973"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PREMIUM" hidden="1">"c2195"</definedName>
    <definedName name="IQ_CONV_PRICE" hidden="1">"c2193"</definedName>
    <definedName name="IQ_CONV_RATE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XITY" hidden="1">"c2182"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OTHER_COST" hidden="1">"c284"</definedName>
    <definedName name="IQ_DEF_BENEFIT_ROA" hidden="1">"c285"</definedName>
    <definedName name="IQ_DEF_BENEFIT_SERVICE_COST" hidden="1">"c286"</definedName>
    <definedName name="IQ_DEF_BENEFIT_TOTAL_COST" hidden="1">"c287"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INT" hidden="1">"c373"</definedName>
    <definedName name="IQ_EBITDA_MARGIN" hidden="1">"c372"</definedName>
    <definedName name="IQ_EBITDA_OVER_TOTAL_IE" hidden="1">"c1371"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FO" hidden="1">"c1574"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DIVID" hidden="1">"c1446"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ROFIT" hidden="1">"c1378"</definedName>
    <definedName name="IQ_GROSS_SPRD" hidden="1">"c2155"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PARENT" hidden="1">"c2144"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ICENSED_POPS" hidden="1">"c2123"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REPAIR" hidden="1">"c2087"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DEBT" hidden="1">"c1584"</definedName>
    <definedName name="IQ_NET_DEBT_EBITDA" hidden="1">"c750"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CLOSE_BALANCE_GAS" hidden="1">"c2049"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OIL" hidden="1">"c2035"</definedName>
    <definedName name="IQ_OG_PURCHASES_GAS" hidden="1">"c2045"</definedName>
    <definedName name="IQ_OG_PURCHASES_OIL" hidden="1">"c2033"</definedName>
    <definedName name="IQ_OG_REVISIONS_GAS" hidden="1">"c2042"</definedName>
    <definedName name="IQ_OG_REVISIONS_OIL" hidden="1">"c2030"</definedName>
    <definedName name="IQ_OG_SALES_IN_PLACE_GAS" hidden="1">"c2046"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ON" hidden="1">"c2059"</definedName>
    <definedName name="IQ_OG_UNDEVELOPED_RESERVES_GAS" hidden="1">"c2051"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ISSUED" hidden="1">"c857"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VG_STORE_SIZE_GROSS" hidden="1">"c2066"</definedName>
    <definedName name="IQ_RETAIL_AVG_STORE_SIZE_NET" hidden="1">"c2067"</definedName>
    <definedName name="IQ_RETAIL_CLOSED_STORES" hidden="1">"c2063"</definedName>
    <definedName name="IQ_RETAIL_OPENED_STORES" hidden="1">"c2062"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Q_FOOTAGE" hidden="1">"c2064"</definedName>
    <definedName name="IQ_RETAIL_STORE_SELLING_AREA" hidden="1">"c2065"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UTI" hidden="1">"c1125"</definedName>
    <definedName name="IQ_REVENUE" hidden="1">"c1422"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VING_DEP" hidden="1">"c1150"</definedName>
    <definedName name="IQ_SECUR_RECEIV" hidden="1">"c1151"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CF" hidden="1">"c1203"</definedName>
    <definedName name="IQ_STRIKE_PRICE_ISSUED" hidden="1">"c1645"</definedName>
    <definedName name="IQ_STRIKE_PRICE_OS" hidden="1">"c1646"</definedName>
    <definedName name="IQ_STW" hidden="1">"c2166"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MPLOYEE_AVG" hidden="1">"c1225"</definedName>
    <definedName name="IQ_TEV_TOTAL_REV" hidden="1">"c1226"</definedName>
    <definedName name="IQ_TEV_TOTAL_REV_AVG" hidden="1">"c1227"</definedName>
    <definedName name="IQ_TEV_UFCF" hidden="1">"c2208"</definedName>
    <definedName name="IQ_TIER_ONE_RATIO" hidden="1">"c1229"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QUITY" hidden="1">"c1250"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EXP" hidden="1">"c1291"</definedName>
    <definedName name="IQ_TOTAL_PENSION_OBLIGATION" hidden="1">"c1292"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S" hidden="1">"c2119"</definedName>
    <definedName name="IQ_TOTAL_UNUSUAL" hidden="1">"c1508"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USUAL_EXP" hidden="1">"c1456"</definedName>
    <definedName name="IQ_US_GAAP" hidden="1">"c1331"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LOW" hidden="1">"c1338"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QShowHideColumns" hidden="1">"iQShowQuarterlyAnnual"</definedName>
    <definedName name="Other" hidden="1">{#N/A,#N/A,FALSE,"Balances";#N/A,#N/A,FALSE,"% Balances";#N/A,#N/A,FALSE,"Yields";#N/A,#N/A,FALSE,"Spreads";#N/A,#N/A,FALSE,"Int Income";#N/A,#N/A,FALSE,"Variance";#N/A,#N/A,FALSE,"Int Var";#N/A,#N/A,FALSE,"Avg Ratios";#N/A,#N/A,FALSE,"Quality";#N/A,#N/A,FALSE,"Income $";#N/A,#N/A,FALSE,"Income %";#N/A,#N/A,FALSE,"Quarter";#N/A,#N/A,FALSE,"Value"}</definedName>
    <definedName name="scen">Drivers!$E$7</definedName>
    <definedName name="wrn.Electronic._.Data._.Systems._.Inc." hidden="1">{#N/A,#N/A,FALSE,"Regions";#N/A,#N/A,FALSE,"Revenue";#N/A,#N/A,FALSE,"Income";#N/A,#N/A,FALSE,"Quarter";#N/A,#N/A,FALSE,"Cashflow";#N/A,#N/A,FALSE,"Capital";#N/A,#N/A,FALSE,"BalSht";#N/A,#N/A,FALSE,"Value"}</definedName>
    <definedName name="wrn.Full._.Report." hidden="1">{#N/A,#N/A,FALSE,"Balances";#N/A,#N/A,FALSE,"% Balances";#N/A,#N/A,FALSE,"Yields";#N/A,#N/A,FALSE,"Spreads";#N/A,#N/A,FALSE,"Int Income";#N/A,#N/A,FALSE,"Variance";#N/A,#N/A,FALSE,"Int Var";#N/A,#N/A,FALSE,"Avg Ratios";#N/A,#N/A,FALSE,"Quality";#N/A,#N/A,FALSE,"Income $";#N/A,#N/A,FALSE,"Income %";#N/A,#N/A,FALSE,"Quarter";#N/A,#N/A,FALSE,"Value"}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64" i="29" l="1"/>
  <c r="L64" i="29"/>
  <c r="K64" i="29"/>
  <c r="J64" i="29"/>
  <c r="I64" i="29"/>
  <c r="H64" i="29"/>
  <c r="G64" i="29"/>
  <c r="F64" i="29"/>
  <c r="E64" i="29"/>
  <c r="D64" i="29"/>
  <c r="C64" i="29"/>
  <c r="J12" i="29" l="1"/>
  <c r="H12" i="29"/>
  <c r="G12" i="29"/>
  <c r="AC4" i="32"/>
  <c r="AC13" i="32" s="1"/>
  <c r="AC6" i="32"/>
  <c r="AC8" i="32" s="1"/>
  <c r="S7" i="32"/>
  <c r="T7" i="32"/>
  <c r="U7" i="32"/>
  <c r="V7" i="32"/>
  <c r="W7" i="32"/>
  <c r="X7" i="32"/>
  <c r="Y7" i="32"/>
  <c r="Z7" i="32"/>
  <c r="AA7" i="32"/>
  <c r="AB7" i="32"/>
  <c r="S8" i="32"/>
  <c r="T8" i="32"/>
  <c r="U8" i="32"/>
  <c r="V8" i="32"/>
  <c r="W8" i="32"/>
  <c r="X8" i="32"/>
  <c r="Y8" i="32"/>
  <c r="Z8" i="32"/>
  <c r="AA8" i="32"/>
  <c r="AB8" i="32"/>
  <c r="S9" i="32"/>
  <c r="T9" i="32"/>
  <c r="U9" i="32"/>
  <c r="V9" i="32"/>
  <c r="W9" i="32"/>
  <c r="X9" i="32"/>
  <c r="Y9" i="32"/>
  <c r="Z9" i="32"/>
  <c r="AA9" i="32"/>
  <c r="AB9" i="32"/>
  <c r="AC9" i="32"/>
  <c r="R12" i="32"/>
  <c r="AC12" i="32"/>
  <c r="AD12" i="32"/>
  <c r="AE12" i="32"/>
  <c r="S13" i="32"/>
  <c r="T13" i="32"/>
  <c r="U13" i="32"/>
  <c r="V13" i="32"/>
  <c r="W13" i="32"/>
  <c r="X13" i="32"/>
  <c r="Y13" i="32"/>
  <c r="Z13" i="32"/>
  <c r="AA13" i="32"/>
  <c r="AB13" i="32"/>
  <c r="AD4" i="32" l="1"/>
  <c r="AD6" i="32"/>
  <c r="AE4" i="32" s="1"/>
  <c r="AE13" i="32" s="1"/>
  <c r="AD13" i="32"/>
  <c r="D83" i="31"/>
  <c r="AE6" i="32" l="1"/>
  <c r="AD9" i="32"/>
  <c r="AD8" i="32"/>
  <c r="AE8" i="32" l="1"/>
  <c r="AE9" i="32"/>
  <c r="E168" i="29"/>
  <c r="F168" i="29" s="1"/>
  <c r="G168" i="29" s="1"/>
  <c r="H168" i="29" s="1"/>
  <c r="I168" i="29" s="1"/>
  <c r="J168" i="29" s="1"/>
  <c r="K168" i="29" s="1"/>
  <c r="L168" i="29" s="1"/>
  <c r="M168" i="29" s="1"/>
  <c r="E96" i="29"/>
  <c r="F96" i="29" s="1"/>
  <c r="G96" i="29" s="1"/>
  <c r="H96" i="29" s="1"/>
  <c r="I96" i="29" s="1"/>
  <c r="J96" i="29" s="1"/>
  <c r="K96" i="29" s="1"/>
  <c r="L96" i="29" s="1"/>
  <c r="M96" i="29" s="1"/>
  <c r="O5" i="29" l="1"/>
  <c r="W5" i="29"/>
  <c r="AB5" i="29" s="1"/>
  <c r="AG5" i="29" s="1"/>
  <c r="S5" i="29"/>
  <c r="N5" i="29" s="1"/>
  <c r="U5" i="29"/>
  <c r="V5" i="29" s="1"/>
  <c r="Q5" i="29" s="1"/>
  <c r="M5" i="29"/>
  <c r="L5" i="29" s="1"/>
  <c r="K5" i="29" s="1"/>
  <c r="J5" i="29" s="1"/>
  <c r="I5" i="29" s="1"/>
  <c r="H5" i="29" s="1"/>
  <c r="G5" i="29" s="1"/>
  <c r="F5" i="29" s="1"/>
  <c r="E5" i="29" s="1"/>
  <c r="D5" i="29" s="1"/>
  <c r="C5" i="29" s="1"/>
  <c r="D19" i="28"/>
  <c r="F8" i="28"/>
  <c r="P5" i="29" l="1"/>
  <c r="BH69" i="28" l="1"/>
  <c r="BG69" i="28"/>
  <c r="BF69" i="28"/>
  <c r="BE69" i="28"/>
  <c r="BC69" i="28"/>
  <c r="BB69" i="28"/>
  <c r="BA69" i="28"/>
  <c r="AZ69" i="28"/>
  <c r="BH67" i="28"/>
  <c r="BG67" i="28"/>
  <c r="BF67" i="28"/>
  <c r="BE67" i="28"/>
  <c r="BC67" i="28"/>
  <c r="BB67" i="28"/>
  <c r="BA67" i="28"/>
  <c r="AZ67" i="28"/>
  <c r="BH63" i="28"/>
  <c r="BG63" i="28"/>
  <c r="BF63" i="28"/>
  <c r="BE63" i="28"/>
  <c r="BC63" i="28"/>
  <c r="BB63" i="28"/>
  <c r="BA63" i="28"/>
  <c r="AZ63" i="28"/>
  <c r="BH61" i="28"/>
  <c r="BG61" i="28"/>
  <c r="BF61" i="28"/>
  <c r="BE61" i="28"/>
  <c r="BC61" i="28"/>
  <c r="BB61" i="28"/>
  <c r="BA61" i="28"/>
  <c r="AZ61" i="28"/>
  <c r="AT54" i="28"/>
  <c r="AY72" i="28"/>
  <c r="BD72" i="28"/>
  <c r="BI72" i="28"/>
  <c r="AY74" i="28"/>
  <c r="BD74" i="28"/>
  <c r="BI74" i="28"/>
  <c r="BD76" i="28"/>
  <c r="BI76" i="28"/>
  <c r="AV78" i="28"/>
  <c r="AW78" i="28"/>
  <c r="AX78" i="28"/>
  <c r="AG38" i="29"/>
  <c r="AB38" i="29"/>
  <c r="I33" i="38"/>
  <c r="AG206" i="29" s="1"/>
  <c r="H33" i="38"/>
  <c r="AB206" i="29" s="1"/>
  <c r="I27" i="38"/>
  <c r="AG51" i="29" s="1"/>
  <c r="H27" i="38"/>
  <c r="AB51" i="29" s="1"/>
  <c r="I21" i="38"/>
  <c r="H21" i="38"/>
  <c r="I15" i="38"/>
  <c r="H15" i="38"/>
  <c r="I9" i="38"/>
  <c r="H9" i="38"/>
  <c r="M15" i="28"/>
  <c r="L15" i="28"/>
  <c r="K15" i="28"/>
  <c r="AB13" i="28"/>
  <c r="BI69" i="28" s="1"/>
  <c r="AB11" i="28"/>
  <c r="BI63" i="28" s="1"/>
  <c r="AB9" i="28"/>
  <c r="BI57" i="28" s="1"/>
  <c r="AA35" i="29"/>
  <c r="AA34" i="29"/>
  <c r="W9" i="28"/>
  <c r="BD57" i="28" s="1"/>
  <c r="R9" i="28"/>
  <c r="AY57" i="28" s="1"/>
  <c r="W11" i="28"/>
  <c r="BD63" i="28" s="1"/>
  <c r="R11" i="28"/>
  <c r="AY63" i="28" s="1"/>
  <c r="M225" i="29"/>
  <c r="L225" i="29"/>
  <c r="K225" i="29"/>
  <c r="J225" i="29"/>
  <c r="I225" i="29"/>
  <c r="H225" i="29"/>
  <c r="G225" i="29"/>
  <c r="R238" i="29"/>
  <c r="R237" i="29"/>
  <c r="BI64" i="28" l="1"/>
  <c r="BD58" i="28"/>
  <c r="BD64" i="28"/>
  <c r="BI58" i="28"/>
  <c r="AG47" i="29" l="1"/>
  <c r="AB47" i="29"/>
  <c r="AG55" i="29"/>
  <c r="AB55" i="29"/>
  <c r="AG56" i="29"/>
  <c r="AB56" i="29"/>
  <c r="U171" i="29" l="1"/>
  <c r="U124" i="29"/>
  <c r="V124" i="29" s="1"/>
  <c r="U116" i="29"/>
  <c r="U185" i="29" s="1"/>
  <c r="U113" i="29"/>
  <c r="V113" i="29" s="1"/>
  <c r="U112" i="29"/>
  <c r="V112" i="29" s="1"/>
  <c r="U103" i="29"/>
  <c r="U182" i="29" s="1"/>
  <c r="T87" i="29" l="1"/>
  <c r="Q150" i="29"/>
  <c r="Q152" i="29" s="1"/>
  <c r="P150" i="29"/>
  <c r="P152" i="29" s="1"/>
  <c r="O150" i="29"/>
  <c r="N150" i="29"/>
  <c r="AG65" i="29"/>
  <c r="AF65" i="29"/>
  <c r="AE65" i="29"/>
  <c r="AD65" i="29"/>
  <c r="AC65" i="29"/>
  <c r="AB65" i="29"/>
  <c r="AA65" i="29"/>
  <c r="Z65" i="29"/>
  <c r="Y65" i="29"/>
  <c r="X65" i="29"/>
  <c r="V65" i="29"/>
  <c r="U65" i="29"/>
  <c r="S65" i="29"/>
  <c r="R65" i="29"/>
  <c r="G46" i="28"/>
  <c r="F9" i="28" s="1"/>
  <c r="O151" i="29" l="1"/>
  <c r="P151" i="29"/>
  <c r="Q151" i="29"/>
  <c r="C8" i="32"/>
  <c r="D8" i="32" s="1"/>
  <c r="E8" i="32" s="1"/>
  <c r="F8" i="32" s="1"/>
  <c r="G8" i="32" s="1"/>
  <c r="H8" i="32" s="1"/>
  <c r="I8" i="32" s="1"/>
  <c r="J8" i="32" s="1"/>
  <c r="K8" i="32" s="1"/>
  <c r="L8" i="32" s="1"/>
  <c r="C3" i="32"/>
  <c r="D3" i="32" s="1"/>
  <c r="E3" i="32" s="1"/>
  <c r="F3" i="32" s="1"/>
  <c r="G3" i="32" s="1"/>
  <c r="H3" i="32" s="1"/>
  <c r="I3" i="32" s="1"/>
  <c r="J3" i="32" s="1"/>
  <c r="K3" i="32" s="1"/>
  <c r="L3" i="32" s="1"/>
  <c r="U27" i="29" l="1"/>
  <c r="V27" i="29" s="1"/>
  <c r="AB64" i="29"/>
  <c r="W201" i="29"/>
  <c r="W200" i="29"/>
  <c r="W199" i="29"/>
  <c r="W198" i="29"/>
  <c r="AB202" i="29"/>
  <c r="AG211" i="29"/>
  <c r="AB211" i="29"/>
  <c r="W209" i="29"/>
  <c r="W208" i="29"/>
  <c r="W207" i="29"/>
  <c r="W205" i="29"/>
  <c r="V211" i="29"/>
  <c r="W196" i="29"/>
  <c r="W195" i="29"/>
  <c r="W194" i="29"/>
  <c r="AG171" i="29"/>
  <c r="AB171" i="29"/>
  <c r="V171" i="29"/>
  <c r="U109" i="29"/>
  <c r="W179" i="29"/>
  <c r="W178" i="29"/>
  <c r="W177" i="29"/>
  <c r="W176" i="29"/>
  <c r="W175" i="29"/>
  <c r="W173" i="29"/>
  <c r="W172" i="29"/>
  <c r="U127" i="29"/>
  <c r="V127" i="29" s="1"/>
  <c r="W127" i="29" s="1"/>
  <c r="AG127" i="29" s="1"/>
  <c r="U126" i="29"/>
  <c r="V126" i="29" s="1"/>
  <c r="W126" i="29" s="1"/>
  <c r="AB126" i="29" s="1"/>
  <c r="AG126" i="29" s="1"/>
  <c r="W121" i="29"/>
  <c r="W120" i="29"/>
  <c r="AB120" i="29" s="1"/>
  <c r="AG120" i="29" s="1"/>
  <c r="W119" i="29"/>
  <c r="AB119" i="29" s="1"/>
  <c r="AG119" i="29" s="1"/>
  <c r="V116" i="29"/>
  <c r="W116" i="29" s="1"/>
  <c r="U111" i="29"/>
  <c r="V111" i="29" s="1"/>
  <c r="W111" i="29" s="1"/>
  <c r="AB111" i="29" s="1"/>
  <c r="AG111" i="29" s="1"/>
  <c r="U110" i="29"/>
  <c r="V110" i="29" s="1"/>
  <c r="W110" i="29" s="1"/>
  <c r="AB110" i="29" s="1"/>
  <c r="AG110" i="29" s="1"/>
  <c r="V103" i="29"/>
  <c r="W103" i="29" s="1"/>
  <c r="O125" i="29"/>
  <c r="P125" i="29" s="1"/>
  <c r="Q125" i="29" s="1"/>
  <c r="AF137" i="29"/>
  <c r="AE137" i="29"/>
  <c r="AD137" i="29"/>
  <c r="AC137" i="29"/>
  <c r="AA137" i="29"/>
  <c r="Z137" i="29"/>
  <c r="Y137" i="29"/>
  <c r="X137" i="29"/>
  <c r="Q121" i="29"/>
  <c r="P121" i="29"/>
  <c r="O121" i="29"/>
  <c r="N121" i="29"/>
  <c r="P113" i="29"/>
  <c r="Q111" i="29"/>
  <c r="Q113" i="29" s="1"/>
  <c r="O111" i="29"/>
  <c r="O113" i="29" s="1"/>
  <c r="Q106" i="29"/>
  <c r="Q104" i="29"/>
  <c r="Q101" i="29"/>
  <c r="W106" i="29"/>
  <c r="V109" i="29" l="1"/>
  <c r="W109" i="29" s="1"/>
  <c r="AB109" i="29" s="1"/>
  <c r="AG109" i="29" s="1"/>
  <c r="V185" i="29"/>
  <c r="V182" i="29"/>
  <c r="T83" i="29"/>
  <c r="T82" i="29"/>
  <c r="V80" i="29"/>
  <c r="V11" i="29"/>
  <c r="V10" i="29"/>
  <c r="U11" i="29"/>
  <c r="U10" i="29"/>
  <c r="V64" i="29"/>
  <c r="U64" i="29"/>
  <c r="W23" i="29"/>
  <c r="W27" i="29"/>
  <c r="W18" i="29"/>
  <c r="W17" i="29"/>
  <c r="W15" i="29"/>
  <c r="W14" i="29"/>
  <c r="W13" i="29"/>
  <c r="AY78" i="28" l="1"/>
  <c r="R15" i="28"/>
  <c r="AB27" i="29"/>
  <c r="AG202" i="29"/>
  <c r="AG64" i="29"/>
  <c r="W144" i="29"/>
  <c r="V12" i="29"/>
  <c r="V49" i="29" s="1"/>
  <c r="W11" i="29"/>
  <c r="W145" i="29"/>
  <c r="U12" i="29"/>
  <c r="W10" i="29"/>
  <c r="BD78" i="28" l="1"/>
  <c r="W15" i="28"/>
  <c r="AG27" i="29"/>
  <c r="U49" i="29"/>
  <c r="U101" i="29"/>
  <c r="U180" i="29" s="1"/>
  <c r="V101" i="29"/>
  <c r="W101" i="29" s="1"/>
  <c r="U47" i="29"/>
  <c r="U148" i="29"/>
  <c r="U51" i="29"/>
  <c r="V47" i="29"/>
  <c r="V51" i="29"/>
  <c r="AB15" i="28" l="1"/>
  <c r="BI78" i="28"/>
  <c r="V148" i="29"/>
  <c r="V180" i="29"/>
  <c r="L82" i="29" l="1"/>
  <c r="L75" i="29"/>
  <c r="S64" i="29"/>
  <c r="Q67" i="29"/>
  <c r="P67" i="29"/>
  <c r="O67" i="29"/>
  <c r="N67" i="29"/>
  <c r="N218" i="29"/>
  <c r="N219" i="29"/>
  <c r="O219" i="29" s="1"/>
  <c r="P219" i="29" s="1"/>
  <c r="Q219" i="29" s="1"/>
  <c r="Q64" i="29"/>
  <c r="P64" i="29"/>
  <c r="O64" i="29"/>
  <c r="N64" i="29"/>
  <c r="Q156" i="29"/>
  <c r="Q164" i="29" s="1"/>
  <c r="Q155" i="29"/>
  <c r="Q163" i="29" s="1"/>
  <c r="P156" i="29"/>
  <c r="P164" i="29" s="1"/>
  <c r="P155" i="29"/>
  <c r="P163" i="29" s="1"/>
  <c r="O156" i="29"/>
  <c r="O155" i="29"/>
  <c r="Q145" i="29"/>
  <c r="Q144" i="29"/>
  <c r="Q143" i="29"/>
  <c r="P145" i="29"/>
  <c r="P144" i="29"/>
  <c r="P143" i="29"/>
  <c r="O145" i="29"/>
  <c r="N145" i="29"/>
  <c r="O144" i="29"/>
  <c r="N144" i="29"/>
  <c r="O218" i="29" l="1"/>
  <c r="N65" i="29"/>
  <c r="Q128" i="29"/>
  <c r="Q127" i="29" s="1"/>
  <c r="P128" i="29"/>
  <c r="P127" i="29" s="1"/>
  <c r="O128" i="29"/>
  <c r="O127" i="29" s="1"/>
  <c r="N128" i="29"/>
  <c r="N127" i="29" s="1"/>
  <c r="AF190" i="29"/>
  <c r="AE190" i="29"/>
  <c r="AE191" i="29" s="1"/>
  <c r="AD190" i="29"/>
  <c r="AD191" i="29" s="1"/>
  <c r="AC190" i="29"/>
  <c r="AA190" i="29"/>
  <c r="Z190" i="29"/>
  <c r="Z191" i="29" s="1"/>
  <c r="Y190" i="29"/>
  <c r="X190" i="29"/>
  <c r="S190" i="29"/>
  <c r="S191" i="29" s="1"/>
  <c r="R190" i="29"/>
  <c r="R191" i="29" s="1"/>
  <c r="T145" i="29"/>
  <c r="S145" i="29"/>
  <c r="T144" i="29"/>
  <c r="S144" i="29"/>
  <c r="AI222" i="29"/>
  <c r="AG222" i="29"/>
  <c r="AF222" i="29"/>
  <c r="AE222" i="29"/>
  <c r="AD222" i="29"/>
  <c r="AC222" i="29"/>
  <c r="AB222" i="29"/>
  <c r="AA222" i="29"/>
  <c r="Z222" i="29"/>
  <c r="Y222" i="29"/>
  <c r="X222" i="29"/>
  <c r="V222" i="29"/>
  <c r="U222" i="29"/>
  <c r="S222" i="29"/>
  <c r="R222" i="29"/>
  <c r="T156" i="29"/>
  <c r="S156" i="29"/>
  <c r="Q170" i="29"/>
  <c r="Q191" i="29" s="1"/>
  <c r="Q214" i="29" s="1"/>
  <c r="P170" i="29"/>
  <c r="P191" i="29" s="1"/>
  <c r="P70" i="29" s="1"/>
  <c r="R21" i="29"/>
  <c r="AX73" i="28" s="1"/>
  <c r="AA67" i="29" l="1"/>
  <c r="AA191" i="29"/>
  <c r="AF67" i="29"/>
  <c r="AF191" i="29"/>
  <c r="AF70" i="29" s="1"/>
  <c r="X67" i="29"/>
  <c r="X191" i="29"/>
  <c r="X70" i="29" s="1"/>
  <c r="AC67" i="29"/>
  <c r="AC191" i="29"/>
  <c r="AC70" i="29" s="1"/>
  <c r="AC71" i="29" s="1"/>
  <c r="Q70" i="29"/>
  <c r="Y67" i="29"/>
  <c r="Y191" i="29"/>
  <c r="Y70" i="29" s="1"/>
  <c r="P218" i="29"/>
  <c r="O65" i="29"/>
  <c r="AA70" i="29"/>
  <c r="R67" i="29"/>
  <c r="AE70" i="29"/>
  <c r="AE67" i="29"/>
  <c r="Z70" i="29"/>
  <c r="Z67" i="29"/>
  <c r="S67" i="29"/>
  <c r="AD70" i="29"/>
  <c r="AD67" i="29"/>
  <c r="P214" i="29"/>
  <c r="Y71" i="29" l="1"/>
  <c r="Y60" i="29"/>
  <c r="Z71" i="29"/>
  <c r="Z61" i="29" s="1"/>
  <c r="Z60" i="29"/>
  <c r="AA71" i="29"/>
  <c r="AA60" i="29"/>
  <c r="X71" i="29"/>
  <c r="AD71" i="29"/>
  <c r="AD61" i="29" s="1"/>
  <c r="AD60" i="29"/>
  <c r="AE71" i="29"/>
  <c r="AE60" i="29"/>
  <c r="AF71" i="29"/>
  <c r="AF61" i="29" s="1"/>
  <c r="AF60" i="29"/>
  <c r="Q218" i="29"/>
  <c r="Q65" i="29" s="1"/>
  <c r="P65" i="29"/>
  <c r="V16" i="29"/>
  <c r="V42" i="29" s="1"/>
  <c r="U16" i="29"/>
  <c r="U42" i="29" s="1"/>
  <c r="Q16" i="29"/>
  <c r="Q42" i="29" s="1"/>
  <c r="P16" i="29"/>
  <c r="P42" i="29" s="1"/>
  <c r="AO16" i="29"/>
  <c r="AN16" i="29"/>
  <c r="AM16" i="29"/>
  <c r="AI16" i="29"/>
  <c r="Q22" i="29"/>
  <c r="P22" i="29"/>
  <c r="R18" i="29"/>
  <c r="R14" i="29"/>
  <c r="R13" i="29" s="1"/>
  <c r="AE61" i="29" l="1"/>
  <c r="AA61" i="29"/>
  <c r="Y61" i="29"/>
  <c r="R17" i="29"/>
  <c r="V29" i="28"/>
  <c r="U29" i="28"/>
  <c r="T29" i="28"/>
  <c r="S29" i="28"/>
  <c r="V28" i="28"/>
  <c r="U28" i="28"/>
  <c r="T28" i="28"/>
  <c r="S28" i="28"/>
  <c r="Q27" i="29"/>
  <c r="Q71" i="29" s="1"/>
  <c r="P27" i="29"/>
  <c r="P71" i="29" s="1"/>
  <c r="R94" i="29"/>
  <c r="M94" i="29"/>
  <c r="L94" i="29"/>
  <c r="R211" i="29"/>
  <c r="R202" i="29"/>
  <c r="R70" i="29"/>
  <c r="R22" i="29"/>
  <c r="N22" i="29"/>
  <c r="T219" i="29"/>
  <c r="T66" i="29" s="1"/>
  <c r="T218" i="29"/>
  <c r="T65" i="29" s="1"/>
  <c r="T213" i="29"/>
  <c r="W213" i="29" s="1"/>
  <c r="T210" i="29"/>
  <c r="W210" i="29" s="1"/>
  <c r="T206" i="29"/>
  <c r="W206" i="29" s="1"/>
  <c r="G33" i="38" s="1"/>
  <c r="T204" i="29"/>
  <c r="T193" i="29"/>
  <c r="T197" i="29"/>
  <c r="T180" i="29"/>
  <c r="W180" i="29" s="1"/>
  <c r="T189" i="29"/>
  <c r="W189" i="29" s="1"/>
  <c r="T188" i="29"/>
  <c r="T187" i="29"/>
  <c r="W187" i="29" s="1"/>
  <c r="T186" i="29"/>
  <c r="T185" i="29"/>
  <c r="W185" i="29" s="1"/>
  <c r="T184" i="29"/>
  <c r="T183" i="29"/>
  <c r="T182" i="29"/>
  <c r="W182" i="29" s="1"/>
  <c r="T181" i="29"/>
  <c r="T174" i="29"/>
  <c r="U174" i="29" s="1"/>
  <c r="T171" i="29"/>
  <c r="W171" i="29" s="1"/>
  <c r="T170" i="29"/>
  <c r="S215" i="29"/>
  <c r="S211" i="29"/>
  <c r="S202" i="29"/>
  <c r="T202" i="29" s="1"/>
  <c r="S22" i="29"/>
  <c r="S100" i="29"/>
  <c r="S137" i="29" s="1"/>
  <c r="O22" i="29"/>
  <c r="T22" i="29"/>
  <c r="R64" i="29"/>
  <c r="AF59" i="29"/>
  <c r="AE59" i="29"/>
  <c r="AD59" i="29"/>
  <c r="AC59" i="29"/>
  <c r="AF56" i="29"/>
  <c r="AE56" i="29"/>
  <c r="AD56" i="29"/>
  <c r="AC56" i="29"/>
  <c r="AA56" i="29"/>
  <c r="Z56" i="29"/>
  <c r="Y56" i="29"/>
  <c r="X56" i="29"/>
  <c r="W56" i="29"/>
  <c r="G15" i="38" s="1"/>
  <c r="T56" i="29"/>
  <c r="S56" i="29"/>
  <c r="AF55" i="29"/>
  <c r="AE55" i="29"/>
  <c r="AD55" i="29"/>
  <c r="AC55" i="29"/>
  <c r="AA55" i="29"/>
  <c r="Z55" i="29"/>
  <c r="Y55" i="29"/>
  <c r="X55" i="29"/>
  <c r="W55" i="29"/>
  <c r="G9" i="38" s="1"/>
  <c r="T55" i="29"/>
  <c r="S55" i="29"/>
  <c r="Q222" i="29"/>
  <c r="P222" i="29"/>
  <c r="O222" i="29"/>
  <c r="N222" i="29"/>
  <c r="AF66" i="29"/>
  <c r="AE66" i="29"/>
  <c r="AD66" i="29"/>
  <c r="AC66" i="29"/>
  <c r="AA66" i="29"/>
  <c r="Z66" i="29"/>
  <c r="Y66" i="29"/>
  <c r="X66" i="29"/>
  <c r="S66" i="29"/>
  <c r="R66" i="29"/>
  <c r="Q66" i="29"/>
  <c r="P66" i="29"/>
  <c r="O66" i="29"/>
  <c r="N66" i="29"/>
  <c r="M66" i="29"/>
  <c r="L66" i="29"/>
  <c r="K66" i="29"/>
  <c r="J66" i="29"/>
  <c r="I66" i="29"/>
  <c r="H66" i="29"/>
  <c r="G66" i="29"/>
  <c r="F66" i="29"/>
  <c r="E66" i="29"/>
  <c r="D66" i="29"/>
  <c r="M65" i="29"/>
  <c r="L65" i="29"/>
  <c r="K65" i="29"/>
  <c r="J65" i="29"/>
  <c r="I65" i="29"/>
  <c r="H65" i="29"/>
  <c r="G65" i="29"/>
  <c r="F65" i="29"/>
  <c r="E65" i="29"/>
  <c r="D65" i="29"/>
  <c r="C66" i="29"/>
  <c r="C65" i="29"/>
  <c r="AX77" i="28" l="1"/>
  <c r="U204" i="29"/>
  <c r="U211" i="29" s="1"/>
  <c r="R71" i="29"/>
  <c r="L10" i="32" s="1"/>
  <c r="M14" i="28"/>
  <c r="T211" i="29"/>
  <c r="V174" i="29"/>
  <c r="W218" i="29"/>
  <c r="W65" i="29" s="1"/>
  <c r="W22" i="29"/>
  <c r="AB22" i="29" s="1"/>
  <c r="AG22" i="29" s="1"/>
  <c r="W197" i="29"/>
  <c r="T64" i="29"/>
  <c r="T222" i="29"/>
  <c r="T190" i="29"/>
  <c r="T191" i="29" s="1"/>
  <c r="S70" i="29"/>
  <c r="M21" i="29"/>
  <c r="AW73" i="28" s="1"/>
  <c r="L21" i="29"/>
  <c r="AV73" i="28" s="1"/>
  <c r="K21" i="29"/>
  <c r="AU73" i="28" s="1"/>
  <c r="J21" i="29"/>
  <c r="AT73" i="28" s="1"/>
  <c r="I21" i="29"/>
  <c r="AF214" i="29"/>
  <c r="AE214" i="29"/>
  <c r="AD214" i="29"/>
  <c r="AC214" i="29"/>
  <c r="AA214" i="29"/>
  <c r="Z214" i="29"/>
  <c r="Y214" i="29"/>
  <c r="X214" i="29"/>
  <c r="S214" i="29"/>
  <c r="S216" i="29" s="1"/>
  <c r="R214" i="29"/>
  <c r="AF140" i="29"/>
  <c r="AE140" i="29"/>
  <c r="AD140" i="29"/>
  <c r="AC140" i="29"/>
  <c r="AA140" i="29"/>
  <c r="Z140" i="29"/>
  <c r="Y140" i="29"/>
  <c r="X140" i="29"/>
  <c r="T140" i="29"/>
  <c r="S140" i="29"/>
  <c r="R140" i="29"/>
  <c r="Q140" i="29"/>
  <c r="P140" i="29"/>
  <c r="O140" i="29"/>
  <c r="N140" i="29"/>
  <c r="R145" i="29"/>
  <c r="R144" i="29"/>
  <c r="R243" i="29"/>
  <c r="R242" i="29"/>
  <c r="R241" i="29"/>
  <c r="R262" i="29"/>
  <c r="R261" i="29"/>
  <c r="R260" i="29"/>
  <c r="R258" i="29"/>
  <c r="R257" i="29"/>
  <c r="R256" i="29"/>
  <c r="R248" i="29"/>
  <c r="R247" i="29"/>
  <c r="R246" i="29"/>
  <c r="R253" i="29"/>
  <c r="R252" i="29"/>
  <c r="R251" i="29"/>
  <c r="R267" i="29"/>
  <c r="R266" i="29"/>
  <c r="R265" i="29"/>
  <c r="R235" i="29"/>
  <c r="R234" i="29"/>
  <c r="R233" i="29"/>
  <c r="S12" i="29"/>
  <c r="R12" i="29"/>
  <c r="AX54" i="28" s="1"/>
  <c r="Q19" i="29"/>
  <c r="Q20" i="29" s="1"/>
  <c r="P19" i="29"/>
  <c r="P20" i="29" s="1"/>
  <c r="O12" i="29"/>
  <c r="O152" i="29" s="1"/>
  <c r="N12" i="29"/>
  <c r="AF12" i="29"/>
  <c r="AE12" i="29"/>
  <c r="AE16" i="29" s="1"/>
  <c r="AE42" i="29" s="1"/>
  <c r="AD12" i="29"/>
  <c r="AC12" i="29"/>
  <c r="AC16" i="29" s="1"/>
  <c r="AC42" i="29" s="1"/>
  <c r="AA12" i="29"/>
  <c r="Z12" i="29"/>
  <c r="Y12" i="29"/>
  <c r="X12" i="29"/>
  <c r="X16" i="29" s="1"/>
  <c r="X42" i="29" s="1"/>
  <c r="V19" i="29"/>
  <c r="U19" i="29"/>
  <c r="T12" i="29"/>
  <c r="N110" i="29"/>
  <c r="L216" i="29"/>
  <c r="M215" i="29" s="1"/>
  <c r="M99" i="29"/>
  <c r="L99" i="29"/>
  <c r="J99" i="29"/>
  <c r="H99" i="29"/>
  <c r="G99" i="29"/>
  <c r="F99" i="29"/>
  <c r="E99" i="29"/>
  <c r="D99" i="29"/>
  <c r="C99" i="29"/>
  <c r="M98" i="29"/>
  <c r="L98" i="29"/>
  <c r="K98" i="29"/>
  <c r="J98" i="29"/>
  <c r="I98" i="29"/>
  <c r="H98" i="29"/>
  <c r="G98" i="29"/>
  <c r="F98" i="29"/>
  <c r="E98" i="29"/>
  <c r="D98" i="29"/>
  <c r="C98" i="29"/>
  <c r="R100" i="29"/>
  <c r="R137" i="29" s="1"/>
  <c r="AX89" i="28" s="1"/>
  <c r="T100" i="29"/>
  <c r="T137" i="29" s="1"/>
  <c r="AF107" i="29"/>
  <c r="AE107" i="29"/>
  <c r="AD107" i="29"/>
  <c r="AC107" i="29"/>
  <c r="AA107" i="29"/>
  <c r="Z107" i="29"/>
  <c r="Y107" i="29"/>
  <c r="X107" i="29"/>
  <c r="S107" i="29"/>
  <c r="AF122" i="29"/>
  <c r="AF128" i="29" s="1"/>
  <c r="AF131" i="29" s="1"/>
  <c r="AE122" i="29"/>
  <c r="AE128" i="29" s="1"/>
  <c r="AE131" i="29" s="1"/>
  <c r="AD122" i="29"/>
  <c r="AD128" i="29" s="1"/>
  <c r="AD131" i="29" s="1"/>
  <c r="AC122" i="29"/>
  <c r="AC128" i="29" s="1"/>
  <c r="AC131" i="29" s="1"/>
  <c r="AA122" i="29"/>
  <c r="AA128" i="29" s="1"/>
  <c r="AA131" i="29" s="1"/>
  <c r="Z122" i="29"/>
  <c r="Z128" i="29" s="1"/>
  <c r="Z131" i="29" s="1"/>
  <c r="Y122" i="29"/>
  <c r="Y128" i="29" s="1"/>
  <c r="Y131" i="29" s="1"/>
  <c r="X122" i="29"/>
  <c r="X128" i="29" s="1"/>
  <c r="X131" i="29" s="1"/>
  <c r="T122" i="29"/>
  <c r="T128" i="29" s="1"/>
  <c r="T131" i="29" s="1"/>
  <c r="R122" i="29"/>
  <c r="R128" i="29" s="1"/>
  <c r="R131" i="29" s="1"/>
  <c r="F6" i="29"/>
  <c r="S71" i="29" l="1"/>
  <c r="W211" i="29"/>
  <c r="M16" i="28"/>
  <c r="AX87" i="28" s="1"/>
  <c r="AX79" i="28"/>
  <c r="W204" i="29"/>
  <c r="E6" i="29"/>
  <c r="F225" i="29"/>
  <c r="X150" i="29"/>
  <c r="X152" i="29" s="1"/>
  <c r="AC150" i="29"/>
  <c r="AC152" i="29" s="1"/>
  <c r="Y150" i="29"/>
  <c r="Y152" i="29" s="1"/>
  <c r="AD150" i="29"/>
  <c r="AD152" i="29" s="1"/>
  <c r="AA150" i="29"/>
  <c r="AA152" i="29" s="1"/>
  <c r="AF150" i="29"/>
  <c r="AF152" i="29" s="1"/>
  <c r="Z150" i="29"/>
  <c r="Z152" i="29" s="1"/>
  <c r="AE150" i="29"/>
  <c r="AE152" i="29" s="1"/>
  <c r="N143" i="29"/>
  <c r="N152" i="29"/>
  <c r="V202" i="29"/>
  <c r="U202" i="29"/>
  <c r="W174" i="29"/>
  <c r="AB174" i="29" s="1"/>
  <c r="AG174" i="29" s="1"/>
  <c r="S114" i="29"/>
  <c r="X114" i="29"/>
  <c r="X147" i="29"/>
  <c r="X149" i="29" s="1"/>
  <c r="L137" i="29"/>
  <c r="AA114" i="29"/>
  <c r="AA147" i="29"/>
  <c r="AA149" i="29" s="1"/>
  <c r="Y114" i="29"/>
  <c r="Y147" i="29"/>
  <c r="Y149" i="29" s="1"/>
  <c r="Z114" i="29"/>
  <c r="Z147" i="29"/>
  <c r="Z149" i="29" s="1"/>
  <c r="AF114" i="29"/>
  <c r="AF147" i="29"/>
  <c r="AF149" i="29" s="1"/>
  <c r="AC114" i="29"/>
  <c r="AC147" i="29"/>
  <c r="AC149" i="29" s="1"/>
  <c r="AD114" i="29"/>
  <c r="AD147" i="29"/>
  <c r="AD149" i="29" s="1"/>
  <c r="AE114" i="29"/>
  <c r="AE147" i="29"/>
  <c r="AE149" i="29" s="1"/>
  <c r="N111" i="29"/>
  <c r="N113" i="29" s="1"/>
  <c r="Z16" i="29"/>
  <c r="Z42" i="29" s="1"/>
  <c r="T143" i="29"/>
  <c r="T16" i="29"/>
  <c r="T42" i="29" s="1"/>
  <c r="W64" i="29"/>
  <c r="W222" i="29"/>
  <c r="Y16" i="29"/>
  <c r="Y42" i="29" s="1"/>
  <c r="AD16" i="29"/>
  <c r="AD42" i="29" s="1"/>
  <c r="O16" i="29"/>
  <c r="O42" i="29" s="1"/>
  <c r="O143" i="29"/>
  <c r="W12" i="29"/>
  <c r="AY54" i="28" s="1"/>
  <c r="S143" i="29"/>
  <c r="AA16" i="29"/>
  <c r="AA42" i="29" s="1"/>
  <c r="AF16" i="29"/>
  <c r="AF42" i="29" s="1"/>
  <c r="T67" i="29"/>
  <c r="C191" i="29"/>
  <c r="G191" i="29"/>
  <c r="D191" i="29"/>
  <c r="H191" i="29"/>
  <c r="L191" i="29"/>
  <c r="N156" i="29"/>
  <c r="R156" i="29"/>
  <c r="E191" i="29"/>
  <c r="I191" i="29"/>
  <c r="M191" i="29"/>
  <c r="N16" i="29"/>
  <c r="N42" i="29" s="1"/>
  <c r="R16" i="29"/>
  <c r="R42" i="29" s="1"/>
  <c r="S16" i="29"/>
  <c r="S42" i="29" s="1"/>
  <c r="G48" i="28"/>
  <c r="F11" i="28" s="1"/>
  <c r="S26" i="28"/>
  <c r="M26" i="28"/>
  <c r="Q26" i="28"/>
  <c r="T57" i="29"/>
  <c r="X221" i="29"/>
  <c r="X19" i="29"/>
  <c r="X20" i="29" s="1"/>
  <c r="AC57" i="29"/>
  <c r="AC19" i="29"/>
  <c r="AC20" i="29" s="1"/>
  <c r="AE57" i="29"/>
  <c r="AE19" i="29"/>
  <c r="AE20" i="29" s="1"/>
  <c r="V221" i="29"/>
  <c r="V57" i="29"/>
  <c r="Z221" i="29"/>
  <c r="Z57" i="29"/>
  <c r="AD221" i="29"/>
  <c r="AD57" i="29"/>
  <c r="U221" i="29"/>
  <c r="U57" i="29"/>
  <c r="AA221" i="29"/>
  <c r="AA57" i="29"/>
  <c r="Y221" i="29"/>
  <c r="Y57" i="29"/>
  <c r="X215" i="29"/>
  <c r="X216" i="29" s="1"/>
  <c r="AC215" i="29" s="1"/>
  <c r="AC216" i="29" s="1"/>
  <c r="T215" i="29"/>
  <c r="AF57" i="29"/>
  <c r="X57" i="29"/>
  <c r="S57" i="29"/>
  <c r="C222" i="29"/>
  <c r="S49" i="29"/>
  <c r="S221" i="29"/>
  <c r="H222" i="29"/>
  <c r="T49" i="29"/>
  <c r="T221" i="29"/>
  <c r="AF221" i="29"/>
  <c r="P49" i="29"/>
  <c r="P221" i="29"/>
  <c r="E222" i="29"/>
  <c r="I222" i="29"/>
  <c r="M222" i="29"/>
  <c r="O49" i="29"/>
  <c r="O221" i="29"/>
  <c r="AC221" i="29"/>
  <c r="Q47" i="29"/>
  <c r="Q221" i="29"/>
  <c r="F222" i="29"/>
  <c r="J222" i="29"/>
  <c r="AE221" i="29"/>
  <c r="D222" i="29"/>
  <c r="L222" i="29"/>
  <c r="N221" i="29"/>
  <c r="R221" i="29"/>
  <c r="G222" i="29"/>
  <c r="D211" i="29"/>
  <c r="H211" i="29"/>
  <c r="L211" i="29"/>
  <c r="C211" i="29"/>
  <c r="W215" i="29"/>
  <c r="E211" i="29"/>
  <c r="I211" i="29"/>
  <c r="M211" i="29"/>
  <c r="F211" i="29"/>
  <c r="G211" i="29"/>
  <c r="G202" i="29"/>
  <c r="H202" i="29"/>
  <c r="I202" i="29"/>
  <c r="M202" i="29"/>
  <c r="E156" i="29"/>
  <c r="I156" i="29"/>
  <c r="M156" i="29"/>
  <c r="K156" i="29"/>
  <c r="T51" i="29"/>
  <c r="R143" i="29"/>
  <c r="R107" i="29"/>
  <c r="R150" i="29" s="1"/>
  <c r="G156" i="29"/>
  <c r="D156" i="29"/>
  <c r="H156" i="29"/>
  <c r="L156" i="29"/>
  <c r="F156" i="29"/>
  <c r="J156" i="29"/>
  <c r="M8" i="28"/>
  <c r="P51" i="29"/>
  <c r="N47" i="29"/>
  <c r="O47" i="29"/>
  <c r="S47" i="29"/>
  <c r="Q51" i="29"/>
  <c r="P47" i="29"/>
  <c r="T47" i="29"/>
  <c r="Q49" i="29"/>
  <c r="N51" i="29"/>
  <c r="R51" i="29"/>
  <c r="R47" i="29"/>
  <c r="N49" i="29"/>
  <c r="R49" i="29"/>
  <c r="O51" i="29"/>
  <c r="S51" i="29"/>
  <c r="R24" i="29"/>
  <c r="V20" i="29"/>
  <c r="V43" i="29" s="1"/>
  <c r="U20" i="29"/>
  <c r="U43" i="29" s="1"/>
  <c r="T107" i="29"/>
  <c r="D122" i="29"/>
  <c r="D128" i="29" s="1"/>
  <c r="D131" i="29" s="1"/>
  <c r="H122" i="29"/>
  <c r="H128" i="29" s="1"/>
  <c r="H131" i="29" s="1"/>
  <c r="L122" i="29"/>
  <c r="L128" i="29" s="1"/>
  <c r="L131" i="29" s="1"/>
  <c r="M122" i="29"/>
  <c r="M128" i="29" s="1"/>
  <c r="M131" i="29" s="1"/>
  <c r="J122" i="29"/>
  <c r="J128" i="29" s="1"/>
  <c r="J131" i="29" s="1"/>
  <c r="C122" i="29"/>
  <c r="C128" i="29" s="1"/>
  <c r="C131" i="29" s="1"/>
  <c r="K122" i="29"/>
  <c r="K128" i="29" s="1"/>
  <c r="K131" i="29" s="1"/>
  <c r="E122" i="29"/>
  <c r="E128" i="29" s="1"/>
  <c r="E131" i="29" s="1"/>
  <c r="I122" i="29"/>
  <c r="I128" i="29" s="1"/>
  <c r="I131" i="29" s="1"/>
  <c r="L107" i="29"/>
  <c r="F122" i="29"/>
  <c r="F128" i="29" s="1"/>
  <c r="F131" i="29" s="1"/>
  <c r="M19" i="28" l="1"/>
  <c r="AX82" i="28"/>
  <c r="K26" i="28"/>
  <c r="AV89" i="28"/>
  <c r="Q27" i="28"/>
  <c r="S27" i="28"/>
  <c r="D6" i="29"/>
  <c r="E225" i="29"/>
  <c r="U118" i="29"/>
  <c r="U188" i="29" s="1"/>
  <c r="U104" i="29"/>
  <c r="U184" i="29" s="1"/>
  <c r="U117" i="29"/>
  <c r="U186" i="29" s="1"/>
  <c r="U105" i="29"/>
  <c r="U183" i="29" s="1"/>
  <c r="AC157" i="29"/>
  <c r="AC158" i="29" s="1"/>
  <c r="AC132" i="29"/>
  <c r="Y157" i="29"/>
  <c r="Y158" i="29" s="1"/>
  <c r="Y132" i="29"/>
  <c r="X157" i="29"/>
  <c r="X158" i="29" s="1"/>
  <c r="X132" i="29"/>
  <c r="AE157" i="29"/>
  <c r="AE158" i="29" s="1"/>
  <c r="AE132" i="29"/>
  <c r="U125" i="29"/>
  <c r="V125" i="29" s="1"/>
  <c r="W124" i="29"/>
  <c r="AD157" i="29"/>
  <c r="AD158" i="29" s="1"/>
  <c r="AE160" i="29" s="1"/>
  <c r="AD132" i="29"/>
  <c r="AF157" i="29"/>
  <c r="AF158" i="29" s="1"/>
  <c r="AF132" i="29"/>
  <c r="Z157" i="29"/>
  <c r="Z158" i="29" s="1"/>
  <c r="Z132" i="29"/>
  <c r="AA157" i="29"/>
  <c r="AA158" i="29" s="1"/>
  <c r="AA132" i="29"/>
  <c r="L150" i="29"/>
  <c r="W202" i="29"/>
  <c r="R152" i="29"/>
  <c r="J67" i="29"/>
  <c r="J191" i="29"/>
  <c r="J70" i="29" s="1"/>
  <c r="F67" i="29"/>
  <c r="F191" i="29"/>
  <c r="F70" i="29" s="1"/>
  <c r="T147" i="29"/>
  <c r="T150" i="29"/>
  <c r="O19" i="29"/>
  <c r="O20" i="29" s="1"/>
  <c r="O24" i="29" s="1"/>
  <c r="L147" i="29"/>
  <c r="W193" i="29"/>
  <c r="T19" i="29"/>
  <c r="T20" i="29" s="1"/>
  <c r="T24" i="29" s="1"/>
  <c r="T26" i="29" s="1"/>
  <c r="W112" i="29"/>
  <c r="W113" i="29"/>
  <c r="AB113" i="29" s="1"/>
  <c r="AG113" i="29" s="1"/>
  <c r="U102" i="29"/>
  <c r="U181" i="29" s="1"/>
  <c r="R114" i="29"/>
  <c r="R157" i="29" s="1"/>
  <c r="R147" i="29"/>
  <c r="R149" i="29" s="1"/>
  <c r="W57" i="29"/>
  <c r="W143" i="29"/>
  <c r="AF19" i="29"/>
  <c r="AF20" i="29" s="1"/>
  <c r="AF21" i="29" s="1"/>
  <c r="AD19" i="29"/>
  <c r="AD20" i="29" s="1"/>
  <c r="AD24" i="29" s="1"/>
  <c r="AD26" i="29" s="1"/>
  <c r="AD163" i="29" s="1"/>
  <c r="W16" i="29"/>
  <c r="W42" i="29" s="1"/>
  <c r="W221" i="29"/>
  <c r="AA19" i="29"/>
  <c r="AA20" i="29" s="1"/>
  <c r="AA24" i="29" s="1"/>
  <c r="AA26" i="29" s="1"/>
  <c r="AA163" i="29" s="1"/>
  <c r="Z19" i="29"/>
  <c r="Z20" i="29" s="1"/>
  <c r="Z21" i="29" s="1"/>
  <c r="W51" i="29"/>
  <c r="G27" i="38" s="1"/>
  <c r="W47" i="29"/>
  <c r="G21" i="38" s="1"/>
  <c r="W49" i="29"/>
  <c r="R8" i="28"/>
  <c r="AY55" i="28" s="1"/>
  <c r="Y19" i="29"/>
  <c r="Y20" i="29" s="1"/>
  <c r="Y21" i="29" s="1"/>
  <c r="T70" i="29"/>
  <c r="T214" i="29"/>
  <c r="T216" i="29" s="1"/>
  <c r="L67" i="29"/>
  <c r="L70" i="29"/>
  <c r="M67" i="29"/>
  <c r="M70" i="29"/>
  <c r="H67" i="29"/>
  <c r="H70" i="29"/>
  <c r="G67" i="29"/>
  <c r="G70" i="29"/>
  <c r="G60" i="29" s="1"/>
  <c r="E67" i="29"/>
  <c r="E70" i="29"/>
  <c r="I67" i="29"/>
  <c r="I70" i="29"/>
  <c r="D67" i="29"/>
  <c r="D70" i="29"/>
  <c r="C70" i="29"/>
  <c r="C67" i="29"/>
  <c r="R19" i="29"/>
  <c r="S19" i="29"/>
  <c r="N19" i="29"/>
  <c r="N20" i="29" s="1"/>
  <c r="N24" i="29" s="1"/>
  <c r="N52" i="29" s="1"/>
  <c r="AD21" i="29"/>
  <c r="AD138" i="29" s="1"/>
  <c r="V21" i="29"/>
  <c r="V24" i="29"/>
  <c r="AE21" i="29"/>
  <c r="AE24" i="29"/>
  <c r="AE26" i="29" s="1"/>
  <c r="AE163" i="29" s="1"/>
  <c r="AC21" i="29"/>
  <c r="AC138" i="29" s="1"/>
  <c r="AC24" i="29"/>
  <c r="AC26" i="29" s="1"/>
  <c r="AC163" i="29" s="1"/>
  <c r="P52" i="29"/>
  <c r="U21" i="29"/>
  <c r="U24" i="29"/>
  <c r="Q52" i="29"/>
  <c r="X21" i="29"/>
  <c r="X63" i="29" s="1"/>
  <c r="X68" i="29" s="1"/>
  <c r="X24" i="29"/>
  <c r="X26" i="29" s="1"/>
  <c r="X163" i="29" s="1"/>
  <c r="R26" i="29"/>
  <c r="R28" i="29" s="1"/>
  <c r="R52" i="29"/>
  <c r="O63" i="29"/>
  <c r="O68" i="29" s="1"/>
  <c r="T114" i="29"/>
  <c r="T157" i="29" s="1"/>
  <c r="Q43" i="29"/>
  <c r="P43" i="29"/>
  <c r="R43" i="29"/>
  <c r="M10" i="28"/>
  <c r="AY64" i="28" s="1"/>
  <c r="L114" i="29"/>
  <c r="L157" i="29" s="1"/>
  <c r="H60" i="29" l="1"/>
  <c r="AF24" i="29"/>
  <c r="AF26" i="29" s="1"/>
  <c r="AF163" i="29" s="1"/>
  <c r="D60" i="29"/>
  <c r="I60" i="29"/>
  <c r="AW77" i="28"/>
  <c r="M60" i="29"/>
  <c r="R60" i="29"/>
  <c r="AV77" i="28"/>
  <c r="F60" i="29"/>
  <c r="T71" i="29"/>
  <c r="E60" i="29"/>
  <c r="J60" i="29"/>
  <c r="AD160" i="29"/>
  <c r="M12" i="28"/>
  <c r="AX86" i="28" s="1"/>
  <c r="AX75" i="28"/>
  <c r="R19" i="28"/>
  <c r="AY82" i="28"/>
  <c r="I14" i="28"/>
  <c r="AT77" i="28"/>
  <c r="AX83" i="28"/>
  <c r="AY81" i="28"/>
  <c r="AX90" i="28"/>
  <c r="L71" i="29"/>
  <c r="J10" i="32" s="1"/>
  <c r="K14" i="28"/>
  <c r="M71" i="29"/>
  <c r="L14" i="28"/>
  <c r="Z160" i="29"/>
  <c r="C6" i="29"/>
  <c r="C225" i="29" s="1"/>
  <c r="D225" i="29"/>
  <c r="Y160" i="29"/>
  <c r="AA160" i="29"/>
  <c r="AF160" i="29"/>
  <c r="V118" i="29"/>
  <c r="W118" i="29" s="1"/>
  <c r="V117" i="29"/>
  <c r="V186" i="29" s="1"/>
  <c r="O43" i="29"/>
  <c r="AA21" i="29"/>
  <c r="AA138" i="29" s="1"/>
  <c r="T52" i="29"/>
  <c r="T152" i="29"/>
  <c r="U151" i="29"/>
  <c r="M27" i="28"/>
  <c r="I47" i="28"/>
  <c r="V102" i="29"/>
  <c r="W102" i="29" s="1"/>
  <c r="V104" i="29"/>
  <c r="W104" i="29" s="1"/>
  <c r="V105" i="29"/>
  <c r="W105" i="29" s="1"/>
  <c r="Y215" i="29"/>
  <c r="Y216" i="29" s="1"/>
  <c r="AD215" i="29" s="1"/>
  <c r="AD216" i="29" s="1"/>
  <c r="U215" i="29"/>
  <c r="T43" i="29"/>
  <c r="N26" i="29"/>
  <c r="N164" i="29" s="1"/>
  <c r="T21" i="29"/>
  <c r="S155" i="29"/>
  <c r="N43" i="29"/>
  <c r="Z63" i="29"/>
  <c r="Z139" i="29" s="1"/>
  <c r="Z138" i="29"/>
  <c r="Y138" i="29"/>
  <c r="Y63" i="29"/>
  <c r="Y139" i="29" s="1"/>
  <c r="T149" i="29"/>
  <c r="T155" i="29"/>
  <c r="T163" i="29" s="1"/>
  <c r="Z24" i="29"/>
  <c r="Z26" i="29" s="1"/>
  <c r="Z163" i="29" s="1"/>
  <c r="Y24" i="29"/>
  <c r="Y26" i="29" s="1"/>
  <c r="Y163" i="29" s="1"/>
  <c r="O69" i="29"/>
  <c r="T28" i="29"/>
  <c r="T164" i="29"/>
  <c r="S20" i="29"/>
  <c r="W19" i="29"/>
  <c r="W20" i="29" s="1"/>
  <c r="W43" i="29" s="1"/>
  <c r="R158" i="29"/>
  <c r="R164" i="29"/>
  <c r="X69" i="29"/>
  <c r="X72" i="29"/>
  <c r="V44" i="29"/>
  <c r="U25" i="29"/>
  <c r="U219" i="29" s="1"/>
  <c r="U44" i="29"/>
  <c r="V25" i="29"/>
  <c r="V219" i="29" s="1"/>
  <c r="V66" i="29" s="1"/>
  <c r="V63" i="29"/>
  <c r="M214" i="29"/>
  <c r="G214" i="29"/>
  <c r="H214" i="29"/>
  <c r="I214" i="29"/>
  <c r="X139" i="29"/>
  <c r="AD63" i="29"/>
  <c r="AD139" i="29" s="1"/>
  <c r="Z58" i="29"/>
  <c r="X138" i="29"/>
  <c r="AF63" i="29"/>
  <c r="AF138" i="29"/>
  <c r="AE63" i="29"/>
  <c r="AE58" i="29"/>
  <c r="AE138" i="29"/>
  <c r="V58" i="29"/>
  <c r="U63" i="29"/>
  <c r="U58" i="29"/>
  <c r="AC63" i="29"/>
  <c r="AC58" i="29"/>
  <c r="AD58" i="29"/>
  <c r="O26" i="29"/>
  <c r="O72" i="29" s="1"/>
  <c r="O52" i="29"/>
  <c r="O44" i="29"/>
  <c r="N44" i="29"/>
  <c r="N63" i="29"/>
  <c r="R138" i="29"/>
  <c r="R63" i="29"/>
  <c r="Q44" i="29"/>
  <c r="Q63" i="29"/>
  <c r="P44" i="29"/>
  <c r="P63" i="29"/>
  <c r="R44" i="29"/>
  <c r="M61" i="29" l="1"/>
  <c r="R61" i="29"/>
  <c r="I45" i="28"/>
  <c r="I46" i="28" s="1"/>
  <c r="L16" i="28"/>
  <c r="AW79" i="28"/>
  <c r="K16" i="28"/>
  <c r="AV79" i="28"/>
  <c r="K10" i="32"/>
  <c r="AA63" i="29"/>
  <c r="AA68" i="29" s="1"/>
  <c r="T44" i="29"/>
  <c r="AF58" i="29"/>
  <c r="Y59" i="29"/>
  <c r="V188" i="29"/>
  <c r="W188" i="29" s="1"/>
  <c r="AA58" i="29"/>
  <c r="Z68" i="29"/>
  <c r="Z69" i="29" s="1"/>
  <c r="V151" i="29"/>
  <c r="N28" i="29"/>
  <c r="V122" i="29"/>
  <c r="V128" i="29" s="1"/>
  <c r="W186" i="29"/>
  <c r="V184" i="29"/>
  <c r="W184" i="29" s="1"/>
  <c r="W117" i="29"/>
  <c r="W122" i="29" s="1"/>
  <c r="V181" i="29"/>
  <c r="W181" i="29" s="1"/>
  <c r="W125" i="29"/>
  <c r="T63" i="29"/>
  <c r="T68" i="29" s="1"/>
  <c r="V183" i="29"/>
  <c r="W183" i="29" s="1"/>
  <c r="U190" i="29"/>
  <c r="T58" i="29"/>
  <c r="Y58" i="29"/>
  <c r="N170" i="29"/>
  <c r="N191" i="29" s="1"/>
  <c r="AD68" i="29"/>
  <c r="Y68" i="29"/>
  <c r="W24" i="29"/>
  <c r="O28" i="29"/>
  <c r="O163" i="29"/>
  <c r="O164" i="29"/>
  <c r="O170" i="29"/>
  <c r="O191" i="29" s="1"/>
  <c r="S24" i="29"/>
  <c r="S43" i="29"/>
  <c r="S21" i="29"/>
  <c r="T139" i="29" s="1"/>
  <c r="T158" i="29"/>
  <c r="W21" i="29"/>
  <c r="W219" i="29"/>
  <c r="W66" i="29" s="1"/>
  <c r="U66" i="29"/>
  <c r="W25" i="29"/>
  <c r="U26" i="29"/>
  <c r="U130" i="29" s="1"/>
  <c r="V26" i="29"/>
  <c r="AE139" i="29"/>
  <c r="AE68" i="29"/>
  <c r="AC68" i="29"/>
  <c r="AC139" i="29"/>
  <c r="AF68" i="29"/>
  <c r="AF139" i="29"/>
  <c r="L158" i="29"/>
  <c r="P68" i="29"/>
  <c r="Q68" i="29"/>
  <c r="N68" i="29"/>
  <c r="R139" i="29"/>
  <c r="R68" i="29"/>
  <c r="AA139" i="29" l="1"/>
  <c r="W44" i="29"/>
  <c r="AY73" i="28"/>
  <c r="Z72" i="29"/>
  <c r="V130" i="29"/>
  <c r="V131" i="29" s="1"/>
  <c r="O70" i="29"/>
  <c r="O214" i="29"/>
  <c r="N214" i="29"/>
  <c r="N70" i="29"/>
  <c r="Y69" i="29"/>
  <c r="AD69" i="29"/>
  <c r="T59" i="29"/>
  <c r="AD72" i="29"/>
  <c r="V190" i="29"/>
  <c r="Y72" i="29"/>
  <c r="V170" i="29"/>
  <c r="U170" i="29"/>
  <c r="U191" i="29" s="1"/>
  <c r="R10" i="28"/>
  <c r="W26" i="29"/>
  <c r="W52" i="29"/>
  <c r="R72" i="29"/>
  <c r="S138" i="29"/>
  <c r="S139" i="29"/>
  <c r="S44" i="29"/>
  <c r="S58" i="29"/>
  <c r="T138" i="29"/>
  <c r="S63" i="29"/>
  <c r="S68" i="29" s="1"/>
  <c r="X58" i="29"/>
  <c r="N69" i="29"/>
  <c r="N72" i="29"/>
  <c r="Q69" i="29"/>
  <c r="Q72" i="29"/>
  <c r="W63" i="29"/>
  <c r="S52" i="29"/>
  <c r="S26" i="29"/>
  <c r="P69" i="29"/>
  <c r="P72" i="29"/>
  <c r="W58" i="29"/>
  <c r="AA69" i="29"/>
  <c r="AA72" i="29"/>
  <c r="AF69" i="29"/>
  <c r="AF72" i="29"/>
  <c r="AC69" i="29"/>
  <c r="AC72" i="29"/>
  <c r="T69" i="29"/>
  <c r="T72" i="29"/>
  <c r="AE69" i="29"/>
  <c r="AE72" i="29"/>
  <c r="U28" i="29"/>
  <c r="V28" i="29"/>
  <c r="AA59" i="29" s="1"/>
  <c r="R69" i="29"/>
  <c r="T60" i="29" l="1"/>
  <c r="S60" i="29"/>
  <c r="T235" i="29"/>
  <c r="O71" i="29"/>
  <c r="N71" i="29"/>
  <c r="AY83" i="28"/>
  <c r="AY61" i="28"/>
  <c r="J47" i="28"/>
  <c r="V191" i="29"/>
  <c r="M24" i="28"/>
  <c r="I49" i="28"/>
  <c r="I50" i="28" s="1"/>
  <c r="V140" i="29"/>
  <c r="W130" i="29"/>
  <c r="V156" i="29"/>
  <c r="V164" i="29" s="1"/>
  <c r="U156" i="29"/>
  <c r="U164" i="29" s="1"/>
  <c r="U140" i="29"/>
  <c r="W170" i="29"/>
  <c r="S69" i="29"/>
  <c r="S164" i="29"/>
  <c r="S28" i="29"/>
  <c r="S163" i="29"/>
  <c r="S72" i="29"/>
  <c r="V59" i="29"/>
  <c r="Z59" i="29"/>
  <c r="U59" i="29"/>
  <c r="S61" i="29" l="1"/>
  <c r="T61" i="29"/>
  <c r="AY62" i="28"/>
  <c r="W28" i="29"/>
  <c r="W36" i="29"/>
  <c r="W156" i="29"/>
  <c r="W164" i="29" s="1"/>
  <c r="W140" i="29"/>
  <c r="X59" i="29"/>
  <c r="S59" i="29"/>
  <c r="W59" i="29"/>
  <c r="R12" i="28" l="1"/>
  <c r="AY86" i="28" s="1"/>
  <c r="AY75" i="28"/>
  <c r="R13" i="28"/>
  <c r="AY69" i="28" s="1"/>
  <c r="AY70" i="28" s="1"/>
  <c r="AY76" i="28"/>
  <c r="W38" i="29"/>
  <c r="W128" i="29"/>
  <c r="W131" i="29" s="1"/>
  <c r="N46" i="28" l="1"/>
  <c r="J45" i="28"/>
  <c r="J46" i="28" s="1"/>
  <c r="AY67" i="28"/>
  <c r="AY68" i="28" s="1"/>
  <c r="G47" i="28"/>
  <c r="G49" i="28" l="1"/>
  <c r="F12" i="28" s="1"/>
  <c r="F10" i="28"/>
  <c r="I48" i="28" l="1"/>
  <c r="AB39" i="29"/>
  <c r="W39" i="29"/>
  <c r="J48" i="28"/>
  <c r="AX85" i="28"/>
  <c r="AY85" i="28"/>
  <c r="AG39" i="29"/>
  <c r="G122" i="29" l="1"/>
  <c r="G128" i="29" s="1"/>
  <c r="G131" i="29" s="1"/>
  <c r="L87" i="29"/>
  <c r="K99" i="29" l="1"/>
  <c r="J202" i="29"/>
  <c r="C202" i="29"/>
  <c r="C214" i="29" s="1"/>
  <c r="D202" i="29"/>
  <c r="D214" i="29" s="1"/>
  <c r="E202" i="29"/>
  <c r="E214" i="29" s="1"/>
  <c r="K211" i="29"/>
  <c r="C216" i="29"/>
  <c r="D215" i="29" s="1"/>
  <c r="C107" i="29"/>
  <c r="C137" i="29"/>
  <c r="F202" i="29"/>
  <c r="F214" i="29" s="1"/>
  <c r="J211" i="29"/>
  <c r="L202" i="29"/>
  <c r="L214" i="29" s="1"/>
  <c r="G145" i="29"/>
  <c r="K145" i="29"/>
  <c r="D144" i="29"/>
  <c r="H144" i="29"/>
  <c r="D145" i="29"/>
  <c r="K144" i="29"/>
  <c r="H145" i="29"/>
  <c r="G144" i="29"/>
  <c r="M140" i="29"/>
  <c r="C144" i="29"/>
  <c r="J42" i="29"/>
  <c r="H55" i="29"/>
  <c r="H56" i="29"/>
  <c r="M82" i="29"/>
  <c r="M87" i="29"/>
  <c r="L55" i="29"/>
  <c r="J214" i="29" l="1"/>
  <c r="M216" i="29"/>
  <c r="M107" i="29"/>
  <c r="M137" i="29"/>
  <c r="I99" i="29"/>
  <c r="K222" i="29"/>
  <c r="K202" i="29"/>
  <c r="K191" i="29"/>
  <c r="K70" i="29" s="1"/>
  <c r="K67" i="29"/>
  <c r="C150" i="29"/>
  <c r="C147" i="29"/>
  <c r="C114" i="29"/>
  <c r="E216" i="29"/>
  <c r="F215" i="29" s="1"/>
  <c r="E137" i="29"/>
  <c r="E107" i="29"/>
  <c r="H216" i="29"/>
  <c r="I215" i="29" s="1"/>
  <c r="H137" i="29"/>
  <c r="H107" i="29"/>
  <c r="J216" i="29"/>
  <c r="K215" i="29" s="1"/>
  <c r="J107" i="29"/>
  <c r="J137" i="29"/>
  <c r="F216" i="29"/>
  <c r="G215" i="29" s="1"/>
  <c r="F107" i="29"/>
  <c r="F137" i="29"/>
  <c r="G216" i="29"/>
  <c r="H215" i="29" s="1"/>
  <c r="G107" i="29"/>
  <c r="G137" i="29"/>
  <c r="D216" i="29"/>
  <c r="E215" i="29" s="1"/>
  <c r="D137" i="29"/>
  <c r="D107" i="29"/>
  <c r="J15" i="28"/>
  <c r="AU78" i="28"/>
  <c r="I15" i="28"/>
  <c r="AT78" i="28"/>
  <c r="I19" i="28"/>
  <c r="AT82" i="28"/>
  <c r="E140" i="29"/>
  <c r="E71" i="29"/>
  <c r="J140" i="29"/>
  <c r="J71" i="29"/>
  <c r="K140" i="29"/>
  <c r="K71" i="29"/>
  <c r="G140" i="29"/>
  <c r="G71" i="29"/>
  <c r="F140" i="29"/>
  <c r="F71" i="29"/>
  <c r="H140" i="29"/>
  <c r="H71" i="29"/>
  <c r="E42" i="29"/>
  <c r="J56" i="29"/>
  <c r="E144" i="29"/>
  <c r="I145" i="29"/>
  <c r="J145" i="29"/>
  <c r="L145" i="29"/>
  <c r="R55" i="29"/>
  <c r="M55" i="29"/>
  <c r="I55" i="29"/>
  <c r="I56" i="29"/>
  <c r="E221" i="29"/>
  <c r="J144" i="29"/>
  <c r="M145" i="29"/>
  <c r="L144" i="29"/>
  <c r="I144" i="29"/>
  <c r="E51" i="29"/>
  <c r="E143" i="29"/>
  <c r="E47" i="29"/>
  <c r="E145" i="29"/>
  <c r="M144" i="29"/>
  <c r="C145" i="29"/>
  <c r="E49" i="29"/>
  <c r="I12" i="29"/>
  <c r="L140" i="29"/>
  <c r="K214" i="29" l="1"/>
  <c r="K216" i="29"/>
  <c r="L215" i="29" s="1"/>
  <c r="K137" i="29"/>
  <c r="K107" i="29"/>
  <c r="H114" i="29"/>
  <c r="H147" i="29"/>
  <c r="H149" i="29" s="1"/>
  <c r="H150" i="29"/>
  <c r="H152" i="29" s="1"/>
  <c r="L26" i="28"/>
  <c r="AW89" i="28"/>
  <c r="M147" i="29"/>
  <c r="M150" i="29"/>
  <c r="M114" i="29"/>
  <c r="I26" i="28"/>
  <c r="AT89" i="28"/>
  <c r="F147" i="29"/>
  <c r="F149" i="29" s="1"/>
  <c r="F114" i="29"/>
  <c r="F150" i="29"/>
  <c r="J147" i="29"/>
  <c r="J150" i="29"/>
  <c r="J114" i="29"/>
  <c r="G114" i="29"/>
  <c r="G150" i="29"/>
  <c r="G152" i="29" s="1"/>
  <c r="G147" i="29"/>
  <c r="G149" i="29" s="1"/>
  <c r="C157" i="29"/>
  <c r="K60" i="29"/>
  <c r="L60" i="29"/>
  <c r="J14" i="28"/>
  <c r="AU77" i="28"/>
  <c r="E150" i="29"/>
  <c r="E147" i="29"/>
  <c r="E114" i="29"/>
  <c r="N215" i="29"/>
  <c r="N216" i="29" s="1"/>
  <c r="R215" i="29"/>
  <c r="D150" i="29"/>
  <c r="D151" i="29" s="1"/>
  <c r="D147" i="29"/>
  <c r="D148" i="29" s="1"/>
  <c r="D114" i="29"/>
  <c r="D155" i="29" s="1"/>
  <c r="AU79" i="28"/>
  <c r="K61" i="29"/>
  <c r="L61" i="29"/>
  <c r="F10" i="32"/>
  <c r="H61" i="29"/>
  <c r="E10" i="32"/>
  <c r="G61" i="29"/>
  <c r="AT79" i="28"/>
  <c r="D10" i="32"/>
  <c r="F61" i="29"/>
  <c r="C10" i="32"/>
  <c r="H10" i="32"/>
  <c r="I16" i="28"/>
  <c r="I10" i="32"/>
  <c r="J16" i="28"/>
  <c r="D140" i="29"/>
  <c r="D71" i="29"/>
  <c r="C140" i="29"/>
  <c r="C71" i="29"/>
  <c r="I140" i="29"/>
  <c r="I71" i="29"/>
  <c r="D42" i="29"/>
  <c r="I42" i="29"/>
  <c r="G42" i="29"/>
  <c r="H42" i="29"/>
  <c r="F42" i="29"/>
  <c r="D221" i="29"/>
  <c r="F221" i="29"/>
  <c r="G221" i="29"/>
  <c r="K12" i="29"/>
  <c r="AU54" i="28" s="1"/>
  <c r="K56" i="29"/>
  <c r="L12" i="29"/>
  <c r="L56" i="29"/>
  <c r="M12" i="29"/>
  <c r="AW54" i="28" s="1"/>
  <c r="M56" i="29"/>
  <c r="R56" i="29"/>
  <c r="I221" i="29"/>
  <c r="H221" i="29"/>
  <c r="C149" i="29"/>
  <c r="C221" i="29"/>
  <c r="D143" i="29"/>
  <c r="G143" i="29"/>
  <c r="F143" i="29"/>
  <c r="I51" i="29"/>
  <c r="I143" i="29"/>
  <c r="H49" i="29"/>
  <c r="H143" i="29"/>
  <c r="F47" i="29"/>
  <c r="F145" i="29"/>
  <c r="F144" i="29"/>
  <c r="I49" i="29"/>
  <c r="E43" i="29"/>
  <c r="E21" i="29"/>
  <c r="C47" i="29"/>
  <c r="C49" i="29"/>
  <c r="D49" i="29"/>
  <c r="D47" i="29"/>
  <c r="D51" i="29"/>
  <c r="F51" i="29"/>
  <c r="F49" i="29"/>
  <c r="I47" i="29"/>
  <c r="G49" i="29"/>
  <c r="G47" i="29"/>
  <c r="G51" i="29"/>
  <c r="H47" i="29"/>
  <c r="H51" i="29"/>
  <c r="C51" i="29"/>
  <c r="D57" i="29"/>
  <c r="S12" i="32" s="1"/>
  <c r="F57" i="29"/>
  <c r="U12" i="32" s="1"/>
  <c r="H57" i="29"/>
  <c r="W12" i="32" s="1"/>
  <c r="E57" i="29"/>
  <c r="T12" i="32" s="1"/>
  <c r="I57" i="29"/>
  <c r="X12" i="32" s="1"/>
  <c r="G57" i="29"/>
  <c r="V12" i="32" s="1"/>
  <c r="C143" i="29"/>
  <c r="C42" i="29"/>
  <c r="D152" i="29" l="1"/>
  <c r="G148" i="29"/>
  <c r="G151" i="29"/>
  <c r="J26" i="28"/>
  <c r="AU89" i="28"/>
  <c r="J157" i="29"/>
  <c r="J152" i="29"/>
  <c r="D149" i="29"/>
  <c r="C159" i="29"/>
  <c r="C165" i="29" s="1"/>
  <c r="C158" i="29"/>
  <c r="F151" i="29"/>
  <c r="H151" i="29"/>
  <c r="F157" i="29"/>
  <c r="G155" i="29"/>
  <c r="M157" i="29"/>
  <c r="M155" i="29"/>
  <c r="R155" i="29"/>
  <c r="R163" i="29" s="1"/>
  <c r="N155" i="29"/>
  <c r="N163" i="29" s="1"/>
  <c r="H148" i="29"/>
  <c r="F148" i="29"/>
  <c r="R151" i="29"/>
  <c r="N151" i="29"/>
  <c r="M151" i="29"/>
  <c r="H157" i="29"/>
  <c r="E151" i="29"/>
  <c r="E152" i="29"/>
  <c r="F152" i="29"/>
  <c r="O215" i="29"/>
  <c r="O216" i="29" s="1"/>
  <c r="N100" i="29"/>
  <c r="D157" i="29"/>
  <c r="E155" i="29"/>
  <c r="E163" i="29" s="1"/>
  <c r="E148" i="29"/>
  <c r="E149" i="29"/>
  <c r="G157" i="29"/>
  <c r="H155" i="29"/>
  <c r="R148" i="29"/>
  <c r="M148" i="29"/>
  <c r="I216" i="29"/>
  <c r="J215" i="29" s="1"/>
  <c r="I107" i="29"/>
  <c r="I137" i="29"/>
  <c r="I138" i="29" s="1"/>
  <c r="E157" i="29"/>
  <c r="F155" i="29"/>
  <c r="K114" i="29"/>
  <c r="K155" i="29" s="1"/>
  <c r="K150" i="29"/>
  <c r="K152" i="29" s="1"/>
  <c r="K147" i="29"/>
  <c r="K149" i="29" s="1"/>
  <c r="B10" i="32"/>
  <c r="D61" i="29"/>
  <c r="G10" i="32"/>
  <c r="I61" i="29"/>
  <c r="E61" i="29"/>
  <c r="J61" i="29"/>
  <c r="L152" i="29"/>
  <c r="AV54" i="28"/>
  <c r="K51" i="29"/>
  <c r="M77" i="29"/>
  <c r="M48" i="29" s="1"/>
  <c r="M152" i="29"/>
  <c r="L77" i="29"/>
  <c r="L51" i="29"/>
  <c r="L143" i="29"/>
  <c r="F21" i="29"/>
  <c r="L221" i="29"/>
  <c r="L8" i="28"/>
  <c r="M42" i="29"/>
  <c r="K143" i="29"/>
  <c r="K42" i="29"/>
  <c r="M57" i="29"/>
  <c r="AB12" i="32" s="1"/>
  <c r="M47" i="29"/>
  <c r="M149" i="29"/>
  <c r="K221" i="29"/>
  <c r="M143" i="29"/>
  <c r="J8" i="28"/>
  <c r="L47" i="29"/>
  <c r="K49" i="29"/>
  <c r="L49" i="29"/>
  <c r="K47" i="29"/>
  <c r="M49" i="29"/>
  <c r="K8" i="28"/>
  <c r="L149" i="29"/>
  <c r="J55" i="29"/>
  <c r="K55" i="29"/>
  <c r="L57" i="29"/>
  <c r="AA12" i="32" s="1"/>
  <c r="M51" i="29"/>
  <c r="M221" i="29"/>
  <c r="R57" i="29"/>
  <c r="J149" i="29"/>
  <c r="J221" i="29"/>
  <c r="I8" i="28"/>
  <c r="J143" i="29"/>
  <c r="I43" i="29"/>
  <c r="E63" i="29"/>
  <c r="E138" i="29"/>
  <c r="K43" i="29"/>
  <c r="G43" i="29"/>
  <c r="G21" i="29"/>
  <c r="L43" i="29"/>
  <c r="M43" i="29"/>
  <c r="R58" i="29"/>
  <c r="C43" i="29"/>
  <c r="C21" i="29"/>
  <c r="E44" i="29"/>
  <c r="K57" i="29"/>
  <c r="Z12" i="32" s="1"/>
  <c r="J49" i="29"/>
  <c r="J51" i="29"/>
  <c r="J47" i="29"/>
  <c r="F52" i="29"/>
  <c r="D52" i="29"/>
  <c r="D163" i="29"/>
  <c r="J57" i="29"/>
  <c r="E52" i="29"/>
  <c r="C28" i="29"/>
  <c r="C52" i="29"/>
  <c r="M159" i="29" l="1"/>
  <c r="M165" i="29" s="1"/>
  <c r="M158" i="29"/>
  <c r="R159" i="29"/>
  <c r="R165" i="29" s="1"/>
  <c r="F158" i="29"/>
  <c r="G159" i="29"/>
  <c r="G165" i="29" s="1"/>
  <c r="D158" i="29"/>
  <c r="E159" i="29"/>
  <c r="E165" i="29" s="1"/>
  <c r="L148" i="29"/>
  <c r="K148" i="29"/>
  <c r="N157" i="29"/>
  <c r="N159" i="29" s="1"/>
  <c r="N165" i="29" s="1"/>
  <c r="N147" i="29"/>
  <c r="N137" i="29"/>
  <c r="N106" i="29"/>
  <c r="K151" i="29"/>
  <c r="L151" i="29"/>
  <c r="O100" i="29"/>
  <c r="P215" i="29"/>
  <c r="P216" i="29" s="1"/>
  <c r="K157" i="29"/>
  <c r="K159" i="29" s="1"/>
  <c r="K165" i="29" s="1"/>
  <c r="L155" i="29"/>
  <c r="L163" i="29" s="1"/>
  <c r="D159" i="29"/>
  <c r="D165" i="29" s="1"/>
  <c r="E158" i="29"/>
  <c r="F159" i="29"/>
  <c r="F165" i="29" s="1"/>
  <c r="H158" i="29"/>
  <c r="G158" i="29"/>
  <c r="H159" i="29"/>
  <c r="H165" i="29" s="1"/>
  <c r="AT81" i="28"/>
  <c r="Y12" i="32"/>
  <c r="I147" i="29"/>
  <c r="I114" i="29"/>
  <c r="I150" i="29"/>
  <c r="J158" i="29"/>
  <c r="F163" i="29"/>
  <c r="D21" i="29"/>
  <c r="D138" i="29" s="1"/>
  <c r="J19" i="28"/>
  <c r="AU82" i="28"/>
  <c r="L19" i="28"/>
  <c r="AW82" i="28"/>
  <c r="D43" i="29"/>
  <c r="L28" i="28"/>
  <c r="AW91" i="28"/>
  <c r="AU81" i="28"/>
  <c r="AV81" i="28"/>
  <c r="AW81" i="28"/>
  <c r="AX81" i="28"/>
  <c r="I18" i="28"/>
  <c r="M50" i="29"/>
  <c r="L42" i="29"/>
  <c r="L48" i="29"/>
  <c r="L50" i="29"/>
  <c r="H21" i="29"/>
  <c r="H58" i="29" s="1"/>
  <c r="F43" i="29"/>
  <c r="H43" i="29"/>
  <c r="L18" i="28"/>
  <c r="K18" i="28"/>
  <c r="I44" i="29"/>
  <c r="I63" i="29"/>
  <c r="I68" i="29" s="1"/>
  <c r="E28" i="29"/>
  <c r="E164" i="29"/>
  <c r="D28" i="29"/>
  <c r="D59" i="29" s="1"/>
  <c r="D164" i="29"/>
  <c r="F28" i="29"/>
  <c r="F164" i="29"/>
  <c r="C44" i="29"/>
  <c r="C63" i="29"/>
  <c r="C138" i="29"/>
  <c r="L10" i="28"/>
  <c r="M63" i="29"/>
  <c r="M138" i="29"/>
  <c r="E68" i="29"/>
  <c r="E139" i="29"/>
  <c r="F63" i="29"/>
  <c r="F138" i="29"/>
  <c r="K10" i="28"/>
  <c r="L63" i="29"/>
  <c r="L138" i="29"/>
  <c r="G63" i="29"/>
  <c r="G138" i="29"/>
  <c r="K63" i="29"/>
  <c r="J10" i="28"/>
  <c r="K138" i="29"/>
  <c r="K44" i="29"/>
  <c r="M58" i="29"/>
  <c r="M44" i="29"/>
  <c r="J43" i="29"/>
  <c r="F58" i="29"/>
  <c r="F44" i="29"/>
  <c r="L58" i="29"/>
  <c r="L44" i="29"/>
  <c r="G58" i="29"/>
  <c r="G44" i="29"/>
  <c r="K163" i="29"/>
  <c r="K52" i="29"/>
  <c r="M163" i="29"/>
  <c r="M52" i="29"/>
  <c r="I52" i="29"/>
  <c r="M18" i="28"/>
  <c r="H52" i="29"/>
  <c r="H163" i="29"/>
  <c r="L52" i="29"/>
  <c r="J18" i="28"/>
  <c r="G163" i="29"/>
  <c r="G52" i="29"/>
  <c r="H160" i="29" l="1"/>
  <c r="H166" i="29" s="1"/>
  <c r="E160" i="29"/>
  <c r="E166" i="29" s="1"/>
  <c r="Q215" i="29"/>
  <c r="Q216" i="29" s="1"/>
  <c r="Q100" i="29" s="1"/>
  <c r="P100" i="29"/>
  <c r="O106" i="29"/>
  <c r="O157" i="29"/>
  <c r="O147" i="29"/>
  <c r="O137" i="29"/>
  <c r="I151" i="29"/>
  <c r="I152" i="29"/>
  <c r="J151" i="29"/>
  <c r="N148" i="29"/>
  <c r="N149" i="29"/>
  <c r="G160" i="29"/>
  <c r="G166" i="29" s="1"/>
  <c r="M28" i="28"/>
  <c r="AX91" i="28"/>
  <c r="K158" i="29"/>
  <c r="L160" i="29" s="1"/>
  <c r="L166" i="29" s="1"/>
  <c r="L159" i="29"/>
  <c r="L165" i="29" s="1"/>
  <c r="I157" i="29"/>
  <c r="J155" i="29"/>
  <c r="J163" i="29" s="1"/>
  <c r="I155" i="29"/>
  <c r="I163" i="29" s="1"/>
  <c r="D44" i="29"/>
  <c r="R160" i="29"/>
  <c r="R166" i="29" s="1"/>
  <c r="M160" i="29"/>
  <c r="M166" i="29" s="1"/>
  <c r="N138" i="29"/>
  <c r="N139" i="29"/>
  <c r="I148" i="29"/>
  <c r="I149" i="29"/>
  <c r="J148" i="29"/>
  <c r="N158" i="29"/>
  <c r="O159" i="29"/>
  <c r="O165" i="29" s="1"/>
  <c r="F160" i="29"/>
  <c r="F166" i="29" s="1"/>
  <c r="D160" i="29"/>
  <c r="D166" i="29" s="1"/>
  <c r="D63" i="29"/>
  <c r="D139" i="29" s="1"/>
  <c r="E58" i="29"/>
  <c r="D58" i="29"/>
  <c r="K19" i="28"/>
  <c r="AV82" i="28"/>
  <c r="J28" i="28"/>
  <c r="AU91" i="28"/>
  <c r="AU83" i="28"/>
  <c r="AU90" i="28"/>
  <c r="AW83" i="28"/>
  <c r="AW90" i="28"/>
  <c r="AV83" i="28"/>
  <c r="AV90" i="28"/>
  <c r="J27" i="28"/>
  <c r="L27" i="28"/>
  <c r="K27" i="28"/>
  <c r="H138" i="29"/>
  <c r="H44" i="29"/>
  <c r="H63" i="29"/>
  <c r="H139" i="29" s="1"/>
  <c r="I58" i="29"/>
  <c r="I69" i="29"/>
  <c r="I72" i="29"/>
  <c r="E69" i="29"/>
  <c r="E72" i="29"/>
  <c r="I139" i="29"/>
  <c r="F59" i="29"/>
  <c r="G28" i="29"/>
  <c r="G59" i="29" s="1"/>
  <c r="G164" i="29"/>
  <c r="H28" i="29"/>
  <c r="H164" i="29"/>
  <c r="I28" i="29"/>
  <c r="I164" i="29"/>
  <c r="E59" i="29"/>
  <c r="L28" i="29"/>
  <c r="L164" i="29"/>
  <c r="M28" i="29"/>
  <c r="AW75" i="28" s="1"/>
  <c r="M164" i="29"/>
  <c r="K28" i="29"/>
  <c r="K164" i="29"/>
  <c r="L68" i="29"/>
  <c r="L139" i="29"/>
  <c r="F68" i="29"/>
  <c r="F139" i="29"/>
  <c r="J63" i="29"/>
  <c r="I10" i="28"/>
  <c r="J138" i="29"/>
  <c r="C68" i="29"/>
  <c r="C139" i="29"/>
  <c r="K68" i="29"/>
  <c r="K139" i="29"/>
  <c r="G68" i="29"/>
  <c r="G139" i="29"/>
  <c r="M68" i="29"/>
  <c r="M139" i="29"/>
  <c r="J58" i="29"/>
  <c r="J44" i="29"/>
  <c r="K58" i="29"/>
  <c r="R18" i="28"/>
  <c r="AY56" i="28" s="1"/>
  <c r="AY58" i="28" s="1"/>
  <c r="J52" i="29"/>
  <c r="K160" i="29" l="1"/>
  <c r="K166" i="29" s="1"/>
  <c r="D68" i="29"/>
  <c r="N160" i="29"/>
  <c r="N166" i="29" s="1"/>
  <c r="AX92" i="28"/>
  <c r="M29" i="28"/>
  <c r="O158" i="29"/>
  <c r="O160" i="29" s="1"/>
  <c r="O166" i="29" s="1"/>
  <c r="I158" i="29"/>
  <c r="J159" i="29"/>
  <c r="J165" i="29" s="1"/>
  <c r="I159" i="29"/>
  <c r="I165" i="29" s="1"/>
  <c r="K20" i="28"/>
  <c r="L29" i="28"/>
  <c r="AW92" i="28"/>
  <c r="O149" i="29"/>
  <c r="O148" i="29"/>
  <c r="K28" i="28"/>
  <c r="AV91" i="28"/>
  <c r="P137" i="29"/>
  <c r="P147" i="29"/>
  <c r="P157" i="29"/>
  <c r="P159" i="29" s="1"/>
  <c r="P165" i="29" s="1"/>
  <c r="P106" i="29"/>
  <c r="L20" i="28"/>
  <c r="J29" i="28"/>
  <c r="AU92" i="28"/>
  <c r="O138" i="29"/>
  <c r="O139" i="29"/>
  <c r="N26" i="28"/>
  <c r="N27" i="28" s="1"/>
  <c r="K29" i="28"/>
  <c r="AV92" i="28"/>
  <c r="Q147" i="29"/>
  <c r="Q137" i="29"/>
  <c r="Q157" i="29"/>
  <c r="Q158" i="29" s="1"/>
  <c r="J12" i="28"/>
  <c r="AU75" i="28"/>
  <c r="K12" i="28"/>
  <c r="AV75" i="28"/>
  <c r="AT83" i="28"/>
  <c r="AT90" i="28"/>
  <c r="I27" i="28"/>
  <c r="H68" i="29"/>
  <c r="F69" i="29"/>
  <c r="F72" i="29"/>
  <c r="G69" i="29"/>
  <c r="G72" i="29"/>
  <c r="L72" i="29"/>
  <c r="M72" i="29"/>
  <c r="K72" i="29"/>
  <c r="D69" i="29"/>
  <c r="D72" i="29"/>
  <c r="C69" i="29"/>
  <c r="C72" i="29"/>
  <c r="L12" i="28"/>
  <c r="R59" i="29"/>
  <c r="M59" i="29"/>
  <c r="L59" i="29"/>
  <c r="H59" i="29"/>
  <c r="I59" i="29"/>
  <c r="J28" i="29"/>
  <c r="J164" i="29"/>
  <c r="J68" i="29"/>
  <c r="J139" i="29"/>
  <c r="M69" i="29"/>
  <c r="K69" i="29"/>
  <c r="L69" i="29"/>
  <c r="P148" i="29" l="1"/>
  <c r="P149" i="29"/>
  <c r="J160" i="29"/>
  <c r="J166" i="29" s="1"/>
  <c r="I160" i="29"/>
  <c r="I166" i="29" s="1"/>
  <c r="Q148" i="29"/>
  <c r="Q149" i="29"/>
  <c r="P139" i="29"/>
  <c r="P138" i="29"/>
  <c r="O26" i="28"/>
  <c r="O27" i="28" s="1"/>
  <c r="P158" i="29"/>
  <c r="Q159" i="29"/>
  <c r="Q165" i="29" s="1"/>
  <c r="P26" i="28"/>
  <c r="P27" i="28" s="1"/>
  <c r="Q138" i="29"/>
  <c r="Q139" i="29"/>
  <c r="AT91" i="28"/>
  <c r="I28" i="28"/>
  <c r="K59" i="29"/>
  <c r="AT75" i="28"/>
  <c r="H69" i="29"/>
  <c r="H72" i="29"/>
  <c r="J72" i="29"/>
  <c r="I12" i="28"/>
  <c r="J59" i="29"/>
  <c r="J69" i="29"/>
  <c r="J20" i="28"/>
  <c r="M23" i="28"/>
  <c r="AT92" i="28" l="1"/>
  <c r="I29" i="28"/>
  <c r="P160" i="29"/>
  <c r="P166" i="29" s="1"/>
  <c r="Q160" i="29"/>
  <c r="Q166" i="29" s="1"/>
  <c r="M20" i="28"/>
  <c r="I20" i="28"/>
  <c r="R23" i="28" l="1"/>
  <c r="R20" i="28" l="1"/>
  <c r="M22" i="28" l="1"/>
  <c r="R22" i="28"/>
  <c r="AB11" i="29"/>
  <c r="AB10" i="29"/>
  <c r="AB12" i="29" l="1"/>
  <c r="BD54" i="28" s="1"/>
  <c r="AB101" i="29" l="1"/>
  <c r="AB15" i="29"/>
  <c r="AB49" i="29"/>
  <c r="AB13" i="29"/>
  <c r="W8" i="28"/>
  <c r="BD55" i="28" s="1"/>
  <c r="AB221" i="29"/>
  <c r="AB57" i="29"/>
  <c r="AB112" i="29" s="1"/>
  <c r="AG112" i="29" s="1"/>
  <c r="BD81" i="28" l="1"/>
  <c r="W18" i="28"/>
  <c r="BD56" i="28" s="1"/>
  <c r="AB180" i="29"/>
  <c r="AB16" i="29"/>
  <c r="AB42" i="29" s="1"/>
  <c r="AB103" i="29"/>
  <c r="AB116" i="29"/>
  <c r="AB185" i="29" s="1"/>
  <c r="AB118" i="29"/>
  <c r="AB102" i="29"/>
  <c r="AB124" i="29"/>
  <c r="AG124" i="29" s="1"/>
  <c r="AB104" i="29"/>
  <c r="AB105" i="29"/>
  <c r="AB125" i="29"/>
  <c r="AG125" i="29" s="1"/>
  <c r="AB117" i="29"/>
  <c r="W19" i="28" l="1"/>
  <c r="BD82" i="28"/>
  <c r="AB188" i="29"/>
  <c r="AB186" i="29"/>
  <c r="AB182" i="29"/>
  <c r="AB181" i="29"/>
  <c r="AB183" i="29"/>
  <c r="AB184" i="29"/>
  <c r="AB122" i="29"/>
  <c r="AB128" i="29" s="1"/>
  <c r="AB19" i="29"/>
  <c r="AB20" i="29" s="1"/>
  <c r="AB190" i="29" l="1"/>
  <c r="AB21" i="29"/>
  <c r="AB43" i="29"/>
  <c r="AB24" i="29"/>
  <c r="AB63" i="29" l="1"/>
  <c r="BD73" i="28"/>
  <c r="W10" i="28"/>
  <c r="BD61" i="28" s="1"/>
  <c r="BD62" i="28" s="1"/>
  <c r="AB25" i="29"/>
  <c r="AB219" i="29" s="1"/>
  <c r="AB66" i="29" s="1"/>
  <c r="AB58" i="29"/>
  <c r="AB44" i="29"/>
  <c r="BD83" i="28" l="1"/>
  <c r="BD85" i="28"/>
  <c r="K47" i="28"/>
  <c r="K48" i="28" s="1"/>
  <c r="W22" i="28"/>
  <c r="W20" i="28"/>
  <c r="AB26" i="29"/>
  <c r="AB130" i="29" s="1"/>
  <c r="AB28" i="29" l="1"/>
  <c r="BD75" i="28" s="1"/>
  <c r="AB170" i="29"/>
  <c r="AB191" i="29" s="1"/>
  <c r="AG10" i="29"/>
  <c r="AG11" i="29"/>
  <c r="W12" i="28" l="1"/>
  <c r="BD67" i="28" s="1"/>
  <c r="BD68" i="28" s="1"/>
  <c r="AB59" i="29"/>
  <c r="AB156" i="29"/>
  <c r="AB164" i="29" s="1"/>
  <c r="AB140" i="29"/>
  <c r="AB131" i="29"/>
  <c r="AG12" i="29"/>
  <c r="BI54" i="28" s="1"/>
  <c r="BD86" i="28" l="1"/>
  <c r="AB8" i="28"/>
  <c r="AG101" i="29"/>
  <c r="AG180" i="29" s="1"/>
  <c r="K45" i="28"/>
  <c r="K46" i="28" s="1"/>
  <c r="S46" i="28"/>
  <c r="W23" i="28"/>
  <c r="AG15" i="29"/>
  <c r="AG49" i="29"/>
  <c r="AG13" i="29"/>
  <c r="AG57" i="29"/>
  <c r="AG221" i="29"/>
  <c r="BI81" i="28" l="1"/>
  <c r="BI55" i="28"/>
  <c r="AB18" i="28"/>
  <c r="BI56" i="28" s="1"/>
  <c r="AG102" i="29"/>
  <c r="AG181" i="29" s="1"/>
  <c r="AG105" i="29"/>
  <c r="AG183" i="29" s="1"/>
  <c r="AG117" i="29"/>
  <c r="AG186" i="29" s="1"/>
  <c r="AG118" i="29"/>
  <c r="AG188" i="29" s="1"/>
  <c r="AG116" i="29"/>
  <c r="AG185" i="29" s="1"/>
  <c r="AG103" i="29"/>
  <c r="AG182" i="29" s="1"/>
  <c r="AG16" i="29"/>
  <c r="AG42" i="29" s="1"/>
  <c r="AG104" i="29"/>
  <c r="AG184" i="29" s="1"/>
  <c r="AB19" i="28" l="1"/>
  <c r="BI82" i="28"/>
  <c r="AG19" i="29"/>
  <c r="AG20" i="29" s="1"/>
  <c r="AG21" i="29" s="1"/>
  <c r="AG190" i="29"/>
  <c r="AG122" i="29"/>
  <c r="AG128" i="29" s="1"/>
  <c r="AB10" i="28" l="1"/>
  <c r="BI61" i="28" s="1"/>
  <c r="BI62" i="28" s="1"/>
  <c r="BI73" i="28"/>
  <c r="AG24" i="29"/>
  <c r="AG25" i="29" s="1"/>
  <c r="AG219" i="29" s="1"/>
  <c r="AG66" i="29" s="1"/>
  <c r="AG43" i="29"/>
  <c r="AG67" i="29"/>
  <c r="AG58" i="29"/>
  <c r="AG44" i="29"/>
  <c r="AG63" i="29"/>
  <c r="AB22" i="28" l="1"/>
  <c r="AB20" i="28"/>
  <c r="L47" i="28"/>
  <c r="L48" i="28" s="1"/>
  <c r="BI85" i="28"/>
  <c r="BI83" i="28"/>
  <c r="AG68" i="29"/>
  <c r="AG26" i="29"/>
  <c r="AG130" i="29" s="1"/>
  <c r="S122" i="29"/>
  <c r="S150" i="29" s="1"/>
  <c r="S151" i="29" l="1"/>
  <c r="S152" i="29"/>
  <c r="T151" i="29"/>
  <c r="AG69" i="29"/>
  <c r="AG28" i="29"/>
  <c r="BI75" i="28" s="1"/>
  <c r="AG170" i="29"/>
  <c r="AG191" i="29" s="1"/>
  <c r="AG72" i="29"/>
  <c r="S147" i="29"/>
  <c r="S157" i="29"/>
  <c r="S159" i="29" s="1"/>
  <c r="S165" i="29" s="1"/>
  <c r="N28" i="28" s="1"/>
  <c r="S128" i="29"/>
  <c r="S131" i="29" s="1"/>
  <c r="AG59" i="29" l="1"/>
  <c r="AB12" i="28"/>
  <c r="BI67" i="28" s="1"/>
  <c r="BI68" i="28" s="1"/>
  <c r="AG156" i="29"/>
  <c r="AG164" i="29" s="1"/>
  <c r="AG140" i="29"/>
  <c r="AG131" i="29"/>
  <c r="AG70" i="29"/>
  <c r="AG214" i="29"/>
  <c r="S158" i="29"/>
  <c r="S160" i="29" s="1"/>
  <c r="S166" i="29" s="1"/>
  <c r="N29" i="28" s="1"/>
  <c r="T159" i="29"/>
  <c r="T165" i="29" s="1"/>
  <c r="O28" i="28" s="1"/>
  <c r="S149" i="29"/>
  <c r="T148" i="29"/>
  <c r="S148" i="29"/>
  <c r="U122" i="29"/>
  <c r="BI77" i="28" l="1"/>
  <c r="BI86" i="28"/>
  <c r="AG71" i="29"/>
  <c r="AB14" i="28"/>
  <c r="AB23" i="28"/>
  <c r="X46" i="28"/>
  <c r="L45" i="28"/>
  <c r="L46" i="28" s="1"/>
  <c r="T160" i="29"/>
  <c r="T166" i="29" s="1"/>
  <c r="O29" i="28" s="1"/>
  <c r="U128" i="29"/>
  <c r="U131" i="29" s="1"/>
  <c r="AB16" i="28" l="1"/>
  <c r="BI87" i="28" s="1"/>
  <c r="BI79" i="28"/>
  <c r="V67" i="29"/>
  <c r="V68" i="29" s="1"/>
  <c r="V214" i="29"/>
  <c r="AB24" i="28" l="1"/>
  <c r="L49" i="28"/>
  <c r="L50" i="28" s="1"/>
  <c r="V72" i="29"/>
  <c r="V69" i="29"/>
  <c r="V70" i="29"/>
  <c r="V60" i="29" s="1"/>
  <c r="V71" i="29" l="1"/>
  <c r="V61" i="29" s="1"/>
  <c r="AB67" i="29"/>
  <c r="AB68" i="29" s="1"/>
  <c r="AB214" i="29"/>
  <c r="AB70" i="29" l="1"/>
  <c r="AB69" i="29"/>
  <c r="AB72" i="29"/>
  <c r="AG60" i="29" l="1"/>
  <c r="BD77" i="28"/>
  <c r="AC60" i="29"/>
  <c r="AB71" i="29"/>
  <c r="W14" i="28"/>
  <c r="U67" i="29"/>
  <c r="U68" i="29" s="1"/>
  <c r="U72" i="29" s="1"/>
  <c r="W190" i="29"/>
  <c r="U70" i="29"/>
  <c r="U60" i="29" s="1"/>
  <c r="U71" i="29" l="1"/>
  <c r="U61" i="29" s="1"/>
  <c r="AG61" i="29"/>
  <c r="AC61" i="29"/>
  <c r="W16" i="28"/>
  <c r="BD87" i="28" s="1"/>
  <c r="BD79" i="28"/>
  <c r="W67" i="29"/>
  <c r="W68" i="29" s="1"/>
  <c r="W72" i="29" s="1"/>
  <c r="W191" i="29"/>
  <c r="U69" i="29"/>
  <c r="U214" i="29"/>
  <c r="U216" i="29" s="1"/>
  <c r="K49" i="28" l="1"/>
  <c r="K50" i="28" s="1"/>
  <c r="W24" i="28"/>
  <c r="W69" i="29"/>
  <c r="Z215" i="29"/>
  <c r="Z216" i="29" s="1"/>
  <c r="AE215" i="29" s="1"/>
  <c r="AE216" i="29" s="1"/>
  <c r="U100" i="29"/>
  <c r="V215" i="29"/>
  <c r="V216" i="29" s="1"/>
  <c r="W214" i="29"/>
  <c r="W216" i="29" s="1"/>
  <c r="AB215" i="29" s="1"/>
  <c r="AB216" i="29" s="1"/>
  <c r="W70" i="29"/>
  <c r="AY77" i="28" l="1"/>
  <c r="W60" i="29"/>
  <c r="X60" i="29"/>
  <c r="AB60" i="29"/>
  <c r="W71" i="29"/>
  <c r="R14" i="28"/>
  <c r="AA215" i="29"/>
  <c r="AA216" i="29" s="1"/>
  <c r="AF215" i="29" s="1"/>
  <c r="AF216" i="29" s="1"/>
  <c r="V100" i="29"/>
  <c r="U137" i="29"/>
  <c r="U107" i="29"/>
  <c r="U150" i="29" s="1"/>
  <c r="U152" i="29" s="1"/>
  <c r="AB100" i="29"/>
  <c r="AG215" i="29"/>
  <c r="AG216" i="29" s="1"/>
  <c r="AG100" i="29" s="1"/>
  <c r="W61" i="29" l="1"/>
  <c r="X61" i="29"/>
  <c r="AB61" i="29"/>
  <c r="R16" i="28"/>
  <c r="AY87" i="28" s="1"/>
  <c r="AY79" i="28"/>
  <c r="U138" i="29"/>
  <c r="U139" i="29"/>
  <c r="U114" i="29"/>
  <c r="U132" i="29" s="1"/>
  <c r="U147" i="29"/>
  <c r="U149" i="29" s="1"/>
  <c r="T26" i="28"/>
  <c r="AG137" i="29"/>
  <c r="AG107" i="29"/>
  <c r="AG150" i="29" s="1"/>
  <c r="W100" i="29"/>
  <c r="V137" i="29"/>
  <c r="V107" i="29"/>
  <c r="V150" i="29" s="1"/>
  <c r="V152" i="29" s="1"/>
  <c r="AB107" i="29"/>
  <c r="AB150" i="29" s="1"/>
  <c r="AB137" i="29"/>
  <c r="BD89" i="28" s="1"/>
  <c r="J49" i="28" l="1"/>
  <c r="J50" i="28" s="1"/>
  <c r="R24" i="28"/>
  <c r="AB26" i="28"/>
  <c r="BI90" i="28" s="1"/>
  <c r="BI89" i="28"/>
  <c r="T27" i="28"/>
  <c r="AB152" i="29"/>
  <c r="AG151" i="29"/>
  <c r="AG152" i="29"/>
  <c r="V139" i="29"/>
  <c r="V138" i="29"/>
  <c r="W107" i="29"/>
  <c r="W150" i="29" s="1"/>
  <c r="W137" i="29"/>
  <c r="AB114" i="29"/>
  <c r="AB132" i="29" s="1"/>
  <c r="AB147" i="29"/>
  <c r="AG114" i="29"/>
  <c r="AG132" i="29" s="1"/>
  <c r="AG147" i="29"/>
  <c r="AG139" i="29"/>
  <c r="AG138" i="29"/>
  <c r="AB138" i="29"/>
  <c r="AB139" i="29"/>
  <c r="W26" i="28"/>
  <c r="V147" i="29"/>
  <c r="V149" i="29" s="1"/>
  <c r="V114" i="29"/>
  <c r="U26" i="28"/>
  <c r="U155" i="29"/>
  <c r="U163" i="29" s="1"/>
  <c r="U157" i="29"/>
  <c r="AB27" i="28" l="1"/>
  <c r="W139" i="29"/>
  <c r="AY89" i="28"/>
  <c r="BD90" i="28"/>
  <c r="U27" i="28"/>
  <c r="V155" i="29"/>
  <c r="V163" i="29" s="1"/>
  <c r="V132" i="29"/>
  <c r="W152" i="29"/>
  <c r="W151" i="29"/>
  <c r="AB151" i="29"/>
  <c r="U159" i="29"/>
  <c r="U165" i="29" s="1"/>
  <c r="P28" i="28" s="1"/>
  <c r="U158" i="29"/>
  <c r="AB149" i="29"/>
  <c r="W27" i="28"/>
  <c r="AB157" i="29"/>
  <c r="AG149" i="29"/>
  <c r="AG148" i="29"/>
  <c r="R26" i="28"/>
  <c r="AY90" i="28" s="1"/>
  <c r="V26" i="28"/>
  <c r="W138" i="29"/>
  <c r="V157" i="29"/>
  <c r="V158" i="29" s="1"/>
  <c r="AG157" i="29"/>
  <c r="AG155" i="29"/>
  <c r="AG163" i="29" s="1"/>
  <c r="W147" i="29"/>
  <c r="AB148" i="29" s="1"/>
  <c r="W114" i="29"/>
  <c r="V27" i="28" l="1"/>
  <c r="R27" i="28"/>
  <c r="AB155" i="29"/>
  <c r="AB163" i="29" s="1"/>
  <c r="W132" i="29"/>
  <c r="AG159" i="29"/>
  <c r="AG165" i="29" s="1"/>
  <c r="AG158" i="29"/>
  <c r="W157" i="29"/>
  <c r="AB159" i="29" s="1"/>
  <c r="AB165" i="29" s="1"/>
  <c r="W155" i="29"/>
  <c r="W163" i="29" s="1"/>
  <c r="V160" i="29"/>
  <c r="V166" i="29" s="1"/>
  <c r="Q29" i="28" s="1"/>
  <c r="U160" i="29"/>
  <c r="U166" i="29" s="1"/>
  <c r="P29" i="28" s="1"/>
  <c r="W148" i="29"/>
  <c r="W149" i="29"/>
  <c r="AB158" i="29"/>
  <c r="V159" i="29"/>
  <c r="V165" i="29" s="1"/>
  <c r="Q28" i="28" s="1"/>
  <c r="W28" i="28" l="1"/>
  <c r="BD91" i="28"/>
  <c r="AB28" i="28"/>
  <c r="BI91" i="28"/>
  <c r="W158" i="29"/>
  <c r="AB160" i="29" s="1"/>
  <c r="AB166" i="29" s="1"/>
  <c r="W159" i="29"/>
  <c r="W165" i="29" s="1"/>
  <c r="AG160" i="29"/>
  <c r="AG166" i="29" s="1"/>
  <c r="AC160" i="29"/>
  <c r="AB29" i="28" l="1"/>
  <c r="BI92" i="28"/>
  <c r="R28" i="28"/>
  <c r="AY91" i="28"/>
  <c r="W29" i="28"/>
  <c r="BD92" i="28"/>
  <c r="X160" i="29"/>
  <c r="W160" i="29"/>
  <c r="W166" i="29" s="1"/>
  <c r="W13" i="28"/>
  <c r="BD69" i="28" s="1"/>
  <c r="AA36" i="29"/>
  <c r="R29" i="28" l="1"/>
  <c r="AY92" i="28"/>
  <c r="BD70" i="28"/>
  <c r="BI70" i="28"/>
  <c r="D21" i="28" l="1"/>
  <c r="D23" i="28" s="1"/>
  <c r="D24" i="28" s="1"/>
  <c r="AO34" i="28"/>
  <c r="D15" i="28" s="1"/>
  <c r="D17" i="28" s="1"/>
  <c r="D18" i="28" s="1"/>
  <c r="AO36" i="28"/>
  <c r="AO37" i="28"/>
  <c r="AH34" i="28"/>
  <c r="D27" i="28" s="1"/>
  <c r="D29" i="28" s="1"/>
  <c r="AH37" i="28"/>
  <c r="D30" i="28" s="1"/>
  <c r="AO40" i="28"/>
  <c r="AO42" i="28" s="1"/>
  <c r="AO43" i="28" s="1"/>
  <c r="AH39" i="28"/>
  <c r="D32" i="28"/>
  <c r="D31" i="28" l="1"/>
  <c r="D33" i="28" s="1"/>
  <c r="D34" i="28" s="1"/>
  <c r="AH36" i="28"/>
  <c r="AH38" i="28" s="1"/>
  <c r="AH42" i="28" s="1"/>
  <c r="AH47" i="28" l="1"/>
  <c r="AH48" i="28" s="1"/>
  <c r="AH43" i="28"/>
  <c r="AN43" i="28"/>
  <c r="AN42" i="28"/>
  <c r="AN37" i="28"/>
  <c r="AN36" i="28"/>
  <c r="E30" i="28"/>
  <c r="AI37" i="28"/>
  <c r="F34" i="28"/>
  <c r="F33" i="28"/>
  <c r="F27" i="28"/>
  <c r="F29" i="28"/>
  <c r="F31" i="28"/>
  <c r="AP43" i="28"/>
  <c r="AP42" i="28"/>
  <c r="AF39" i="28"/>
  <c r="F32" i="28"/>
  <c r="AG39" i="28"/>
  <c r="AP36" i="28"/>
  <c r="AP37" i="28"/>
  <c r="AI43" i="28"/>
  <c r="E24" i="28"/>
  <c r="E23" i="28"/>
  <c r="AP40" i="28"/>
  <c r="E21" i="28"/>
  <c r="AM40" i="28"/>
  <c r="AM42" i="28"/>
  <c r="AM43" i="28"/>
  <c r="AP34" i="28"/>
  <c r="E15" i="28"/>
  <c r="E17" i="28"/>
  <c r="E18" i="28"/>
  <c r="E34" i="28"/>
  <c r="E27" i="28"/>
  <c r="E29" i="28"/>
  <c r="E31" i="28"/>
  <c r="E33" i="28"/>
  <c r="AI39" i="28"/>
  <c r="E32" i="28"/>
  <c r="AF37" i="28"/>
  <c r="AN34" i="28"/>
  <c r="F15" i="28"/>
  <c r="F17" i="28"/>
  <c r="F18" i="28"/>
  <c r="AG43" i="28"/>
  <c r="AF43" i="28"/>
  <c r="AG34" i="28"/>
  <c r="AG36" i="28"/>
  <c r="AG38" i="28"/>
  <c r="AG42" i="28"/>
  <c r="AG47" i="28"/>
  <c r="AG48" i="28"/>
  <c r="AN40" i="28"/>
  <c r="F21" i="28"/>
  <c r="F23" i="28"/>
  <c r="F24" i="28"/>
  <c r="AM34" i="28"/>
  <c r="AM36" i="28"/>
  <c r="AM37" i="28"/>
  <c r="AG37" i="28"/>
  <c r="F30" i="28"/>
  <c r="AI34" i="28"/>
  <c r="AI36" i="28"/>
  <c r="AI38" i="28"/>
  <c r="AI42" i="28"/>
  <c r="AI47" i="28"/>
  <c r="AI48" i="28"/>
  <c r="AF34" i="28"/>
  <c r="AF36" i="28"/>
  <c r="AF38" i="28"/>
  <c r="AF42" i="28"/>
  <c r="AF47" i="28"/>
  <c r="AF48" i="28"/>
</calcChain>
</file>

<file path=xl/sharedStrings.xml><?xml version="1.0" encoding="utf-8"?>
<sst xmlns="http://schemas.openxmlformats.org/spreadsheetml/2006/main" count="543" uniqueCount="364">
  <si>
    <t>Share Price</t>
  </si>
  <si>
    <t>Invested Capital</t>
  </si>
  <si>
    <t>Price Target</t>
  </si>
  <si>
    <t>EPS</t>
  </si>
  <si>
    <t>EBITDA</t>
  </si>
  <si>
    <t>EV/EBITDA</t>
  </si>
  <si>
    <t>Total</t>
  </si>
  <si>
    <t>2015E</t>
  </si>
  <si>
    <t>Target Price</t>
  </si>
  <si>
    <t>FCF Yield</t>
  </si>
  <si>
    <t>2016E</t>
  </si>
  <si>
    <t>2017E</t>
  </si>
  <si>
    <t>FCF/share</t>
  </si>
  <si>
    <t>Net Debt</t>
  </si>
  <si>
    <t>NA</t>
  </si>
  <si>
    <t>Total Operating Expenses</t>
  </si>
  <si>
    <t>Tax Rate</t>
  </si>
  <si>
    <t>Gross Profit</t>
  </si>
  <si>
    <t>EBIT</t>
  </si>
  <si>
    <t>Margins</t>
  </si>
  <si>
    <t>High</t>
  </si>
  <si>
    <t>Low</t>
  </si>
  <si>
    <t>Close</t>
  </si>
  <si>
    <t>P/Sales (forward)</t>
  </si>
  <si>
    <t>P/FCF (forward)</t>
  </si>
  <si>
    <t>Traditional EV/Sales (forward)</t>
  </si>
  <si>
    <t>Adjusted EV/Sales (forward)</t>
  </si>
  <si>
    <t>Property &amp; Equipment, net</t>
  </si>
  <si>
    <t>Intangibles, net</t>
  </si>
  <si>
    <t>Goodwill</t>
  </si>
  <si>
    <t>Deferred Income Taxes</t>
  </si>
  <si>
    <t>Land purchase options &amp; other assets</t>
  </si>
  <si>
    <t>Total Assets</t>
  </si>
  <si>
    <t>Deferred income taxes</t>
  </si>
  <si>
    <t>Income taxes payable</t>
  </si>
  <si>
    <t>Long-term debt, less current portion</t>
  </si>
  <si>
    <t>Other liabilities</t>
  </si>
  <si>
    <t>Total Liabilities</t>
  </si>
  <si>
    <t>Net Income</t>
  </si>
  <si>
    <t>Net debt</t>
  </si>
  <si>
    <t>Revenue</t>
  </si>
  <si>
    <t>Dashboard Summary</t>
  </si>
  <si>
    <t>$M, unless otherwise stated</t>
  </si>
  <si>
    <t>Q1</t>
  </si>
  <si>
    <t>Q2</t>
  </si>
  <si>
    <t>Q3</t>
  </si>
  <si>
    <t>Q4</t>
  </si>
  <si>
    <t>Q4E</t>
  </si>
  <si>
    <t>Q1E</t>
  </si>
  <si>
    <t>Q2E</t>
  </si>
  <si>
    <t>Q3E</t>
  </si>
  <si>
    <t>2018E</t>
  </si>
  <si>
    <t>Consensus</t>
  </si>
  <si>
    <t>Market cap</t>
  </si>
  <si>
    <t>Enterprise value</t>
  </si>
  <si>
    <t>FCF ($)</t>
  </si>
  <si>
    <t>EBITDA VALUATION</t>
  </si>
  <si>
    <t>Base</t>
  </si>
  <si>
    <t>Revenue growth</t>
  </si>
  <si>
    <t>EBITDA margin</t>
  </si>
  <si>
    <t>P/EPS</t>
  </si>
  <si>
    <t>Shares outstanding (m)</t>
  </si>
  <si>
    <t>Net debt / EBITDA</t>
  </si>
  <si>
    <t>ROIC</t>
  </si>
  <si>
    <t>ROIC (ex-goodwill &amp; intangibles)</t>
  </si>
  <si>
    <t>CPRT (Copart)</t>
  </si>
  <si>
    <t>Projected</t>
  </si>
  <si>
    <t>Gross Profit Margin %</t>
  </si>
  <si>
    <t>FCF Yield %</t>
  </si>
  <si>
    <t>Earnings Model</t>
  </si>
  <si>
    <t>Line Items $m, except where noted</t>
  </si>
  <si>
    <t>INCOME STATEMENT</t>
  </si>
  <si>
    <t>Total Revenue</t>
  </si>
  <si>
    <t>% of sales</t>
  </si>
  <si>
    <t>(-) Cash Interest</t>
  </si>
  <si>
    <t>(-) Capex</t>
  </si>
  <si>
    <t>(-) Cash Taxes</t>
  </si>
  <si>
    <t>Return Metrics</t>
  </si>
  <si>
    <t>ROIC (ex-goodwill/intangibles)</t>
  </si>
  <si>
    <t>BALANCE SHEET</t>
  </si>
  <si>
    <t>Accounts Receivable</t>
  </si>
  <si>
    <t>Inventories</t>
  </si>
  <si>
    <t>Current Assets</t>
  </si>
  <si>
    <t>Current Liabilities</t>
  </si>
  <si>
    <t>Total Equity</t>
  </si>
  <si>
    <t>Total Liabilities and Equity</t>
  </si>
  <si>
    <t>Leverage Metrics</t>
  </si>
  <si>
    <t>Working Capital</t>
  </si>
  <si>
    <t>AR Days</t>
  </si>
  <si>
    <t>Inventory Days</t>
  </si>
  <si>
    <t>AP Days</t>
  </si>
  <si>
    <t>Net Working Capital</t>
  </si>
  <si>
    <t>CASH FLOW</t>
  </si>
  <si>
    <t>Other</t>
  </si>
  <si>
    <t>FX Effect</t>
  </si>
  <si>
    <t>Change in cash</t>
  </si>
  <si>
    <t>Beginning cash</t>
  </si>
  <si>
    <t>Ending cash</t>
  </si>
  <si>
    <t>Cash interest paid</t>
  </si>
  <si>
    <t>Cash taxes paid</t>
  </si>
  <si>
    <t>Capex/Sales %</t>
  </si>
  <si>
    <t>Capex/D&amp;A %</t>
  </si>
  <si>
    <t>% of Sales</t>
  </si>
  <si>
    <t>Copart (CPRT)</t>
  </si>
  <si>
    <t>Service Revenue</t>
  </si>
  <si>
    <t>Vehicle Sales Revenue</t>
  </si>
  <si>
    <t>$mn (July FY-end)</t>
  </si>
  <si>
    <t>Marketable Securities</t>
  </si>
  <si>
    <t>Income taxes receivable</t>
  </si>
  <si>
    <t xml:space="preserve">Vehicle pooling costs </t>
  </si>
  <si>
    <t>Total Cash &amp; Short-term investments</t>
  </si>
  <si>
    <t>Cash &amp; equivalents</t>
  </si>
  <si>
    <t>Accounts payable &amp; accrued liabilities</t>
  </si>
  <si>
    <t>Deferred revenue</t>
  </si>
  <si>
    <t>Other current liabilities</t>
  </si>
  <si>
    <t>Other Assets</t>
  </si>
  <si>
    <t>(-) Yard operations</t>
  </si>
  <si>
    <t>(-) Cost of Vehicle Sales</t>
  </si>
  <si>
    <t>(-) General and Administrative</t>
  </si>
  <si>
    <t>(-) Yard D&amp;A</t>
  </si>
  <si>
    <t>(-) General and Administrative D&amp;A</t>
  </si>
  <si>
    <t>(-) Other Income, net</t>
  </si>
  <si>
    <t>PBT</t>
  </si>
  <si>
    <t>(-) Taxes</t>
  </si>
  <si>
    <t>Fully Diluted Shares Outstanding</t>
  </si>
  <si>
    <t>Diluted EPS</t>
  </si>
  <si>
    <t>EBITDA Margin %</t>
  </si>
  <si>
    <t>Operating Margin %</t>
  </si>
  <si>
    <t>Gross Margin %</t>
  </si>
  <si>
    <t>Free Cash Flow</t>
  </si>
  <si>
    <t>Growth Rates</t>
  </si>
  <si>
    <t>Revenue growth y/y %</t>
  </si>
  <si>
    <t>EBITDA growth y/y %</t>
  </si>
  <si>
    <t>EPS growth y/y %</t>
  </si>
  <si>
    <t>FCF/Share</t>
  </si>
  <si>
    <t>(-) Net Interest Income (Expense)</t>
  </si>
  <si>
    <t>FCF/Share growth y/y %</t>
  </si>
  <si>
    <t>Yard Operations / Sales %</t>
  </si>
  <si>
    <t>G&amp;A / Sales %</t>
  </si>
  <si>
    <t>Cost of Vehicle Sales / Sales %</t>
  </si>
  <si>
    <t>Average Balances</t>
  </si>
  <si>
    <t>Total Invested Capital</t>
  </si>
  <si>
    <t>ROA</t>
  </si>
  <si>
    <t>ROE</t>
  </si>
  <si>
    <t>Invested Capital ex-goodwill/intangibles</t>
  </si>
  <si>
    <t>Total Invested Capital ex-goodwill/intangibles</t>
  </si>
  <si>
    <t>Depreciation &amp; Amortization</t>
  </si>
  <si>
    <t>Allowance for doubtful accounts</t>
  </si>
  <si>
    <t>Deferred rent</t>
  </si>
  <si>
    <t>Share-based compensation</t>
  </si>
  <si>
    <t>Deferred Income taxes</t>
  </si>
  <si>
    <t>Equity in loss of unconsolidated entity</t>
  </si>
  <si>
    <t>Other long-term liabilities</t>
  </si>
  <si>
    <t>Accounts receivable</t>
  </si>
  <si>
    <t>Vehicle pooling costs</t>
  </si>
  <si>
    <t>Inventory</t>
  </si>
  <si>
    <t>Prepaid expenses and other current assets</t>
  </si>
  <si>
    <t>Accounts payable and accrued liabilities</t>
  </si>
  <si>
    <t>Cash from Operating Activities</t>
  </si>
  <si>
    <t>Changes in op. assets &amp; liabilities</t>
  </si>
  <si>
    <t>Purchase of short-term investments</t>
  </si>
  <si>
    <t>Sales of short-term investments</t>
  </si>
  <si>
    <t>Investment in unconsolidated entity</t>
  </si>
  <si>
    <t>Cash from Investing Activities</t>
  </si>
  <si>
    <t>Notes receivable</t>
  </si>
  <si>
    <t>Purchases of PP&amp;E</t>
  </si>
  <si>
    <t>Discontinued Ops</t>
  </si>
  <si>
    <t>(Gain) loss on sale of PP&amp;E</t>
  </si>
  <si>
    <t>Excess tax benefits from SBC</t>
  </si>
  <si>
    <t>Short-term investments</t>
  </si>
  <si>
    <t>Proceeds from the sale of PP&amp;E</t>
  </si>
  <si>
    <t>Proceeds from the exercise of stock options</t>
  </si>
  <si>
    <t>Repurchase of common stock</t>
  </si>
  <si>
    <t>Change in book overdraft</t>
  </si>
  <si>
    <t>Cash from Financing Activities</t>
  </si>
  <si>
    <t>Issuance of employee shares</t>
  </si>
  <si>
    <t>Excess tax benefit from SBC</t>
  </si>
  <si>
    <t>Service Revenue Growth y/y %</t>
  </si>
  <si>
    <t>Vehicle Sales Revenue Growth y/y %</t>
  </si>
  <si>
    <t>Prepaid expenses &amp; other</t>
  </si>
  <si>
    <t>Geographic Mix</t>
  </si>
  <si>
    <t>UK</t>
  </si>
  <si>
    <t>change</t>
  </si>
  <si>
    <t>Adj. Yard Operations / Sales %</t>
  </si>
  <si>
    <t>Adj. G&amp;A / Sales %</t>
  </si>
  <si>
    <t>Sandy Revenue</t>
  </si>
  <si>
    <t>Adjustments</t>
  </si>
  <si>
    <t>QCSA Revenue</t>
  </si>
  <si>
    <t>Adjusted Revenue</t>
  </si>
  <si>
    <t>Adjusted Yard Operations</t>
  </si>
  <si>
    <t>Sandy Yard Opex</t>
  </si>
  <si>
    <t>QCSA Yard Opex</t>
  </si>
  <si>
    <t>Restructuring Yard Opex</t>
  </si>
  <si>
    <t>Sandy G&amp;A</t>
  </si>
  <si>
    <t>QCSA G&amp;A</t>
  </si>
  <si>
    <t>Restructuring/Other G&amp;A</t>
  </si>
  <si>
    <t>Adjusted G&amp;A</t>
  </si>
  <si>
    <t>insurance volumes are ~80% of revenue - Allstate, Nationwide, Farmers.  IAA has Geico, Progressive, State Farm</t>
  </si>
  <si>
    <t>DRIVERS:</t>
  </si>
  <si>
    <t>Acquisitons</t>
  </si>
  <si>
    <t>Websites:</t>
  </si>
  <si>
    <t>http://www.bloomberg.com/news/articles/2002-06-09/turning-rust-into-gold</t>
  </si>
  <si>
    <t>http://www.bloomberg.com/news/articles/2013-01-30/jana-buys-copart-shares-on-reit-conversion-catalyst-potential</t>
  </si>
  <si>
    <t>Short Ratio</t>
  </si>
  <si>
    <t>Call notes (Q216)</t>
  </si>
  <si>
    <t>13.2% unit growth in NA offset by ASP's and US dollar strength</t>
  </si>
  <si>
    <t>Scrap hit a 5 year low. Also getting hit by double whammy of FX (translation, and reduced desire from foreign customers)</t>
  </si>
  <si>
    <t>$58m capex I nthe Q was for land acquisitions, developments, and lease buyouts.</t>
  </si>
  <si>
    <t>Average age of cars on the road is 11.5 and expected to increase</t>
  </si>
  <si>
    <t>"In the next 12 months, we're opening 15 new yards including a 22-acre facility in southern cal - addresses a capacity need that has existed for over 20 years"</t>
  </si>
  <si>
    <t>Also expanding 18 existing facilities</t>
  </si>
  <si>
    <t>G&amp;A spend has come down to $30m - was $36.8m avg in trailing quarters</t>
  </si>
  <si>
    <t>CAPEX: $100m over next 12 months (guide)</t>
  </si>
  <si>
    <t>"we don’t discuss pricing strategies on calls"</t>
  </si>
  <si>
    <t>UK Volume grew 10.5% and 45% was from non-insurance cars</t>
  </si>
  <si>
    <t>"we benefit from a fixed cost model, so most important measurement for us is how many cars we process per yard"</t>
  </si>
  <si>
    <t>Non-insurance volume is growing faster than insurance. Now at 19.9% of volumes up from 19.4% year ago. This is "higher turn" - takes less capacity</t>
  </si>
  <si>
    <t>natural hedges quote (in Word)</t>
  </si>
  <si>
    <t>"We don't manage to a specific target leverage ratio."</t>
  </si>
  <si>
    <t>"We don't comment on share buybacks"</t>
  </si>
  <si>
    <t>Made a $50m investment in AR/Inventory - growing demand. NA inventory was up 16.7%. - landed a big contract</t>
  </si>
  <si>
    <t>foreign participation is returning</t>
  </si>
  <si>
    <t>Q1'16:</t>
  </si>
  <si>
    <t>New CFO has been chopping wood on G&amp;A  - you can see it</t>
  </si>
  <si>
    <t>They don't break out ASP vs. Volume - very secretive on price. Just directionally</t>
  </si>
  <si>
    <t>Volume growth of 5.1% in US</t>
  </si>
  <si>
    <t>Mobile is a growth opp - people are bidding on 5-10 at the same time</t>
  </si>
  <si>
    <t>They landed a top five carrier and its an exclusive long-term agreement</t>
  </si>
  <si>
    <t>Q4'15</t>
  </si>
  <si>
    <t>Volume grew 8.6% In NA</t>
  </si>
  <si>
    <t>"We don't give capex guidance because of uncertainies in buying lands"</t>
  </si>
  <si>
    <t>Q3'15:</t>
  </si>
  <si>
    <t>Profitable in Germany, Brazil, Middle East, Spain. In general we're profitable.</t>
  </si>
  <si>
    <t>They are much larger than KAR so using % terms is tough. Also, quarters don't line up - CPRT ends a month later.</t>
  </si>
  <si>
    <t>"We never comment on calls about the stock price, how we feel about it or how we view it."</t>
  </si>
  <si>
    <t>"We always view the acquisition of another company that grows in our industry against our own stock price and you will have seen historically where we've acted upon that. "</t>
  </si>
  <si>
    <t>Q2'15</t>
  </si>
  <si>
    <t>"We focus on EBIT per car. Not gross profit per car. It's subject to purchased car vs. agency car"</t>
  </si>
  <si>
    <t>Used car pricing is slightly more significant than commodity pricing</t>
  </si>
  <si>
    <t>All these new junkyards they're opening should boost margins - reduces transportation costs</t>
  </si>
  <si>
    <t>Q1'15</t>
  </si>
  <si>
    <t>"We do have a physical auction presence. We have 6000 acres, 150 sites. Buyers can come anytime they want and look."</t>
  </si>
  <si>
    <t>10K 2015:</t>
  </si>
  <si>
    <t>Vehicle sellers: mostly insurance co's but also banks, financial institutions, charities, dealerships, rental companies, fleet operators.</t>
  </si>
  <si>
    <t>Buyers: dismantelrs etc etc (you have this)</t>
  </si>
  <si>
    <t xml:space="preserve">In UK: we purchase salvage vehicles outright and re-sell for our own account. </t>
  </si>
  <si>
    <t>Int'l: sales listing fees on behalf of insurance companies</t>
  </si>
  <si>
    <t>Growth through 1. Acqs 2. Volumes 3. market share 4. revenue per transaction from increases in sales price and value-added services 5. non-insurance co sellers.</t>
  </si>
  <si>
    <t>2013 Acqs: five facilities in Sao Paolo, one in Dubai, one in Germany, one in Spain, and 43 in NA. Opened new facility in NH.</t>
  </si>
  <si>
    <t>2014 Acqs: Acquired one in Canada, one in Brazil, and opened facilities in Delaware and Brazil.</t>
  </si>
  <si>
    <t>2015 Acqs: Opened facilities in Bahrain, Oman, and Canada.</t>
  </si>
  <si>
    <t>Revenue from sellers is generally fixed fee - they get a fixed amt. for selling each vehicle regardless of price</t>
  </si>
  <si>
    <t xml:space="preserve">Other way is PIP program (percentage) - % of total sales price. </t>
  </si>
  <si>
    <t>Fixed fee program also charges for title processing and other prep. Also fees for transport, storage, other incidentals.</t>
  </si>
  <si>
    <t>"Purchased vehicle revenue" is only from UK - have to guess this is lower margin.</t>
  </si>
  <si>
    <t>Growth strategy: 1. acqs 2. supply agreements 3. expanding service offerings 4. new markets new sellers</t>
  </si>
  <si>
    <t>Bull</t>
  </si>
  <si>
    <t>Bear</t>
  </si>
  <si>
    <t>FCF growth y/y %</t>
  </si>
  <si>
    <t>Current portion of LTD</t>
  </si>
  <si>
    <t>2017 EBITDA</t>
  </si>
  <si>
    <t>Copart Capitalization</t>
  </si>
  <si>
    <t>Valuation Overview (FY End: 7/31)</t>
  </si>
  <si>
    <t>EPS VALUATION</t>
  </si>
  <si>
    <t>FCF VALUATION</t>
  </si>
  <si>
    <t>2017 EPS</t>
  </si>
  <si>
    <t>2017 FCF/Share</t>
  </si>
  <si>
    <t xml:space="preserve">P/E </t>
  </si>
  <si>
    <t>Market Cap</t>
  </si>
  <si>
    <t>Enterprise Value</t>
  </si>
  <si>
    <t>(Downside) / Upside</t>
  </si>
  <si>
    <t>Nightmare</t>
  </si>
  <si>
    <t>Blended Average</t>
  </si>
  <si>
    <t>P/E Multiple</t>
  </si>
  <si>
    <t>EV/EBITDA Multiple</t>
  </si>
  <si>
    <t>FCF / Ending Share Yield %</t>
  </si>
  <si>
    <t>Source: NADA.org, IHS Automotive</t>
  </si>
  <si>
    <t>EBITDA %</t>
  </si>
  <si>
    <t>Gross %</t>
  </si>
  <si>
    <t>Diluted Shares Outstanding (m)</t>
  </si>
  <si>
    <t>(+/-) Change in WC</t>
  </si>
  <si>
    <t>CHECK</t>
  </si>
  <si>
    <t>Yard Opex % Sales</t>
  </si>
  <si>
    <t>READ 10-K AGAIN</t>
  </si>
  <si>
    <t>http://www.wsj.com/articles/scrap-metal-sector-is-latest-victim-of-commodities-bust-1457999207</t>
  </si>
  <si>
    <t>http://www.nytimes.com/1986/06/09/us/junkyard-operators-finding-just-no-opportunity-left.html</t>
  </si>
  <si>
    <t>(A) Total Vehicles in Use</t>
  </si>
  <si>
    <t>(B) New-Vehicle Registrations</t>
  </si>
  <si>
    <t>(C) Scrappage</t>
  </si>
  <si>
    <t>(D) Scrappage as % of Total Vehicles</t>
  </si>
  <si>
    <t>(E) Scrappage as % of Registrations</t>
  </si>
  <si>
    <t>(F) Growth in Scrappage</t>
  </si>
  <si>
    <t>20% goes to scrap - lowest ASP - directly affects willingness to pay</t>
  </si>
  <si>
    <t>Revs</t>
  </si>
  <si>
    <t>6. add charts of revenue growth</t>
  </si>
  <si>
    <t>7. add bridge to 2018</t>
  </si>
  <si>
    <t>13. back up your maint capex assumption</t>
  </si>
  <si>
    <t>3. page 3-4 - why is higher scrappage rate better for CPRT revenues? What happened in 2011-2012? Chart?</t>
  </si>
  <si>
    <t>4. working capital trends? Capital intensity / margins / fcf over time vs. KAR?</t>
  </si>
  <si>
    <t>5. add historical mults</t>
  </si>
  <si>
    <t>9. valuation - where did EV/EBITDA and P/E go in the last two downturns</t>
  </si>
  <si>
    <t>Vehicles in Use Growth</t>
  </si>
  <si>
    <t>CPRT Revenue Growth</t>
  </si>
  <si>
    <t>EV/EBITDA (forward)</t>
  </si>
  <si>
    <t>Avg.</t>
  </si>
  <si>
    <t>2015A</t>
  </si>
  <si>
    <t>Free Cash Flow (OCF - Capex)</t>
  </si>
  <si>
    <t>Service Revs</t>
  </si>
  <si>
    <t>Vehicle Revs</t>
  </si>
  <si>
    <t>Share Repurchases</t>
  </si>
  <si>
    <t>Average Repurchase Price</t>
  </si>
  <si>
    <t>Diluted Shares Out</t>
  </si>
  <si>
    <t>Case</t>
  </si>
  <si>
    <t>Scenario Drivers</t>
  </si>
  <si>
    <t>Cons. P/E</t>
  </si>
  <si>
    <t>Cons. EV/EBITDA</t>
  </si>
  <si>
    <t>Bridge to Consensus</t>
  </si>
  <si>
    <t>Growth %</t>
  </si>
  <si>
    <t>Recent Feedback / To Do:</t>
  </si>
  <si>
    <t>Calcs on how y/y ASP hit margins?</t>
  </si>
  <si>
    <t>Selling vehicles overseas (25%?) - shipped? Picked up?</t>
  </si>
  <si>
    <t>2. why has stock been flat? Can you connect this with projected performance? Why are margins set to inflect?</t>
  </si>
  <si>
    <t>TRADING STATISTICS</t>
  </si>
  <si>
    <t>Shares outstanding (M)</t>
  </si>
  <si>
    <t>FCF Valuation</t>
  </si>
  <si>
    <t>Upside</t>
  </si>
  <si>
    <t>FCF/Share 2017</t>
  </si>
  <si>
    <t>Implied Price</t>
  </si>
  <si>
    <t>Downside</t>
  </si>
  <si>
    <t>Upside / Downside</t>
  </si>
  <si>
    <t>EPS Valuation</t>
  </si>
  <si>
    <t>EBITDA Valuation</t>
  </si>
  <si>
    <t>EBITDA 2017</t>
  </si>
  <si>
    <t>Shares Outstanding</t>
  </si>
  <si>
    <t>FY End: 7/31</t>
  </si>
  <si>
    <t>FCF / Diluted Share</t>
  </si>
  <si>
    <t>FCF / Net Income %</t>
  </si>
  <si>
    <t>Book Value Per Share ($)</t>
  </si>
  <si>
    <t>Net Debt / TTM EBITDA</t>
  </si>
  <si>
    <t>Gross Debt / TTM EBITDA</t>
  </si>
  <si>
    <t>Stock Prices (Split-Adjusted)</t>
  </si>
  <si>
    <t>Historical Multiples</t>
  </si>
  <si>
    <t>Current</t>
  </si>
  <si>
    <t>CapIQ Ests (FY1 forward)</t>
  </si>
  <si>
    <t>CapIQ Ests (FY2 forward)</t>
  </si>
  <si>
    <t>P/E (NTM)</t>
  </si>
  <si>
    <t>SUMMARY METRICS</t>
  </si>
  <si>
    <t>FY2004</t>
  </si>
  <si>
    <t>Net Debt (Cash)</t>
  </si>
  <si>
    <t>Issuance of debt</t>
  </si>
  <si>
    <t>Repayment of Debt</t>
  </si>
  <si>
    <t>Estimate</t>
  </si>
  <si>
    <t>FCF / Ending Share</t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</si>
  <si>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Look up waterfall distribution of car age (7 years? its in a KAR pres)</t>
    </r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</si>
  <si>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Wall of off-lease coming online will hurt used values</t>
    </r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</si>
  <si>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Capex/D&amp;A bc  you don’t depreciate land – Balance sheet is undervaluing assets</t>
    </r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</si>
  <si>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Nightmare multiples are too low</t>
    </r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</si>
  <si>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Timing of repurchases (tenders) and what happened after</t>
    </r>
  </si>
  <si>
    <r>
      <t>·</t>
    </r>
    <r>
      <rPr>
        <sz val="7"/>
        <rFont val="Times New Roman"/>
        <family val="1"/>
      </rPr>
      <t xml:space="preserve">       </t>
    </r>
    <r>
      <rPr>
        <b/>
        <sz val="9"/>
        <rFont val="Calibri"/>
        <family val="2"/>
      </rPr>
      <t>They’re having an investor day to explain the int’l TAM</t>
    </r>
  </si>
  <si>
    <t>Fix FCF for normalized ests, growth capex</t>
  </si>
  <si>
    <t>Q's and Pushback</t>
  </si>
  <si>
    <t>dbl-check: 20% of volumes go to rebuilders, highest ASP - combine parts to make a functional used car. Unaffecetd by scrap.</t>
  </si>
  <si>
    <t>other 60% is refurbishers who buy cars for used parts</t>
  </si>
  <si>
    <t>Share price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</si>
</sst>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6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&quot;$&quot;#,##0.00"/>
    <numFmt numFmtId="166" formatCode="_-* #,##0.00_-;\-* #,##0.00_-;_-* &quot;-&quot;??_-;_-@_-"/>
    <numFmt numFmtId="167" formatCode="0.0\x"/>
    <numFmt numFmtId="168" formatCode="_(&quot;$&quot;* #,##0.0_);_(&quot;$&quot;* \(#,##0.0\);_(&quot;$&quot;* &quot;-&quot;??_);_(@_)"/>
    <numFmt numFmtId="169" formatCode="_(* #,##0.0_);_(* \(#,##0.0\);_(* &quot;-&quot;??_);_(@_)"/>
    <numFmt numFmtId="170" formatCode="#,##0.0_);[Red]\(#,##0.0\)"/>
    <numFmt numFmtId="171" formatCode="0.0"/>
    <numFmt numFmtId="172" formatCode="#,##0.0_);\(#,##0.0\)"/>
    <numFmt numFmtId="173" formatCode="&quot;$&quot;#,##0.000_);[Red]\(&quot;$&quot;#,##0.000\)"/>
    <numFmt numFmtId="174" formatCode="#,##0.0000\ ;\(#,##0.0000\)"/>
    <numFmt numFmtId="175" formatCode="mmm\ dd\,\ yyyy"/>
    <numFmt numFmtId="176" formatCode="#,##0.000\ ;\(#,##0.000\)"/>
    <numFmt numFmtId="177" formatCode="#,##0.00\ ;\(#,##0.00\)"/>
    <numFmt numFmtId="178" formatCode="_(* #,##0_);_(* \(#,##0\);_(* &quot;-&quot;??_);_(@_)"/>
    <numFmt numFmtId="179" formatCode="&quot;$&quot;#,##0"/>
    <numFmt numFmtId="180" formatCode="_(* #,##0.0000_);_(* \(#,##0.0000\);_(* &quot;-&quot;??_);_(@_)"/>
    <numFmt numFmtId="181" formatCode="&quot;$&quot;#,##0;\(&quot;$&quot;#,##0\)"/>
    <numFmt numFmtId="182" formatCode="&quot;$&quot;#,##0.0;\(&quot;$&quot;#,##0.0\)"/>
    <numFmt numFmtId="183" formatCode="&quot;$&quot;#,##0.00;\(&quot;$&quot;#,##0.00\)"/>
    <numFmt numFmtId="184" formatCode="0.0%_);\(0.0%\)"/>
    <numFmt numFmtId="185" formatCode="0.00%;\(0.00\)%"/>
    <numFmt numFmtId="186" formatCode="0.0_)\%;\(0.0\)\%;0.0_)\%;@_)_%"/>
    <numFmt numFmtId="187" formatCode="#,##0.0_)_%;\(#,##0.0\)_%;0.0_)_%;@_)_%"/>
    <numFmt numFmtId="188" formatCode="#,##0.0_);\(#,##0.0\);#,##0.0_);@_)"/>
    <numFmt numFmtId="189" formatCode="&quot;$&quot;_(#,##0.00_);&quot;$&quot;\(#,##0.00\)"/>
    <numFmt numFmtId="190" formatCode="&quot;$&quot;_(#,##0.00_);&quot;$&quot;\(#,##0.00\);&quot;$&quot;_(0.00_);@_)"/>
    <numFmt numFmtId="191" formatCode="#,##0.00_);\(#,##0.00\);0.00_);@_)"/>
    <numFmt numFmtId="192" formatCode="\€_(#,##0.00_);\€\(#,##0.00\);\€_(0.00_);@_)"/>
    <numFmt numFmtId="193" formatCode="#,##0.0_)\x;\(#,##0.0\)\x"/>
    <numFmt numFmtId="194" formatCode="#,##0_)\x;\(#,##0\)\x;0_)\x;@_)_x"/>
    <numFmt numFmtId="195" formatCode="#,##0.0_)\x;\(#,##0.0\)\x;0.0_)\x;@_)_x"/>
    <numFmt numFmtId="196" formatCode="#,##0.0_)_x;\(#,##0.0\)_x"/>
    <numFmt numFmtId="197" formatCode="#,##0_)_x;\(#,##0\)_x;0_)_x;@_)_x"/>
    <numFmt numFmtId="198" formatCode="0.0_)\%;\(0.0\)\%"/>
    <numFmt numFmtId="199" formatCode="#,##0.0_)_%;\(#,##0.0\)_%"/>
    <numFmt numFmtId="200" formatCode="#,##0_);\(#,##0\);&quot;&quot;"/>
    <numFmt numFmtId="201" formatCode="[&gt;1]&quot;10Q: &quot;0&quot; qtrs&quot;;&quot;10Q: &quot;0&quot; qtr&quot;"/>
    <numFmt numFmtId="202" formatCode="0.00\ ;\(0.00\)"/>
    <numFmt numFmtId="203" formatCode="#,##0.0"/>
    <numFmt numFmtId="204" formatCode="_(* #,##0.0_);_(* \(#,##0.0\);_(* &quot;-&quot;?_);_(@_)"/>
    <numFmt numFmtId="205" formatCode="_(&quot;$&quot;* #,##0.0_);_(&quot;$&quot;* \(#,##0.0\);_(&quot;$&quot;* &quot;-&quot;?_);_(@_)"/>
    <numFmt numFmtId="206" formatCode="General_)"/>
    <numFmt numFmtId="207" formatCode="_ * #,##0_ ;_ * \-#,##0_ ;_ * &quot;-&quot;_ ;_ @_ "/>
    <numFmt numFmtId="208" formatCode="_ * #,##0.00_ ;_ * \-#,##0.00_ ;_ * &quot;-&quot;??_ ;_ @_ "/>
    <numFmt numFmtId="209" formatCode="#,##0_);\(#,##0\);\-"/>
    <numFmt numFmtId="210" formatCode="0&quot; bp&quot;"/>
    <numFmt numFmtId="211" formatCode="&quot;$&quot;#,###.00_);\(&quot;$&quot;#,###.00\);;&quot;num required&quot;\)"/>
    <numFmt numFmtId="212" formatCode="#,##0.0000_);[Red]\(#,##0.0000\)"/>
    <numFmt numFmtId="213" formatCode="#,##0;\-#,##0;&quot;-&quot;"/>
    <numFmt numFmtId="214" formatCode="#,###.000_);\(#,##0.000\)"/>
    <numFmt numFmtId="215" formatCode="0,000"/>
    <numFmt numFmtId="216" formatCode="0.0%;\(0.0%\)"/>
    <numFmt numFmtId="217" formatCode="d/m/yy"/>
    <numFmt numFmtId="218" formatCode="#,##0.00;\(#,##0.00"/>
    <numFmt numFmtId="219" formatCode="0_);\(0\)"/>
    <numFmt numFmtId="220" formatCode="d\ mmm\ yy"/>
    <numFmt numFmtId="221" formatCode="0.00000000000"/>
    <numFmt numFmtId="222" formatCode="0.000000000000"/>
    <numFmt numFmtId="223" formatCode="#,##0_);\(#,##0\);"/>
    <numFmt numFmtId="224" formatCode="&quot;$&quot;* #,##0_);&quot;$&quot;* \(#,##0\);;&quot;num required&quot;\)"/>
    <numFmt numFmtId="225" formatCode="0.000_)"/>
    <numFmt numFmtId="226" formatCode="#,##0.0;[Red]\(#,##0.0\)"/>
    <numFmt numFmtId="227" formatCode="#,##0&quot;£&quot;_);[Red]\(#,##0&quot;£&quot;\)"/>
    <numFmt numFmtId="228" formatCode="#,##0_%_);\(#,##0\)_%;#,##0_%_);@_%_)"/>
    <numFmt numFmtId="229" formatCode="#,##0.000_%_);\(#,##0.000\)_%;**;@_%_)"/>
    <numFmt numFmtId="230" formatCode="#,##0;\(#,##0\)"/>
    <numFmt numFmtId="231" formatCode="0.00_);\(0.00\);0.00"/>
    <numFmt numFmtId="232" formatCode="&quot;$&quot;#,##0.00_);[Red]\(&quot;$&quot;#,##0.00\);&quot;--  &quot;;_(@_)"/>
    <numFmt numFmtId="233" formatCode="\ \ \ \ &quot;$&quot;* #,##0.0_);[Red]\(\ \ \ &quot;$&quot;* #,##0.0\)"/>
    <numFmt numFmtId="234" formatCode="&quot;$&quot;#,##0.0_);[Red]\(&quot;$&quot;#,##0.0\)"/>
    <numFmt numFmtId="235" formatCode="&quot;$&quot;#,##0_%_);\(&quot;$&quot;#,##0\)_%;&quot;$&quot;#,##0_%_);@_%_)"/>
    <numFmt numFmtId="236" formatCode="0.0000%"/>
    <numFmt numFmtId="237" formatCode="&quot;$&quot;#,##0\ ;\(&quot;$&quot;#,##0\)"/>
    <numFmt numFmtId="238" formatCode="#,##0.000000000;[Red]\-#,##0.000000000"/>
    <numFmt numFmtId="239" formatCode="&quot;$&quot;#,##0.00_)\ \ ;\(&quot;$&quot;#,##0.00\)\ \ "/>
    <numFmt numFmtId="240" formatCode="\ &quot;$&quot;* #,##0.0_);\ &quot;$&quot;* \(#,##0.0\);;&quot;num required&quot;\)"/>
    <numFmt numFmtId="241" formatCode="&quot;£&quot;#,##0.00;[Red]\-&quot;£&quot;#,##0.00"/>
    <numFmt numFmtId="242" formatCode="0\ &quot;bps&quot;"/>
    <numFmt numFmtId="243" formatCode="m/yy"/>
    <numFmt numFmtId="244" formatCode="0.00\x"/>
    <numFmt numFmtId="245" formatCode="_(&quot;$&quot;* #,##0_);_(&quot;$&quot;* \(#,##0\);_(&quot;$&quot;* &quot;-&quot;??_);_(@_)"/>
    <numFmt numFmtId="246" formatCode="0&quot; bps&quot;"/>
    <numFmt numFmtId="247" formatCode="0.000%"/>
    <numFmt numFmtId="248" formatCode="#,##0.0%;\(#,##0.0\)%"/>
    <numFmt numFmtId="249" formatCode="&quot;$&quot;#,##0.0_);&quot;$&quot;\(#,##0.0\)"/>
    <numFmt numFmtId="250" formatCode="&quot;$&quot;#,##0.00_);&quot;$&quot;\(#,##0.00\)"/>
    <numFmt numFmtId="251" formatCode="0.0_)"/>
    <numFmt numFmtId="252" formatCode="&quot;$&quot;#,##0.0_);\(&quot;$&quot;#,##0.0\)"/>
    <numFmt numFmtId="253" formatCode="00000"/>
    <numFmt numFmtId="254" formatCode="0.0&quot;x&quot;"/>
    <numFmt numFmtId="255" formatCode="###0.00_)"/>
    <numFmt numFmtId="256" formatCode="&quot;£&quot;#,##0.00;\-&quot;£&quot;#,##0.00"/>
    <numFmt numFmtId="257" formatCode="mmm\-d\-yy"/>
    <numFmt numFmtId="258" formatCode="mmm\-d\-yyyy"/>
    <numFmt numFmtId="259" formatCode="mmm\-yyyy"/>
    <numFmt numFmtId="260" formatCode="m/d/yy_%_)"/>
    <numFmt numFmtId="261" formatCode="yyyy"/>
    <numFmt numFmtId="262" formatCode="#,##0.0;\(#,##0.0\)"/>
    <numFmt numFmtId="263" formatCode="#,##0.00;\(#,##0.00\)"/>
    <numFmt numFmtId="264" formatCode="&quot;$&quot;* \ #,###.000_);\(&quot;$&quot;* \ #,###.000\);;&quot;num required&quot;\)"/>
    <numFmt numFmtId="265" formatCode="#,##0.000_);\(#,##0.000\)"/>
    <numFmt numFmtId="266" formatCode="&quot;$&quot;#,##0;[Red]\(&quot;$&quot;#,##0\)"/>
    <numFmt numFmtId="267" formatCode="#,##0.00000000000;[Red]\-#,##0.00000000000"/>
    <numFmt numFmtId="268" formatCode="0_%_);\(0\)_%;0_%_);@_%_)"/>
    <numFmt numFmtId="269" formatCode="#,##0.0\ ;\(#,##0.0\)"/>
    <numFmt numFmtId="270" formatCode="0.00%;[Red]\(0.00%\)"/>
    <numFmt numFmtId="271" formatCode="&quot;$&quot;* \ #,###.00_);&quot;$&quot;* \ \(#,###.00\);;&quot;num required&quot;\)"/>
    <numFmt numFmtId="272" formatCode="\ \ \ \ &quot;$&quot;* #,##0.0"/>
    <numFmt numFmtId="273" formatCode="\ \ &quot;$&quot;* #,##0.0_);&quot;$&quot;* \(#,##0.0\);;&quot;num required&quot;\)"/>
    <numFmt numFmtId="274" formatCode="&quot;$&quot;* #,##0.00"/>
    <numFmt numFmtId="275" formatCode="\ \ &quot;$&quot;* #,##0.00"/>
    <numFmt numFmtId="276" formatCode="\ \ &quot;$&quot;* #,###.000_);\(\ \ &quot;$&quot;* #,###.000\);;&quot;num required&quot;\)"/>
    <numFmt numFmtId="277" formatCode="#,###.0_);\(#,###.0\)"/>
    <numFmt numFmtId="278" formatCode="#,###.##_);\(#,###.##\);"/>
    <numFmt numFmtId="279" formatCode="&quot;$&quot;* #,##0.#_);&quot;$&quot;* \(#,##0.#\);;&quot;num required&quot;\)"/>
    <numFmt numFmtId="280" formatCode="_([$€-2]* #,##0.00_);_([$€-2]* \(#,##0.00\);_([$€-2]* &quot;-&quot;??_)"/>
    <numFmt numFmtId="281" formatCode="###0_);\(###0\)"/>
    <numFmt numFmtId="282" formatCode="0.00%_);[Red]\(0.00%\)"/>
    <numFmt numFmtId="283" formatCode="0.0\%_);\(0.0\%\);0.0\%_);@_%_)"/>
    <numFmt numFmtId="284" formatCode=";;;"/>
    <numFmt numFmtId="285" formatCode="_(#,##0_);\(#,##0\)"/>
    <numFmt numFmtId="286" formatCode="0.00%_);\(0.00%\)"/>
    <numFmt numFmtId="287" formatCode="&quot;$&quot;#,##0.0_%_);\(&quot;$&quot;#,##0.0\)_%"/>
    <numFmt numFmtId="288" formatCode="&quot;$&quot;#,##0.00_%_);\(&quot;$&quot;#,##0.00\)_%"/>
    <numFmt numFmtId="289" formatCode="0.0\x_)_);&quot;NM    &quot;;0.0\x_)_)"/>
    <numFmt numFmtId="290" formatCode="&quot;$&quot;#,##0.0_)\ \ ;\(&quot;$&quot;#,##0.0\)\ \ "/>
    <numFmt numFmtId="291" formatCode="0.0\ \x\ \ \ \ ;&quot;NM      &quot;;\ 0.0\ \x\ \ \ \ "/>
    <numFmt numFmtId="292" formatCode="0.0%_)\ \ ;\(0.0%\)\ \ "/>
    <numFmt numFmtId="293" formatCode="0.00_);\(0.00\);0.00_)"/>
    <numFmt numFmtId="294" formatCode="_(* #,##0.0_);[Red]_(* \(#,##0.0\);&quot;nm &quot;"/>
    <numFmt numFmtId="295" formatCode="mmmm"/>
    <numFmt numFmtId="296" formatCode="0.0\x_)_);&quot;NM&quot;_x_)_);0.0\x_)_);@_%_)"/>
    <numFmt numFmtId="297" formatCode="#,##0.0_);[Red]\(#,##0.0\);&quot;N/A &quot;"/>
    <numFmt numFmtId="298" formatCode="#,##0.0_);[Red]\(#,##0.0\);&quot;--  &quot;"/>
    <numFmt numFmtId="299" formatCode="0.00_)"/>
    <numFmt numFmtId="300" formatCode="#,##0.000_);[Red]\(#,##0.000\)"/>
    <numFmt numFmtId="301" formatCode="#,##0.0_)\ \ ;[Red]\(#,##0.0\)\ \ "/>
    <numFmt numFmtId="302" formatCode="#,##0.00_)\ \ ;\(#,##0.00\)\ \ "/>
    <numFmt numFmtId="303" formatCode="#,##0.00&quot;x&quot;;[Red]\(#,##0.00&quot;x&quot;\)"/>
    <numFmt numFmtId="304" formatCode="#,##0.00_)&quot; &quot;;[Red]\(#,##0.00\)&quot; &quot;"/>
    <numFmt numFmtId="305" formatCode="&quot;[&quot;#&quot;]&quot;"/>
    <numFmt numFmtId="306" formatCode="0.0%&quot;NetPPE/sales&quot;"/>
    <numFmt numFmtId="307" formatCode="#,##0&quot; $&quot;;\-#,##0&quot; $&quot;"/>
    <numFmt numFmtId="308" formatCode="0.0%&quot;NWI/Sls&quot;"/>
    <numFmt numFmtId="309" formatCode="0%_);\(0%\)"/>
    <numFmt numFmtId="310" formatCode="_ * #,##0.00_)&quot;£&quot;_ ;_ * \(#,##0.00\)&quot;£&quot;_ ;_ * &quot;-&quot;??_)&quot;£&quot;_ ;_ @_ "/>
    <numFmt numFmtId="311" formatCode="0.0%;[Red]\(0.0%\)"/>
    <numFmt numFmtId="312" formatCode="0.0%;[Red]\(0.0%\);&quot;--  &quot;"/>
    <numFmt numFmtId="313" formatCode="0.000%;[Red]\(0.000%\)"/>
    <numFmt numFmtId="314" formatCode="0.000%;;&quot;-- &quot;"/>
    <numFmt numFmtId="315" formatCode="0.0_%"/>
    <numFmt numFmtId="316" formatCode="0.0%_);[Red]\(0.0%\);0%_)"/>
    <numFmt numFmtId="317" formatCode="0.0%\ ;[Red]\(0.0%\)\ ;&quot;-  &quot;"/>
    <numFmt numFmtId="318" formatCode="0.00\%;\-0.00\%;0.00\%"/>
    <numFmt numFmtId="319" formatCode="0.0%_);[Red]\(0.0%\)"/>
    <numFmt numFmtId="320" formatCode="0.0%&quot;Sales&quot;"/>
    <numFmt numFmtId="321" formatCode="&quot;$&quot;#,##0;\-&quot;$&quot;#,##0"/>
    <numFmt numFmtId="322" formatCode="&quot;Proj &quot;0;;"/>
    <numFmt numFmtId="323" formatCode="0.00;\-0.00;0.00"/>
    <numFmt numFmtId="324" formatCode="#,##0.0%_);[Red]\(#,##0.0%\)"/>
    <numFmt numFmtId="325" formatCode="#,##0.00\x"/>
    <numFmt numFmtId="326" formatCode="0.00\x;\-0.00\x;0.00\x"/>
    <numFmt numFmtId="327" formatCode="mm/dd/yy"/>
    <numFmt numFmtId="328" formatCode="##0.00000"/>
    <numFmt numFmtId="329" formatCode="&quot;$&quot;#\ ?/?"/>
    <numFmt numFmtId="330" formatCode="&quot;TFCF: &quot;#,##0_);[Red]&quot;No! &quot;\(#,##0\)"/>
    <numFmt numFmtId="331" formatCode="#,##0.00_)"/>
    <numFmt numFmtId="332" formatCode="#,##0\x_);\(#,##0\x\)"/>
    <numFmt numFmtId="333" formatCode="#,##0.0\x_);\(#,##0.0\x\)"/>
    <numFmt numFmtId="334" formatCode="#,##0.00\x_);\(#,##0.00\x\)"/>
    <numFmt numFmtId="335" formatCode="#,##0.0_%_);\(#,##0.0\)_%"/>
    <numFmt numFmtId="336" formatCode="&quot;$&quot;* #,##0.0_);&quot;$&quot;* \(#,##0.0\);;&quot;num required&quot;\)"/>
    <numFmt numFmtId="337" formatCode="0.0000000000000000%"/>
    <numFmt numFmtId="338" formatCode="General\ &quot;mos.&quot;\)"/>
    <numFmt numFmtId="339" formatCode="###0&quot;PF&quot;_)"/>
    <numFmt numFmtId="340" formatCode="###0_)"/>
    <numFmt numFmtId="341" formatCode="0.000000000"/>
    <numFmt numFmtId="342" formatCode="#,##0.0_);\(#,##0.0\);\–_);&quot;–&quot;_)"/>
    <numFmt numFmtId="343" formatCode="&quot;$&quot;#,##0.00_);\(&quot;$&quot;#,##0.00\);\–_);&quot;–&quot;_)"/>
    <numFmt numFmtId="344" formatCode="0.0%_);\(0.0%\);&quot;–&quot;_)"/>
    <numFmt numFmtId="345" formatCode="0.0\x_);\(0.0\x\);&quot;–&quot;_)"/>
    <numFmt numFmtId="346" formatCode="#,##0_);\(#,##0\);\–_);&quot;–&quot;_)"/>
    <numFmt numFmtId="347" formatCode="_(#,##0.0_)_%;_(\(#,##0.0\)_%;_(&quot;–&quot;_)_%;@_(_%"/>
    <numFmt numFmtId="348" formatCode="m/d/yy;@"/>
    <numFmt numFmtId="349" formatCode="&quot;$&quot;#,##0.0_);\(&quot;$&quot;#,##0.0\);\–_);&quot;–&quot;_)"/>
    <numFmt numFmtId="350" formatCode="0.000"/>
    <numFmt numFmtId="351" formatCode="#,##0.00_);\(#,##0.00\);\–_);&quot;–&quot;_)"/>
  </numFmts>
  <fonts count="2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23"/>
      <name val="Calibri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6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0"/>
      <name val="Times New Roman"/>
      <family val="1"/>
    </font>
    <font>
      <b/>
      <sz val="10"/>
      <color indexed="18"/>
      <name val="Symbol"/>
      <family val="1"/>
      <charset val="2"/>
    </font>
    <font>
      <b/>
      <sz val="8"/>
      <color indexed="8"/>
      <name val="Wingdings"/>
      <charset val="2"/>
    </font>
    <font>
      <b/>
      <sz val="8"/>
      <color indexed="10"/>
      <name val="Wingdings"/>
      <charset val="2"/>
    </font>
    <font>
      <b/>
      <sz val="8"/>
      <color indexed="9"/>
      <name val="Wingdings"/>
      <charset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b/>
      <sz val="10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theme="0"/>
      <name val="Arial"/>
      <family val="2"/>
    </font>
    <font>
      <u/>
      <sz val="1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  <font>
      <b/>
      <sz val="10"/>
      <color indexed="10"/>
      <name val="Arial"/>
      <family val="2"/>
    </font>
    <font>
      <sz val="8"/>
      <color indexed="10"/>
      <name val="Arial"/>
      <family val="2"/>
    </font>
    <font>
      <u val="singleAccounting"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8"/>
      <name val="Times New Roman"/>
      <family val="1"/>
    </font>
    <font>
      <sz val="8"/>
      <color indexed="49"/>
      <name val="Times New Roman"/>
      <family val="1"/>
    </font>
    <font>
      <sz val="10"/>
      <name val="HELV"/>
    </font>
    <font>
      <sz val="8"/>
      <color indexed="13"/>
      <name val="Helvetica-Narrow"/>
    </font>
    <font>
      <sz val="10"/>
      <color indexed="8"/>
      <name val="MS Sans Serif"/>
      <family val="2"/>
    </font>
    <font>
      <b/>
      <u/>
      <sz val="10"/>
      <name val="Courier"/>
      <family val="3"/>
    </font>
    <font>
      <sz val="10"/>
      <name val="Helv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2"/>
      <name val="Times New Roman"/>
      <family val="1"/>
    </font>
    <font>
      <sz val="10"/>
      <name val="lr SVbN"/>
      <family val="3"/>
    </font>
    <font>
      <sz val="10"/>
      <name val="MS Sans Serif"/>
      <family val="2"/>
    </font>
    <font>
      <sz val="14"/>
      <name val="Tms Rmn"/>
    </font>
    <font>
      <sz val="11"/>
      <color indexed="9"/>
      <name val="Calibri"/>
      <family val="2"/>
    </font>
    <font>
      <sz val="12"/>
      <name val="Arial MT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sz val="10"/>
      <name val="Helvetica"/>
      <family val="2"/>
    </font>
    <font>
      <b/>
      <sz val="14"/>
      <name val="Times New Roman"/>
      <family val="1"/>
    </font>
    <font>
      <sz val="12"/>
      <name val="Arial"/>
      <family val="2"/>
    </font>
    <font>
      <sz val="12"/>
      <name val="¹ÙÅÁÃ¼"/>
      <family val="1"/>
      <charset val="129"/>
    </font>
    <font>
      <sz val="11"/>
      <color indexed="20"/>
      <name val="Calibri"/>
      <family val="2"/>
    </font>
    <font>
      <sz val="8"/>
      <color indexed="12"/>
      <name val="Tms Rmn"/>
    </font>
    <font>
      <b/>
      <sz val="12"/>
      <name val="Times New Roman"/>
      <family val="1"/>
    </font>
    <font>
      <b/>
      <sz val="8"/>
      <name val="CG Times (WN)"/>
    </font>
    <font>
      <b/>
      <u/>
      <sz val="8"/>
      <name val="CG Times (WN)"/>
    </font>
    <font>
      <b/>
      <i/>
      <sz val="12"/>
      <name val="Times New Roman"/>
      <family val="1"/>
    </font>
    <font>
      <i/>
      <sz val="8"/>
      <color indexed="12"/>
      <name val="Arial"/>
      <family val="2"/>
    </font>
    <font>
      <sz val="8"/>
      <name val="Helvetica-Narrow"/>
    </font>
    <font>
      <sz val="10"/>
      <color indexed="9"/>
      <name val="Helv"/>
    </font>
    <font>
      <b/>
      <sz val="11"/>
      <color indexed="10"/>
      <name val="Calibri"/>
      <family val="2"/>
    </font>
    <font>
      <sz val="9"/>
      <color indexed="8"/>
      <name val="Tahoma"/>
      <family val="2"/>
    </font>
    <font>
      <sz val="9"/>
      <color indexed="8"/>
      <name val="Helvetica-Narrow"/>
    </font>
    <font>
      <b/>
      <sz val="8"/>
      <name val="Times New Roman"/>
      <family val="1"/>
    </font>
    <font>
      <b/>
      <sz val="10"/>
      <name val="Helv"/>
    </font>
    <font>
      <sz val="8"/>
      <name val="Tms Rmn"/>
    </font>
    <font>
      <sz val="10"/>
      <color indexed="18"/>
      <name val="Times New Roman"/>
      <family val="1"/>
    </font>
    <font>
      <b/>
      <sz val="11"/>
      <color indexed="9"/>
      <name val="Calibri"/>
      <family val="2"/>
    </font>
    <font>
      <b/>
      <sz val="8"/>
      <name val="GillSans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color indexed="8"/>
      <name val="Courier New"/>
      <family val="3"/>
    </font>
    <font>
      <sz val="11"/>
      <name val="Tms Rmn"/>
    </font>
    <font>
      <sz val="8"/>
      <name val="Palatino"/>
      <family val="1"/>
    </font>
    <font>
      <sz val="8"/>
      <name val="Helv"/>
    </font>
    <font>
      <sz val="10"/>
      <name val="Courier New"/>
      <family val="3"/>
    </font>
    <font>
      <b/>
      <sz val="12"/>
      <name val="Tms Rmn"/>
    </font>
    <font>
      <b/>
      <sz val="11"/>
      <name val="Times New Roman"/>
      <family val="1"/>
    </font>
    <font>
      <sz val="10"/>
      <name val="MS Serif"/>
      <family val="1"/>
    </font>
    <font>
      <b/>
      <sz val="8"/>
      <name val="Helv"/>
    </font>
    <font>
      <sz val="10"/>
      <name val="Book Antiqua"/>
      <family val="1"/>
    </font>
    <font>
      <b/>
      <sz val="14"/>
      <name val="Tms Rmn"/>
    </font>
    <font>
      <sz val="11"/>
      <name val="Times New Roman"/>
      <family val="1"/>
    </font>
    <font>
      <u val="doubleAccounting"/>
      <sz val="10"/>
      <name val="Arial"/>
      <family val="2"/>
    </font>
    <font>
      <sz val="9"/>
      <color indexed="12"/>
      <name val="Times New Roman"/>
      <family val="1"/>
    </font>
    <font>
      <sz val="10"/>
      <color indexed="16"/>
      <name val="MS Serif"/>
      <family val="1"/>
    </font>
    <font>
      <i/>
      <sz val="11"/>
      <color indexed="23"/>
      <name val="Calibri"/>
      <family val="2"/>
    </font>
    <font>
      <sz val="8"/>
      <color indexed="16"/>
      <name val="Helv"/>
    </font>
    <font>
      <i/>
      <sz val="7"/>
      <name val="Times New Roman"/>
      <family val="1"/>
    </font>
    <font>
      <sz val="11"/>
      <color indexed="17"/>
      <name val="Calibri"/>
      <family val="2"/>
    </font>
    <font>
      <sz val="8"/>
      <color indexed="17"/>
      <name val="Times New Roman"/>
      <family val="1"/>
    </font>
    <font>
      <sz val="9"/>
      <color indexed="18"/>
      <name val="Tahoma"/>
      <family val="2"/>
    </font>
    <font>
      <b/>
      <sz val="12"/>
      <name val="Helv"/>
    </font>
    <font>
      <b/>
      <sz val="12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i/>
      <sz val="14"/>
      <name val="Palatino"/>
      <family val="1"/>
    </font>
    <font>
      <b/>
      <sz val="11"/>
      <color indexed="62"/>
      <name val="Calibri"/>
      <family val="2"/>
    </font>
    <font>
      <b/>
      <sz val="18"/>
      <name val="Arial"/>
      <family val="2"/>
    </font>
    <font>
      <b/>
      <u/>
      <sz val="18"/>
      <name val="Arial"/>
      <family val="2"/>
    </font>
    <font>
      <sz val="10"/>
      <color indexed="17"/>
      <name val="Helvetica"/>
      <family val="2"/>
    </font>
    <font>
      <b/>
      <i/>
      <sz val="11"/>
      <color indexed="23"/>
      <name val="Times New Roman"/>
      <family val="1"/>
    </font>
    <font>
      <sz val="12"/>
      <name val="Helv"/>
    </font>
    <font>
      <sz val="8"/>
      <color indexed="16"/>
      <name val="Palatino"/>
      <family val="1"/>
    </font>
    <font>
      <sz val="8"/>
      <color indexed="39"/>
      <name val="Arial"/>
      <family val="2"/>
    </font>
    <font>
      <sz val="8"/>
      <color indexed="12"/>
      <name val="Palatino"/>
      <family val="1"/>
    </font>
    <font>
      <i/>
      <sz val="8"/>
      <name val="Times New Roman"/>
      <family val="1"/>
    </font>
    <font>
      <sz val="10"/>
      <name val="GillSans Light"/>
    </font>
    <font>
      <sz val="8"/>
      <name val="CG Times (WN)"/>
    </font>
    <font>
      <sz val="11"/>
      <color indexed="10"/>
      <name val="Calibri"/>
      <family val="2"/>
    </font>
    <font>
      <sz val="12"/>
      <color indexed="9"/>
      <name val="Helv"/>
    </font>
    <font>
      <sz val="9"/>
      <color indexed="17"/>
      <name val="Tahoma"/>
      <family val="2"/>
    </font>
    <font>
      <sz val="9"/>
      <color indexed="20"/>
      <name val="Tahoma"/>
      <family val="2"/>
    </font>
    <font>
      <sz val="8"/>
      <color indexed="18"/>
      <name val="Times New Roman"/>
      <family val="1"/>
    </font>
    <font>
      <b/>
      <sz val="11"/>
      <name val="Helv"/>
    </font>
    <font>
      <sz val="11"/>
      <color indexed="19"/>
      <name val="Calibri"/>
      <family val="2"/>
    </font>
    <font>
      <sz val="7"/>
      <name val="Small Fonts"/>
      <family val="2"/>
    </font>
    <font>
      <b/>
      <i/>
      <sz val="16"/>
      <name val="Helv"/>
    </font>
    <font>
      <sz val="8"/>
      <name val="CG Omega"/>
    </font>
    <font>
      <sz val="10"/>
      <name val="Garamond"/>
      <family val="1"/>
    </font>
    <font>
      <sz val="11"/>
      <name val="‚l‚r –¾’©"/>
      <charset val="128"/>
    </font>
    <font>
      <sz val="8"/>
      <color indexed="72"/>
      <name val="Arial"/>
      <family val="2"/>
    </font>
    <font>
      <b/>
      <sz val="13.5"/>
      <name val="MS Sans Serif"/>
      <family val="2"/>
    </font>
    <font>
      <b/>
      <sz val="11"/>
      <color indexed="63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name val="Arial Narrow"/>
      <family val="2"/>
    </font>
    <font>
      <sz val="10"/>
      <color indexed="16"/>
      <name val="Helvetica-Black"/>
    </font>
    <font>
      <sz val="10"/>
      <name val="Tms Rmn"/>
    </font>
    <font>
      <b/>
      <sz val="10"/>
      <name val="MS Sans Serif"/>
      <family val="2"/>
    </font>
    <font>
      <sz val="9"/>
      <color indexed="14"/>
      <name val="Tahoma"/>
      <family val="2"/>
    </font>
    <font>
      <sz val="7"/>
      <color indexed="12"/>
      <name val="Arial"/>
      <family val="2"/>
    </font>
    <font>
      <b/>
      <sz val="12"/>
      <color indexed="8"/>
      <name val="Arial"/>
      <family val="2"/>
    </font>
    <font>
      <sz val="7"/>
      <name val="Arial"/>
      <family val="2"/>
    </font>
    <font>
      <b/>
      <i/>
      <sz val="8"/>
      <name val="CG Times (WN)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sz val="10"/>
      <color indexed="23"/>
      <name val="MS Sans Serif"/>
      <family val="2"/>
    </font>
    <font>
      <b/>
      <sz val="12"/>
      <name val="MS Sans Serif"/>
      <family val="2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color indexed="8"/>
      <name val="Helv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Palatino"/>
      <family val="1"/>
    </font>
    <font>
      <sz val="9"/>
      <name val="Helvetica-Black"/>
    </font>
    <font>
      <sz val="7"/>
      <name val="Palatino"/>
      <family val="1"/>
    </font>
    <font>
      <b/>
      <sz val="10"/>
      <name val="Times New Roman"/>
      <family val="1"/>
    </font>
    <font>
      <sz val="8"/>
      <name val="Helvetica-Narrow"/>
      <family val="2"/>
    </font>
    <font>
      <b/>
      <sz val="7"/>
      <name val="Helvetica-Narrow"/>
      <family val="2"/>
    </font>
    <font>
      <b/>
      <sz val="7"/>
      <color indexed="8"/>
      <name val="Arial"/>
      <family val="2"/>
    </font>
    <font>
      <u/>
      <sz val="8"/>
      <name val="Times New Roman"/>
      <family val="1"/>
    </font>
    <font>
      <sz val="6"/>
      <name val="Arial"/>
      <family val="2"/>
    </font>
    <font>
      <sz val="11"/>
      <name val="Helvetica-Black"/>
    </font>
    <font>
      <b/>
      <sz val="16"/>
      <name val="Times New Roman"/>
      <family val="1"/>
    </font>
    <font>
      <b/>
      <sz val="11"/>
      <color indexed="9"/>
      <name val="GillSans"/>
    </font>
    <font>
      <b/>
      <sz val="11"/>
      <name val="GillSans"/>
    </font>
    <font>
      <b/>
      <sz val="8"/>
      <color indexed="18"/>
      <name val="Times New Roman"/>
      <family val="1"/>
    </font>
    <font>
      <i/>
      <sz val="10"/>
      <name val="Times New Roman"/>
      <family val="1"/>
    </font>
    <font>
      <b/>
      <sz val="8"/>
      <name val="Palatino"/>
      <family val="1"/>
    </font>
    <font>
      <b/>
      <sz val="7"/>
      <color indexed="12"/>
      <name val="Arial"/>
      <family val="2"/>
    </font>
    <font>
      <u val="double"/>
      <sz val="8"/>
      <color indexed="8"/>
      <name val="Arial"/>
      <family val="2"/>
    </font>
    <font>
      <sz val="8"/>
      <color indexed="8"/>
      <name val="Wingdings"/>
      <charset val="2"/>
    </font>
    <font>
      <sz val="9"/>
      <color indexed="10"/>
      <name val="Tahoma"/>
      <family val="2"/>
    </font>
    <font>
      <sz val="8"/>
      <color indexed="9"/>
      <name val="Arial"/>
      <family val="2"/>
    </font>
    <font>
      <u/>
      <sz val="10"/>
      <name val="Palatino"/>
    </font>
    <font>
      <sz val="11"/>
      <name val="ＭＳ Ｐゴシック"/>
      <charset val="128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CC"/>
      <name val="Arial"/>
      <family val="2"/>
    </font>
    <font>
      <i/>
      <sz val="10"/>
      <color theme="1"/>
      <name val="Arial"/>
      <family val="2"/>
    </font>
    <font>
      <b/>
      <sz val="10"/>
      <color theme="0"/>
      <name val="Arial"/>
      <family val="2"/>
    </font>
    <font>
      <b/>
      <u/>
      <sz val="10"/>
      <color theme="1"/>
      <name val="Arial"/>
      <family val="2"/>
    </font>
    <font>
      <sz val="14"/>
      <color theme="1"/>
      <name val="Arial"/>
      <family val="2"/>
    </font>
    <font>
      <b/>
      <sz val="14"/>
      <color theme="0"/>
      <name val="Arial"/>
      <family val="2"/>
    </font>
    <font>
      <i/>
      <sz val="10"/>
      <color rgb="FF000000"/>
      <name val="Arial"/>
      <family val="2"/>
    </font>
    <font>
      <u/>
      <sz val="10"/>
      <color theme="1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i/>
      <sz val="10"/>
      <color rgb="FF0000FF"/>
      <name val="Arial"/>
      <family val="2"/>
    </font>
    <font>
      <i/>
      <sz val="10"/>
      <color rgb="FF0000CC"/>
      <name val="Arial"/>
      <family val="2"/>
    </font>
    <font>
      <b/>
      <i/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b/>
      <i/>
      <u/>
      <sz val="10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i/>
      <sz val="10"/>
      <color theme="6" tint="-0.499984740745262"/>
      <name val="Arial"/>
      <family val="2"/>
    </font>
    <font>
      <sz val="10"/>
      <color theme="6" tint="-0.499984740745262"/>
      <name val="Arial"/>
      <family val="2"/>
    </font>
    <font>
      <sz val="14"/>
      <color theme="0"/>
      <name val="Arial"/>
      <family val="2"/>
    </font>
    <font>
      <b/>
      <sz val="11"/>
      <color rgb="FF0000CC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sz val="16"/>
      <color theme="1"/>
      <name val="Arial"/>
      <family val="2"/>
    </font>
    <font>
      <sz val="16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0"/>
      <color rgb="FF0000FF"/>
      <name val="Arial"/>
      <family val="2"/>
    </font>
    <font>
      <b/>
      <sz val="12"/>
      <color theme="0"/>
      <name val="Arial"/>
      <family val="2"/>
    </font>
    <font>
      <sz val="11"/>
      <color rgb="FF0000FF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9"/>
      <name val="Calibri"/>
      <family val="2"/>
      <scheme val="minor"/>
    </font>
    <font>
      <sz val="9"/>
      <name val="Symbol"/>
      <family val="1"/>
      <charset val="2"/>
    </font>
    <font>
      <sz val="7"/>
      <name val="Times New Roman"/>
      <family val="1"/>
    </font>
    <font>
      <b/>
      <sz val="9"/>
      <name val="Calibri"/>
      <family val="2"/>
    </font>
  </fonts>
  <fills count="6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12"/>
      </patternFill>
    </fill>
    <fill>
      <patternFill patternType="solid">
        <fgColor indexed="13"/>
      </patternFill>
    </fill>
    <fill>
      <patternFill patternType="solid">
        <fgColor indexed="23"/>
        <bgColor indexed="64"/>
      </patternFill>
    </fill>
    <fill>
      <patternFill patternType="solid">
        <fgColor indexed="9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mediumGray">
        <fgColor indexed="22"/>
      </patternFill>
    </fill>
    <fill>
      <patternFill patternType="solid">
        <fgColor indexed="26"/>
        <bgColor indexed="64"/>
      </patternFill>
    </fill>
    <fill>
      <patternFill patternType="lightGray">
        <fgColor indexed="8"/>
      </patternFill>
    </fill>
    <fill>
      <patternFill patternType="solid">
        <fgColor indexed="15"/>
      </patternFill>
    </fill>
    <fill>
      <patternFill patternType="solid">
        <fgColor indexed="22"/>
        <bgColor indexed="9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lightGray">
        <fgColor indexed="12"/>
      </patternFill>
    </fill>
    <fill>
      <patternFill patternType="gray0625">
        <fgColor indexed="13"/>
      </patternFill>
    </fill>
    <fill>
      <patternFill patternType="gray125">
        <fgColor indexed="8"/>
      </patternFill>
    </fill>
    <fill>
      <patternFill patternType="solid">
        <fgColor indexed="1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mediumGray"/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5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1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/>
      <top/>
      <bottom style="thin">
        <color indexed="22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double">
        <color indexed="1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</borders>
  <cellStyleXfs count="913">
    <xf numFmtId="0" fontId="0" fillId="0" borderId="0"/>
    <xf numFmtId="166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4" fillId="0" borderId="0"/>
    <xf numFmtId="0" fontId="12" fillId="0" borderId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9" fillId="0" borderId="0"/>
    <xf numFmtId="0" fontId="18" fillId="0" borderId="13" applyNumberFormat="0" applyFill="0" applyBorder="0" applyAlignment="0" applyProtection="0"/>
    <xf numFmtId="0" fontId="19" fillId="0" borderId="13" applyNumberFormat="0" applyFill="0" applyBorder="0" applyAlignment="0" applyProtection="0"/>
    <xf numFmtId="0" fontId="20" fillId="0" borderId="13" applyNumberFormat="0" applyFill="0" applyBorder="0" applyAlignment="0" applyProtection="0"/>
    <xf numFmtId="0" fontId="13" fillId="0" borderId="13" applyNumberFormat="0" applyFill="0" applyAlignment="0" applyProtection="0"/>
    <xf numFmtId="174" fontId="19" fillId="0" borderId="0" applyBorder="0" applyProtection="0"/>
    <xf numFmtId="172" fontId="21" fillId="0" borderId="0" applyNumberFormat="0" applyAlignment="0">
      <alignment horizontal="left"/>
    </xf>
    <xf numFmtId="175" fontId="9" fillId="0" borderId="0" applyFill="0" applyBorder="0" applyAlignment="0" applyProtection="0">
      <alignment wrapText="1"/>
    </xf>
    <xf numFmtId="0" fontId="15" fillId="0" borderId="0" applyNumberFormat="0" applyFill="0" applyBorder="0">
      <alignment horizontal="center" wrapText="1"/>
    </xf>
    <xf numFmtId="0" fontId="15" fillId="0" borderId="0" applyNumberFormat="0" applyFill="0" applyBorder="0">
      <alignment horizontal="center" wrapText="1"/>
    </xf>
    <xf numFmtId="0" fontId="22" fillId="0" borderId="13" applyNumberFormat="0" applyFill="0" applyBorder="0" applyAlignment="0" applyProtection="0"/>
    <xf numFmtId="176" fontId="19" fillId="0" borderId="0" applyBorder="0" applyProtection="0">
      <alignment horizontal="right"/>
    </xf>
    <xf numFmtId="177" fontId="13" fillId="0" borderId="0" applyBorder="0" applyProtection="0">
      <alignment horizontal="right"/>
    </xf>
    <xf numFmtId="0" fontId="23" fillId="0" borderId="13" applyNumberFormat="0" applyFill="0" applyBorder="0" applyAlignment="0" applyProtection="0"/>
    <xf numFmtId="0" fontId="24" fillId="0" borderId="13" applyNumberFormat="0" applyFill="0" applyBorder="0" applyAlignment="0" applyProtection="0"/>
    <xf numFmtId="0" fontId="25" fillId="0" borderId="13" applyNumberForma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37" fontId="9" fillId="0" borderId="0" applyFont="0" applyFill="0" applyBorder="0" applyAlignment="0" applyProtection="0"/>
    <xf numFmtId="7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81" fontId="44" fillId="0" borderId="0">
      <alignment horizontal="right"/>
    </xf>
    <xf numFmtId="182" fontId="44" fillId="0" borderId="0">
      <alignment horizontal="right"/>
    </xf>
    <xf numFmtId="183" fontId="44" fillId="0" borderId="0">
      <alignment horizontal="right"/>
    </xf>
    <xf numFmtId="184" fontId="45" fillId="0" borderId="0" applyFont="0" applyFill="0" applyBorder="0" applyAlignment="0" applyProtection="0"/>
    <xf numFmtId="185" fontId="46" fillId="0" borderId="0" applyFont="0" applyFill="0" applyBorder="0" applyAlignment="0" applyProtection="0"/>
    <xf numFmtId="164" fontId="47" fillId="0" borderId="0" applyFont="0" applyFill="0" applyBorder="0"/>
    <xf numFmtId="0" fontId="48" fillId="0" borderId="0" applyNumberFormat="0" applyFont="0" applyFill="0" applyBorder="0" applyAlignment="0" applyProtection="0"/>
    <xf numFmtId="0" fontId="48" fillId="0" borderId="0" applyNumberFormat="0" applyFont="0" applyFill="0" applyBorder="0" applyAlignment="0" applyProtection="0"/>
    <xf numFmtId="17" fontId="49" fillId="0" borderId="0">
      <alignment horizontal="center"/>
    </xf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>
      <alignment horizontal="left" wrapText="1"/>
    </xf>
    <xf numFmtId="0" fontId="9" fillId="0" borderId="0" applyNumberForma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0" fillId="0" borderId="0"/>
    <xf numFmtId="0" fontId="50" fillId="0" borderId="0"/>
    <xf numFmtId="0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50" fillId="0" borderId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192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9" fillId="12" borderId="0" applyNumberFormat="0" applyFon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>
      <alignment horizontal="left" wrapText="1"/>
    </xf>
    <xf numFmtId="0" fontId="9" fillId="0" borderId="0" applyFont="0" applyFill="0" applyBorder="0" applyAlignment="0" applyProtection="0"/>
    <xf numFmtId="0" fontId="9" fillId="0" borderId="0">
      <alignment horizontal="left" wrapText="1"/>
    </xf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4" fontId="9" fillId="0" borderId="0" applyFont="0" applyFill="0" applyBorder="0" applyAlignment="0" applyProtection="0"/>
    <xf numFmtId="194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5" fontId="9" fillId="0" borderId="0" applyFont="0" applyFill="0" applyBorder="0" applyAlignment="0" applyProtection="0"/>
    <xf numFmtId="194" fontId="9" fillId="0" borderId="0" applyFont="0" applyFill="0" applyBorder="0" applyAlignment="0" applyProtection="0"/>
    <xf numFmtId="194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7" fontId="9" fillId="0" borderId="0" applyFont="0" applyFill="0" applyBorder="0" applyProtection="0">
      <alignment horizontal="right"/>
    </xf>
    <xf numFmtId="196" fontId="9" fillId="0" borderId="0" applyFont="0" applyFill="0" applyBorder="0" applyAlignment="0" applyProtection="0"/>
    <xf numFmtId="197" fontId="9" fillId="0" borderId="0" applyFont="0" applyFill="0" applyBorder="0" applyProtection="0">
      <alignment horizontal="right"/>
    </xf>
    <xf numFmtId="197" fontId="9" fillId="0" borderId="0" applyFont="0" applyFill="0" applyBorder="0" applyProtection="0">
      <alignment horizontal="right"/>
    </xf>
    <xf numFmtId="197" fontId="9" fillId="0" borderId="0" applyFont="0" applyFill="0" applyBorder="0" applyProtection="0">
      <alignment horizontal="right"/>
    </xf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7" fontId="9" fillId="0" borderId="0" applyFont="0" applyFill="0" applyBorder="0" applyProtection="0">
      <alignment horizontal="right"/>
    </xf>
    <xf numFmtId="197" fontId="9" fillId="0" borderId="0" applyFont="0" applyFill="0" applyBorder="0" applyProtection="0">
      <alignment horizontal="right"/>
    </xf>
    <xf numFmtId="197" fontId="9" fillId="0" borderId="0" applyFont="0" applyFill="0" applyBorder="0" applyProtection="0">
      <alignment horizontal="right"/>
    </xf>
    <xf numFmtId="198" fontId="9" fillId="0" borderId="0" applyFont="0" applyFill="0" applyBorder="0" applyAlignment="0" applyProtection="0"/>
    <xf numFmtId="199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9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>
      <alignment horizontal="left" wrapText="1"/>
    </xf>
    <xf numFmtId="0" fontId="9" fillId="0" borderId="0" applyNumberFormat="0" applyFill="0" applyBorder="0" applyAlignment="0" applyProtection="0"/>
    <xf numFmtId="0" fontId="9" fillId="0" borderId="0" applyFont="0" applyFill="0" applyBorder="0" applyAlignment="0" applyProtection="0"/>
    <xf numFmtId="0" fontId="48" fillId="0" borderId="0" applyNumberFormat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 applyNumberFormat="0" applyFill="0" applyBorder="0" applyProtection="0">
      <alignment vertical="top"/>
    </xf>
    <xf numFmtId="0" fontId="52" fillId="0" borderId="0" applyNumberFormat="0" applyFill="0" applyBorder="0" applyProtection="0">
      <alignment vertical="top"/>
    </xf>
    <xf numFmtId="0" fontId="52" fillId="0" borderId="0" applyNumberFormat="0" applyFill="0" applyBorder="0" applyProtection="0">
      <alignment vertical="top"/>
    </xf>
    <xf numFmtId="0" fontId="9" fillId="0" borderId="0" applyFont="0" applyFill="0" applyBorder="0" applyAlignment="0" applyProtection="0"/>
    <xf numFmtId="0" fontId="53" fillId="0" borderId="23" applyNumberFormat="0" applyFill="0" applyAlignment="0" applyProtection="0"/>
    <xf numFmtId="0" fontId="53" fillId="0" borderId="23" applyNumberFormat="0" applyFill="0" applyAlignment="0" applyProtection="0"/>
    <xf numFmtId="0" fontId="53" fillId="0" borderId="23" applyNumberFormat="0" applyFill="0" applyAlignment="0" applyProtection="0"/>
    <xf numFmtId="0" fontId="53" fillId="0" borderId="23" applyNumberFormat="0" applyFill="0" applyAlignment="0" applyProtection="0"/>
    <xf numFmtId="0" fontId="53" fillId="0" borderId="23" applyNumberFormat="0" applyFill="0" applyAlignment="0" applyProtection="0"/>
    <xf numFmtId="0" fontId="53" fillId="0" borderId="24" applyNumberFormat="0" applyFill="0" applyAlignment="0" applyProtection="0"/>
    <xf numFmtId="0" fontId="53" fillId="0" borderId="24" applyNumberFormat="0" applyFill="0" applyAlignment="0" applyProtection="0"/>
    <xf numFmtId="0" fontId="53" fillId="0" borderId="24" applyNumberFormat="0" applyFill="0" applyAlignment="0" applyProtection="0"/>
    <xf numFmtId="0" fontId="53" fillId="0" borderId="24" applyNumberFormat="0" applyFill="0" applyAlignment="0" applyProtection="0"/>
    <xf numFmtId="0" fontId="53" fillId="0" borderId="24" applyNumberFormat="0" applyFill="0" applyAlignment="0" applyProtection="0"/>
    <xf numFmtId="0" fontId="54" fillId="0" borderId="25" applyNumberFormat="0" applyFill="0" applyProtection="0">
      <alignment horizontal="center"/>
    </xf>
    <xf numFmtId="0" fontId="54" fillId="0" borderId="25" applyNumberFormat="0" applyFill="0" applyProtection="0">
      <alignment horizontal="center"/>
    </xf>
    <xf numFmtId="0" fontId="54" fillId="0" borderId="25" applyNumberFormat="0" applyFill="0" applyProtection="0">
      <alignment horizontal="center"/>
    </xf>
    <xf numFmtId="0" fontId="54" fillId="0" borderId="25" applyNumberFormat="0" applyFill="0" applyProtection="0">
      <alignment horizontal="center"/>
    </xf>
    <xf numFmtId="0" fontId="54" fillId="0" borderId="25" applyNumberFormat="0" applyFill="0" applyProtection="0">
      <alignment horizontal="center"/>
    </xf>
    <xf numFmtId="0" fontId="54" fillId="0" borderId="0" applyNumberFormat="0" applyFill="0" applyBorder="0" applyProtection="0">
      <alignment horizontal="left"/>
    </xf>
    <xf numFmtId="0" fontId="55" fillId="0" borderId="0" applyNumberFormat="0" applyFill="0" applyBorder="0" applyProtection="0">
      <alignment horizontal="centerContinuous"/>
    </xf>
    <xf numFmtId="0" fontId="9" fillId="0" borderId="0" applyNumberForma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9" fillId="0" borderId="0"/>
    <xf numFmtId="0" fontId="57" fillId="0" borderId="0"/>
    <xf numFmtId="0" fontId="58" fillId="0" borderId="0"/>
    <xf numFmtId="9" fontId="9" fillId="0" borderId="0"/>
    <xf numFmtId="0" fontId="58" fillId="0" borderId="0"/>
    <xf numFmtId="0" fontId="58" fillId="0" borderId="0"/>
    <xf numFmtId="2" fontId="58" fillId="0" borderId="0"/>
    <xf numFmtId="10" fontId="58" fillId="0" borderId="0"/>
    <xf numFmtId="200" fontId="13" fillId="0" borderId="0" applyFont="0" applyFill="0" applyBorder="0" applyAlignment="0" applyProtection="0"/>
    <xf numFmtId="0" fontId="9" fillId="0" borderId="0"/>
    <xf numFmtId="201" fontId="13" fillId="0" borderId="5" applyFont="0" applyFill="0" applyBorder="0" applyAlignment="0" applyProtection="0">
      <alignment horizontal="right"/>
    </xf>
    <xf numFmtId="202" fontId="59" fillId="0" borderId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0" fontId="9" fillId="0" borderId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8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0" fontId="60" fillId="17" borderId="0" applyNumberFormat="0" applyBorder="0" applyAlignment="0" applyProtection="0"/>
    <xf numFmtId="0" fontId="60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18" borderId="0" applyNumberFormat="0" applyBorder="0" applyAlignment="0" applyProtection="0"/>
    <xf numFmtId="0" fontId="60" fillId="17" borderId="0" applyNumberFormat="0" applyBorder="0" applyAlignment="0" applyProtection="0"/>
    <xf numFmtId="0" fontId="60" fillId="14" borderId="0" applyNumberFormat="0" applyBorder="0" applyAlignment="0" applyProtection="0"/>
    <xf numFmtId="37" fontId="61" fillId="0" borderId="0">
      <alignment horizontal="center"/>
    </xf>
    <xf numFmtId="172" fontId="33" fillId="6" borderId="0" applyFont="0" applyBorder="0"/>
    <xf numFmtId="0" fontId="62" fillId="21" borderId="0"/>
    <xf numFmtId="172" fontId="33" fillId="22" borderId="0" applyNumberFormat="0" applyFont="0" applyBorder="0" applyAlignment="0" applyProtection="0"/>
    <xf numFmtId="172" fontId="63" fillId="8" borderId="0" applyNumberFormat="0" applyFont="0" applyBorder="0" applyAlignment="0" applyProtection="0"/>
    <xf numFmtId="172" fontId="13" fillId="23" borderId="0" applyBorder="0"/>
    <xf numFmtId="172" fontId="9" fillId="0" borderId="26" applyNumberFormat="0" applyBorder="0" applyAlignment="0" applyProtection="0"/>
    <xf numFmtId="203" fontId="64" fillId="0" borderId="0" applyBorder="0">
      <alignment horizontal="right"/>
    </xf>
    <xf numFmtId="203" fontId="13" fillId="0" borderId="26" applyBorder="0">
      <alignment horizontal="right"/>
    </xf>
    <xf numFmtId="164" fontId="65" fillId="0" borderId="0" applyBorder="0">
      <alignment horizontal="right"/>
    </xf>
    <xf numFmtId="164" fontId="66" fillId="0" borderId="26" applyBorder="0">
      <alignment horizontal="right"/>
    </xf>
    <xf numFmtId="172" fontId="67" fillId="0" borderId="0">
      <alignment horizontal="left" indent="1"/>
    </xf>
    <xf numFmtId="172" fontId="32" fillId="0" borderId="1" applyBorder="0"/>
    <xf numFmtId="172" fontId="33" fillId="24" borderId="26" applyNumberFormat="0" applyFont="0" applyBorder="0" applyAlignment="0" applyProtection="0"/>
    <xf numFmtId="203" fontId="42" fillId="25" borderId="1" applyBorder="0">
      <alignment horizontal="right"/>
    </xf>
    <xf numFmtId="203" fontId="42" fillId="0" borderId="1" applyBorder="0">
      <alignment horizontal="right"/>
    </xf>
    <xf numFmtId="172" fontId="41" fillId="0" borderId="26" applyNumberFormat="0" applyBorder="0" applyAlignment="0" applyProtection="0"/>
    <xf numFmtId="0" fontId="42" fillId="6" borderId="27" applyBorder="0">
      <alignment horizontal="center"/>
    </xf>
    <xf numFmtId="0" fontId="60" fillId="26" borderId="0" applyNumberFormat="0" applyBorder="0" applyAlignment="0" applyProtection="0"/>
    <xf numFmtId="0" fontId="60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41" fontId="68" fillId="0" borderId="0" applyFont="0" applyFill="0" applyBorder="0" applyAlignment="0" applyProtection="0"/>
    <xf numFmtId="204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42" fontId="68" fillId="0" borderId="0" applyFont="0" applyFill="0" applyBorder="0" applyAlignment="0" applyProtection="0"/>
    <xf numFmtId="205" fontId="68" fillId="0" borderId="0" applyFont="0" applyFill="0" applyBorder="0" applyAlignment="0" applyProtection="0"/>
    <xf numFmtId="44" fontId="68" fillId="0" borderId="0" applyFont="0" applyFill="0" applyBorder="0" applyAlignment="0" applyProtection="0"/>
    <xf numFmtId="206" fontId="69" fillId="0" borderId="0">
      <alignment horizontal="left"/>
    </xf>
    <xf numFmtId="0" fontId="44" fillId="0" borderId="0">
      <alignment horizontal="center" wrapText="1"/>
      <protection locked="0"/>
    </xf>
    <xf numFmtId="0" fontId="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07" fontId="71" fillId="0" borderId="0" applyFont="0" applyFill="0" applyBorder="0" applyAlignment="0" applyProtection="0"/>
    <xf numFmtId="208" fontId="71" fillId="0" borderId="0" applyFont="0" applyFill="0" applyBorder="0" applyAlignment="0" applyProtection="0"/>
    <xf numFmtId="0" fontId="62" fillId="0" borderId="0"/>
    <xf numFmtId="0" fontId="72" fillId="30" borderId="0" applyNumberFormat="0" applyBorder="0" applyAlignment="0" applyProtection="0"/>
    <xf numFmtId="170" fontId="44" fillId="0" borderId="0" applyFon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5" applyNumberFormat="0" applyFill="0" applyAlignment="0" applyProtection="0"/>
    <xf numFmtId="209" fontId="75" fillId="0" borderId="0">
      <alignment horizontal="center"/>
    </xf>
    <xf numFmtId="15" fontId="76" fillId="0" borderId="0" applyNumberFormat="0">
      <alignment horizontal="center"/>
    </xf>
    <xf numFmtId="3" fontId="9" fillId="0" borderId="21" applyNumberFormat="0" applyFont="0" applyFill="0" applyAlignment="0"/>
    <xf numFmtId="0" fontId="46" fillId="0" borderId="28"/>
    <xf numFmtId="0" fontId="46" fillId="0" borderId="0"/>
    <xf numFmtId="3" fontId="9" fillId="0" borderId="21" applyNumberFormat="0" applyFont="0" applyFill="0" applyAlignment="0"/>
    <xf numFmtId="0" fontId="77" fillId="0" borderId="29" applyFill="0" applyProtection="0">
      <alignment horizontal="right"/>
    </xf>
    <xf numFmtId="210" fontId="78" fillId="24" borderId="0" applyFont="0" applyFill="0" applyBorder="0" applyAlignment="0" applyProtection="0"/>
    <xf numFmtId="3" fontId="79" fillId="0" borderId="0"/>
    <xf numFmtId="0" fontId="40" fillId="0" borderId="0" applyFont="0" applyFill="0" applyBorder="0" applyAlignment="0" applyProtection="0"/>
    <xf numFmtId="0" fontId="56" fillId="0" borderId="0" applyFont="0" applyFill="0" applyBorder="0" applyAlignment="0" applyProtection="0"/>
    <xf numFmtId="211" fontId="62" fillId="0" borderId="30" applyFont="0" applyFill="0" applyBorder="0" applyAlignment="0" applyProtection="0"/>
    <xf numFmtId="38" fontId="15" fillId="0" borderId="0" applyFont="0" applyBorder="0" applyAlignment="0">
      <alignment horizontal="centerContinuous"/>
    </xf>
    <xf numFmtId="0" fontId="80" fillId="31" borderId="0"/>
    <xf numFmtId="0" fontId="80" fillId="32" borderId="0"/>
    <xf numFmtId="0" fontId="80" fillId="29" borderId="0"/>
    <xf numFmtId="0" fontId="71" fillId="0" borderId="0"/>
    <xf numFmtId="212" fontId="13" fillId="33" borderId="2"/>
    <xf numFmtId="213" fontId="28" fillId="0" borderId="0" applyFill="0" applyBorder="0" applyAlignment="0"/>
    <xf numFmtId="172" fontId="46" fillId="0" borderId="0" applyFill="0" applyBorder="0" applyAlignment="0"/>
    <xf numFmtId="180" fontId="46" fillId="0" borderId="0" applyFill="0" applyBorder="0" applyAlignment="0"/>
    <xf numFmtId="214" fontId="9" fillId="0" borderId="0" applyFill="0" applyBorder="0" applyAlignment="0"/>
    <xf numFmtId="215" fontId="9" fillId="0" borderId="0" applyFill="0" applyBorder="0" applyAlignment="0"/>
    <xf numFmtId="44" fontId="46" fillId="0" borderId="0" applyFill="0" applyBorder="0" applyAlignment="0"/>
    <xf numFmtId="216" fontId="46" fillId="0" borderId="0" applyFill="0" applyBorder="0" applyAlignment="0"/>
    <xf numFmtId="217" fontId="9" fillId="0" borderId="0" applyFill="0" applyBorder="0" applyAlignment="0"/>
    <xf numFmtId="0" fontId="81" fillId="34" borderId="31" applyNumberFormat="0" applyAlignment="0" applyProtection="0"/>
    <xf numFmtId="3" fontId="82" fillId="0" borderId="0" applyNumberFormat="0" applyFill="0" applyBorder="0" applyAlignment="0" applyProtection="0"/>
    <xf numFmtId="218" fontId="83" fillId="0" borderId="4" applyFill="0" applyBorder="0" applyAlignment="0" applyProtection="0">
      <alignment horizontal="right"/>
    </xf>
    <xf numFmtId="164" fontId="58" fillId="0" borderId="0" applyFont="0" applyFill="0" applyBorder="0"/>
    <xf numFmtId="219" fontId="9" fillId="0" borderId="0" applyFont="0" applyFill="0"/>
    <xf numFmtId="220" fontId="79" fillId="0" borderId="0" applyFont="0" applyFill="0" applyBorder="0">
      <alignment horizontal="right"/>
    </xf>
    <xf numFmtId="220" fontId="47" fillId="0" borderId="0" applyFont="0" applyFill="0"/>
    <xf numFmtId="0" fontId="9" fillId="35" borderId="0" applyNumberFormat="0" applyFont="0" applyBorder="0" applyAlignment="0"/>
    <xf numFmtId="170" fontId="84" fillId="0" borderId="0" applyFont="0" applyFill="0" applyBorder="0" applyAlignment="0" applyProtection="0"/>
    <xf numFmtId="0" fontId="85" fillId="0" borderId="0"/>
    <xf numFmtId="37" fontId="21" fillId="0" borderId="0"/>
    <xf numFmtId="221" fontId="9" fillId="0" borderId="0"/>
    <xf numFmtId="37" fontId="21" fillId="0" borderId="0"/>
    <xf numFmtId="222" fontId="9" fillId="0" borderId="0"/>
    <xf numFmtId="0" fontId="32" fillId="0" borderId="0" applyFill="0" applyBorder="0" applyProtection="0">
      <alignment horizontal="center"/>
      <protection locked="0"/>
    </xf>
    <xf numFmtId="8" fontId="9" fillId="0" borderId="32" applyFont="0" applyFill="0" applyBorder="0" applyProtection="0">
      <alignment horizontal="right"/>
    </xf>
    <xf numFmtId="223" fontId="21" fillId="0" borderId="0"/>
    <xf numFmtId="224" fontId="21" fillId="0" borderId="0"/>
    <xf numFmtId="183" fontId="86" fillId="0" borderId="0"/>
    <xf numFmtId="1" fontId="87" fillId="0" borderId="0"/>
    <xf numFmtId="0" fontId="88" fillId="36" borderId="33" applyNumberFormat="0" applyAlignment="0" applyProtection="0"/>
    <xf numFmtId="0" fontId="13" fillId="0" borderId="0" applyNumberFormat="0" applyFill="0" applyBorder="0" applyAlignment="0" applyProtection="0"/>
    <xf numFmtId="0" fontId="19" fillId="37" borderId="17" applyFont="0" applyFill="0" applyBorder="0"/>
    <xf numFmtId="0" fontId="13" fillId="0" borderId="16"/>
    <xf numFmtId="0" fontId="89" fillId="0" borderId="5" applyNumberFormat="0" applyFill="0" applyProtection="0">
      <alignment horizontal="right" vertical="center"/>
    </xf>
    <xf numFmtId="0" fontId="58" fillId="0" borderId="0">
      <alignment horizontal="center" wrapText="1"/>
      <protection hidden="1"/>
    </xf>
    <xf numFmtId="0" fontId="90" fillId="31" borderId="0">
      <alignment horizontal="left"/>
    </xf>
    <xf numFmtId="0" fontId="91" fillId="31" borderId="0">
      <alignment horizontal="right"/>
    </xf>
    <xf numFmtId="0" fontId="92" fillId="34" borderId="0">
      <alignment horizontal="center"/>
    </xf>
    <xf numFmtId="0" fontId="91" fillId="31" borderId="0">
      <alignment horizontal="right"/>
    </xf>
    <xf numFmtId="0" fontId="93" fillId="34" borderId="0">
      <alignment horizontal="left"/>
    </xf>
    <xf numFmtId="225" fontId="94" fillId="0" borderId="0"/>
    <xf numFmtId="225" fontId="94" fillId="0" borderId="0"/>
    <xf numFmtId="225" fontId="94" fillId="0" borderId="0"/>
    <xf numFmtId="225" fontId="94" fillId="0" borderId="0"/>
    <xf numFmtId="225" fontId="94" fillId="0" borderId="0"/>
    <xf numFmtId="225" fontId="94" fillId="0" borderId="0"/>
    <xf numFmtId="225" fontId="94" fillId="0" borderId="0"/>
    <xf numFmtId="225" fontId="94" fillId="0" borderId="0"/>
    <xf numFmtId="226" fontId="44" fillId="0" borderId="0"/>
    <xf numFmtId="227" fontId="9" fillId="0" borderId="0" applyFont="0" applyFill="0" applyBorder="0" applyAlignment="0" applyProtection="0"/>
    <xf numFmtId="172" fontId="46" fillId="0" borderId="0" applyFont="0" applyFill="0" applyBorder="0" applyAlignment="0" applyProtection="0"/>
    <xf numFmtId="228" fontId="95" fillId="0" borderId="0" applyFont="0" applyFill="0" applyBorder="0" applyAlignment="0" applyProtection="0">
      <alignment horizontal="right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5" fillId="0" borderId="0" applyFont="0" applyFill="0" applyBorder="0" applyAlignment="0" applyProtection="0">
      <alignment horizontal="right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29" fontId="95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0" fontId="9" fillId="0" borderId="0" applyFont="0" applyFill="0" applyBorder="0" applyProtection="0">
      <alignment horizontal="right"/>
    </xf>
    <xf numFmtId="230" fontId="21" fillId="0" borderId="0"/>
    <xf numFmtId="40" fontId="58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46" fillId="0" borderId="0"/>
    <xf numFmtId="0" fontId="96" fillId="0" borderId="0"/>
    <xf numFmtId="0" fontId="46" fillId="0" borderId="0"/>
    <xf numFmtId="3" fontId="56" fillId="0" borderId="0" applyFont="0" applyFill="0" applyBorder="0" applyAlignment="0" applyProtection="0"/>
    <xf numFmtId="0" fontId="97" fillId="0" borderId="0" applyNumberFormat="0" applyFont="0" applyFill="0" applyBorder="0" applyProtection="0"/>
    <xf numFmtId="206" fontId="98" fillId="0" borderId="0">
      <alignment horizontal="left"/>
    </xf>
    <xf numFmtId="206" fontId="99" fillId="0" borderId="0" applyFill="0" applyBorder="0">
      <alignment horizontal="left"/>
    </xf>
    <xf numFmtId="0" fontId="100" fillId="0" borderId="0" applyNumberFormat="0" applyAlignment="0">
      <alignment horizontal="left"/>
    </xf>
    <xf numFmtId="0" fontId="63" fillId="0" borderId="0" applyNumberFormat="0" applyAlignment="0"/>
    <xf numFmtId="231" fontId="9" fillId="0" borderId="0" applyFill="0" applyBorder="0">
      <alignment horizontal="right"/>
      <protection locked="0"/>
    </xf>
    <xf numFmtId="0" fontId="46" fillId="0" borderId="0"/>
    <xf numFmtId="206" fontId="101" fillId="0" borderId="0"/>
    <xf numFmtId="206" fontId="101" fillId="0" borderId="0"/>
    <xf numFmtId="232" fontId="13" fillId="0" borderId="34" applyFont="0" applyFill="0" applyBorder="0" applyAlignment="0" applyProtection="0"/>
    <xf numFmtId="0" fontId="21" fillId="0" borderId="0">
      <alignment horizontal="center"/>
    </xf>
    <xf numFmtId="233" fontId="21" fillId="0" borderId="0" applyFont="0" applyFill="0" applyBorder="0" applyAlignment="0" applyProtection="0"/>
    <xf numFmtId="6" fontId="58" fillId="0" borderId="0" applyFont="0" applyFill="0" applyBorder="0" applyAlignment="0" applyProtection="0"/>
    <xf numFmtId="217" fontId="9" fillId="0" borderId="0" applyFont="0" applyFill="0" applyBorder="0" applyAlignment="0" applyProtection="0"/>
    <xf numFmtId="234" fontId="13" fillId="0" borderId="0" applyFont="0" applyFill="0" applyBorder="0" applyAlignment="0"/>
    <xf numFmtId="8" fontId="102" fillId="0" borderId="0" applyBorder="0"/>
    <xf numFmtId="235" fontId="95" fillId="0" borderId="0" applyFont="0" applyFill="0" applyBorder="0" applyAlignment="0" applyProtection="0">
      <alignment horizontal="right"/>
    </xf>
    <xf numFmtId="44" fontId="9" fillId="0" borderId="0" applyFont="0" applyFill="0" applyBorder="0" applyAlignment="0" applyProtection="0"/>
    <xf numFmtId="0" fontId="95" fillId="0" borderId="0" applyFont="0" applyFill="0" applyBorder="0" applyAlignment="0" applyProtection="0">
      <alignment horizontal="right"/>
    </xf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234" fontId="103" fillId="0" borderId="0" applyFont="0" applyFill="0" applyBorder="0" applyAlignment="0" applyProtection="0"/>
    <xf numFmtId="236" fontId="9" fillId="0" borderId="0" applyFont="0" applyFill="0" applyBorder="0" applyAlignment="0" applyProtection="0"/>
    <xf numFmtId="0" fontId="13" fillId="0" borderId="34" applyFont="0" applyFill="0" applyBorder="0" applyAlignment="0" applyProtection="0"/>
    <xf numFmtId="237" fontId="9" fillId="0" borderId="0" applyFont="0" applyFill="0" applyBorder="0" applyAlignment="0" applyProtection="0"/>
    <xf numFmtId="238" fontId="9" fillId="0" borderId="0"/>
    <xf numFmtId="239" fontId="95" fillId="0" borderId="0" applyFill="0" applyBorder="0" applyProtection="0">
      <alignment vertical="center"/>
    </xf>
    <xf numFmtId="0" fontId="58" fillId="0" borderId="0" applyFont="0" applyFill="0" applyBorder="0" applyAlignment="0">
      <protection locked="0"/>
    </xf>
    <xf numFmtId="240" fontId="62" fillId="0" borderId="0" applyFont="0" applyFill="0" applyBorder="0" applyAlignment="0" applyProtection="0"/>
    <xf numFmtId="241" fontId="9" fillId="6" borderId="0" applyFont="0" applyBorder="0"/>
    <xf numFmtId="0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242" fontId="9" fillId="0" borderId="0" applyFont="0" applyFill="0" applyBorder="0" applyAlignment="0" applyProtection="0"/>
    <xf numFmtId="8" fontId="9" fillId="0" borderId="0" applyFont="0" applyFill="0" applyBorder="0" applyAlignment="0" applyProtection="0"/>
    <xf numFmtId="13" fontId="9" fillId="0" borderId="0" applyFont="0" applyFill="0" applyBorder="0" applyAlignment="0" applyProtection="0"/>
    <xf numFmtId="243" fontId="9" fillId="0" borderId="0" applyFont="0" applyFill="0" applyBorder="0" applyAlignment="0" applyProtection="0"/>
    <xf numFmtId="7" fontId="9" fillId="0" borderId="0" applyFont="0" applyFill="0" applyBorder="0" applyAlignment="0" applyProtection="0"/>
    <xf numFmtId="206" fontId="9" fillId="0" borderId="0" applyFont="0" applyFill="0" applyBorder="0" applyAlignment="0" applyProtection="0"/>
    <xf numFmtId="5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244" fontId="9" fillId="0" borderId="0" applyFont="0" applyFill="0" applyBorder="0" applyAlignment="0" applyProtection="0"/>
    <xf numFmtId="14" fontId="9" fillId="0" borderId="0" applyFont="0" applyFill="0" applyBorder="0" applyAlignment="0" applyProtection="0"/>
    <xf numFmtId="46" fontId="9" fillId="0" borderId="0" applyFont="0" applyFill="0" applyBorder="0" applyAlignment="0" applyProtection="0"/>
    <xf numFmtId="245" fontId="9" fillId="0" borderId="0" applyFont="0" applyFill="0" applyBorder="0" applyAlignment="0" applyProtection="0"/>
    <xf numFmtId="246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247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1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203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19" fontId="9" fillId="0" borderId="0" applyFont="0" applyFill="0" applyBorder="0" applyAlignment="0" applyProtection="0"/>
    <xf numFmtId="37" fontId="9" fillId="0" borderId="0" applyFont="0" applyFill="0" applyBorder="0" applyAlignment="0" applyProtection="0"/>
    <xf numFmtId="172" fontId="9" fillId="0" borderId="0" applyFont="0" applyFill="0" applyBorder="0" applyAlignment="0" applyProtection="0"/>
    <xf numFmtId="17" fontId="9" fillId="0" borderId="0" applyFont="0" applyFill="0" applyBorder="0" applyAlignment="0" applyProtection="0"/>
    <xf numFmtId="38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5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50" fontId="9" fillId="0" borderId="0" applyFont="0" applyFill="0" applyBorder="0" applyAlignment="0" applyProtection="0"/>
    <xf numFmtId="39" fontId="9" fillId="0" borderId="0" applyFont="0" applyFill="0" applyBorder="0" applyAlignment="0" applyProtection="0"/>
    <xf numFmtId="251" fontId="9" fillId="0" borderId="0" applyFont="0" applyFill="0" applyBorder="0" applyAlignment="0" applyProtection="0"/>
    <xf numFmtId="252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234" fontId="9" fillId="0" borderId="0" applyFont="0" applyFill="0" applyBorder="0" applyAlignment="0" applyProtection="0"/>
    <xf numFmtId="253" fontId="9" fillId="0" borderId="0" applyFont="0" applyFill="0" applyBorder="0" applyAlignment="0" applyProtection="0"/>
    <xf numFmtId="49" fontId="9" fillId="0" borderId="0" applyFont="0" applyFill="0" applyBorder="0" applyAlignment="0" applyProtection="0"/>
    <xf numFmtId="6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254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56" fillId="0" borderId="0" applyFont="0" applyFill="0" applyBorder="0" applyAlignment="0" applyProtection="0"/>
    <xf numFmtId="255" fontId="46" fillId="0" borderId="35" applyNumberFormat="0" applyFill="0">
      <alignment horizontal="right"/>
    </xf>
    <xf numFmtId="256" fontId="9" fillId="0" borderId="0" applyFont="0" applyFill="0" applyBorder="0" applyProtection="0">
      <alignment horizontal="centerContinuous"/>
    </xf>
    <xf numFmtId="15" fontId="19" fillId="0" borderId="0" applyFill="0" applyBorder="0" applyAlignment="0"/>
    <xf numFmtId="257" fontId="19" fillId="38" borderId="0" applyFont="0" applyFill="0" applyBorder="0" applyAlignment="0" applyProtection="0"/>
    <xf numFmtId="258" fontId="64" fillId="38" borderId="22" applyFont="0" applyFill="0" applyBorder="0" applyAlignment="0" applyProtection="0"/>
    <xf numFmtId="170" fontId="13" fillId="38" borderId="0" applyFont="0" applyFill="0" applyBorder="0" applyAlignment="0" applyProtection="0"/>
    <xf numFmtId="17" fontId="19" fillId="0" borderId="0" applyFill="0" applyBorder="0">
      <alignment horizontal="right"/>
    </xf>
    <xf numFmtId="259" fontId="19" fillId="0" borderId="5"/>
    <xf numFmtId="260" fontId="95" fillId="0" borderId="0" applyFont="0" applyFill="0" applyBorder="0" applyAlignment="0" applyProtection="0"/>
    <xf numFmtId="14" fontId="13" fillId="0" borderId="0" applyFont="0" applyFill="0" applyBorder="0" applyAlignment="0" applyProtection="0"/>
    <xf numFmtId="243" fontId="44" fillId="0" borderId="0">
      <alignment horizontal="right"/>
    </xf>
    <xf numFmtId="14" fontId="28" fillId="0" borderId="0" applyFill="0" applyBorder="0" applyAlignment="0"/>
    <xf numFmtId="14" fontId="44" fillId="0" borderId="0">
      <alignment horizontal="right"/>
    </xf>
    <xf numFmtId="258" fontId="19" fillId="0" borderId="0" applyFill="0" applyBorder="0">
      <alignment horizontal="right"/>
    </xf>
    <xf numFmtId="14" fontId="84" fillId="0" borderId="0" applyFont="0" applyFill="0" applyBorder="0" applyAlignment="0" applyProtection="0">
      <alignment horizontal="center"/>
    </xf>
    <xf numFmtId="261" fontId="84" fillId="0" borderId="0" applyFont="0" applyFill="0" applyBorder="0" applyAlignment="0" applyProtection="0">
      <alignment horizontal="center"/>
    </xf>
    <xf numFmtId="0" fontId="9" fillId="0" borderId="0"/>
    <xf numFmtId="262" fontId="86" fillId="0" borderId="0"/>
    <xf numFmtId="230" fontId="44" fillId="0" borderId="0">
      <alignment horizontal="right"/>
    </xf>
    <xf numFmtId="262" fontId="44" fillId="0" borderId="0">
      <alignment horizontal="right"/>
    </xf>
    <xf numFmtId="263" fontId="44" fillId="0" borderId="0">
      <alignment horizontal="right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64" fontId="21" fillId="0" borderId="18" applyFont="0" applyFill="0" applyBorder="0" applyAlignment="0" applyProtection="0"/>
    <xf numFmtId="265" fontId="104" fillId="0" borderId="0" applyFill="0" applyBorder="0" applyAlignment="0" applyProtection="0"/>
    <xf numFmtId="266" fontId="86" fillId="0" borderId="0"/>
    <xf numFmtId="0" fontId="96" fillId="0" borderId="0"/>
    <xf numFmtId="0" fontId="96" fillId="0" borderId="36"/>
    <xf numFmtId="267" fontId="9" fillId="0" borderId="0"/>
    <xf numFmtId="7" fontId="13" fillId="0" borderId="0"/>
    <xf numFmtId="6" fontId="44" fillId="0" borderId="0" applyFont="0" applyFill="0" applyBorder="0" applyAlignment="0" applyProtection="0"/>
    <xf numFmtId="268" fontId="95" fillId="0" borderId="37" applyNumberFormat="0" applyFont="0" applyFill="0" applyAlignment="0" applyProtection="0"/>
    <xf numFmtId="42" fontId="105" fillId="0" borderId="0" applyFill="0" applyBorder="0" applyAlignment="0" applyProtection="0"/>
    <xf numFmtId="269" fontId="106" fillId="0" borderId="10" applyNumberFormat="0" applyBorder="0"/>
    <xf numFmtId="270" fontId="13" fillId="24" borderId="0" applyNumberFormat="0" applyBorder="0" applyAlignment="0" applyProtection="0">
      <alignment horizontal="right"/>
    </xf>
    <xf numFmtId="227" fontId="9" fillId="0" borderId="0" applyFill="0" applyBorder="0" applyAlignment="0"/>
    <xf numFmtId="217" fontId="9" fillId="0" borderId="0" applyFill="0" applyBorder="0" applyAlignment="0"/>
    <xf numFmtId="227" fontId="9" fillId="0" borderId="0" applyFill="0" applyBorder="0" applyAlignment="0"/>
    <xf numFmtId="245" fontId="9" fillId="0" borderId="0" applyFill="0" applyBorder="0" applyAlignment="0"/>
    <xf numFmtId="217" fontId="9" fillId="0" borderId="0" applyFill="0" applyBorder="0" applyAlignment="0"/>
    <xf numFmtId="0" fontId="107" fillId="0" borderId="0" applyNumberFormat="0" applyAlignment="0">
      <alignment horizontal="left"/>
    </xf>
    <xf numFmtId="271" fontId="21" fillId="0" borderId="18" applyFont="0" applyFill="0" applyBorder="0" applyAlignment="0" applyProtection="0"/>
    <xf numFmtId="272" fontId="21" fillId="0" borderId="0" applyFont="0" applyFill="0" applyBorder="0" applyAlignment="0" applyProtection="0"/>
    <xf numFmtId="273" fontId="21" fillId="0" borderId="0" applyFont="0" applyFill="0" applyBorder="0" applyAlignment="0" applyProtection="0"/>
    <xf numFmtId="274" fontId="21" fillId="0" borderId="0"/>
    <xf numFmtId="273" fontId="21" fillId="0" borderId="0" applyFont="0" applyFill="0" applyBorder="0" applyAlignment="0" applyProtection="0"/>
    <xf numFmtId="275" fontId="21" fillId="0" borderId="0" applyFont="0" applyFill="0" applyBorder="0" applyAlignment="0" applyProtection="0"/>
    <xf numFmtId="276" fontId="56" fillId="0" borderId="18" applyFont="0" applyFill="0" applyBorder="0" applyAlignment="0" applyProtection="0"/>
    <xf numFmtId="172" fontId="62" fillId="0" borderId="0" applyFill="0" applyAlignment="0" applyProtection="0"/>
    <xf numFmtId="277" fontId="21" fillId="0" borderId="0" applyFont="0" applyFill="0" applyBorder="0" applyAlignment="0" applyProtection="0"/>
    <xf numFmtId="278" fontId="21" fillId="0" borderId="0"/>
    <xf numFmtId="279" fontId="21" fillId="0" borderId="0"/>
    <xf numFmtId="280" fontId="50" fillId="0" borderId="0" applyFont="0" applyFill="0" applyBorder="0" applyAlignment="0" applyProtection="0"/>
    <xf numFmtId="0" fontId="108" fillId="0" borderId="0" applyNumberFormat="0" applyFill="0" applyBorder="0" applyAlignment="0" applyProtection="0"/>
    <xf numFmtId="37" fontId="9" fillId="0" borderId="5"/>
    <xf numFmtId="37" fontId="9" fillId="0" borderId="5"/>
    <xf numFmtId="37" fontId="9" fillId="0" borderId="5"/>
    <xf numFmtId="37" fontId="9" fillId="0" borderId="5"/>
    <xf numFmtId="37" fontId="9" fillId="0" borderId="5"/>
    <xf numFmtId="5" fontId="109" fillId="0" borderId="0" applyBorder="0">
      <alignment horizontal="right"/>
    </xf>
    <xf numFmtId="266" fontId="9" fillId="0" borderId="0"/>
    <xf numFmtId="226" fontId="86" fillId="0" borderId="0"/>
    <xf numFmtId="203" fontId="9" fillId="0" borderId="0"/>
    <xf numFmtId="281" fontId="9" fillId="38" borderId="0" applyFont="0" applyFill="0" applyBorder="0" applyAlignment="0"/>
    <xf numFmtId="2" fontId="86" fillId="0" borderId="0"/>
    <xf numFmtId="170" fontId="46" fillId="0" borderId="0">
      <alignment horizontal="right"/>
    </xf>
    <xf numFmtId="0" fontId="96" fillId="0" borderId="0"/>
    <xf numFmtId="206" fontId="110" fillId="0" borderId="0">
      <alignment horizontal="left"/>
    </xf>
    <xf numFmtId="0" fontId="46" fillId="39" borderId="0"/>
    <xf numFmtId="0" fontId="9" fillId="0" borderId="5">
      <alignment horizontal="center"/>
    </xf>
    <xf numFmtId="2" fontId="9" fillId="38" borderId="7" applyFill="0" applyBorder="0" applyProtection="0">
      <alignment horizontal="center"/>
    </xf>
    <xf numFmtId="0" fontId="111" fillId="17" borderId="0" applyNumberFormat="0" applyBorder="0" applyAlignment="0" applyProtection="0"/>
    <xf numFmtId="38" fontId="13" fillId="6" borderId="0" applyNumberFormat="0" applyBorder="0" applyAlignment="0" applyProtection="0"/>
    <xf numFmtId="282" fontId="112" fillId="0" borderId="0" applyFill="0" applyBorder="0" applyAlignment="0" applyProtection="0"/>
    <xf numFmtId="283" fontId="95" fillId="0" borderId="0" applyFont="0" applyFill="0" applyBorder="0" applyAlignment="0" applyProtection="0">
      <alignment horizontal="right"/>
    </xf>
    <xf numFmtId="38" fontId="113" fillId="0" borderId="0" applyNumberFormat="0" applyFill="0" applyBorder="0" applyAlignment="0" applyProtection="0"/>
    <xf numFmtId="0" fontId="80" fillId="40" borderId="0"/>
    <xf numFmtId="0" fontId="114" fillId="0" borderId="0">
      <alignment horizontal="left"/>
    </xf>
    <xf numFmtId="0" fontId="115" fillId="0" borderId="20" applyNumberFormat="0" applyAlignment="0" applyProtection="0">
      <alignment horizontal="left" vertical="center"/>
    </xf>
    <xf numFmtId="0" fontId="115" fillId="0" borderId="8">
      <alignment horizontal="left" vertical="center"/>
    </xf>
    <xf numFmtId="0" fontId="103" fillId="0" borderId="0">
      <alignment horizontal="centerContinuous" vertical="center"/>
    </xf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Protection="0">
      <alignment horizontal="left"/>
    </xf>
    <xf numFmtId="0" fontId="119" fillId="0" borderId="0" applyNumberFormat="0" applyFill="0" applyBorder="0" applyAlignment="0" applyProtection="0"/>
    <xf numFmtId="0" fontId="32" fillId="0" borderId="0" applyFill="0" applyAlignment="0" applyProtection="0">
      <protection locked="0"/>
    </xf>
    <xf numFmtId="0" fontId="120" fillId="0" borderId="0" applyProtection="0"/>
    <xf numFmtId="0" fontId="115" fillId="0" borderId="0" applyProtection="0"/>
    <xf numFmtId="0" fontId="85" fillId="0" borderId="35">
      <alignment horizontal="left"/>
    </xf>
    <xf numFmtId="0" fontId="85" fillId="41" borderId="0">
      <alignment horizontal="centerContinuous" wrapText="1"/>
    </xf>
    <xf numFmtId="3" fontId="79" fillId="0" borderId="0" applyNumberFormat="0" applyFill="0" applyBorder="0" applyAlignment="0" applyProtection="0"/>
    <xf numFmtId="0" fontId="121" fillId="7" borderId="0" applyNumberFormat="0" applyFont="0" applyFill="0" applyBorder="0" applyAlignment="0">
      <alignment horizontal="centerContinuous"/>
    </xf>
    <xf numFmtId="284" fontId="21" fillId="0" borderId="0"/>
    <xf numFmtId="285" fontId="122" fillId="0" borderId="0" applyNumberFormat="0" applyFill="0" applyBorder="0" applyAlignment="0" applyProtection="0"/>
    <xf numFmtId="170" fontId="44" fillId="0" borderId="0" applyFont="0" applyFill="0" applyBorder="0" applyAlignment="0" applyProtection="0"/>
    <xf numFmtId="206" fontId="123" fillId="0" borderId="14" applyNumberFormat="0" applyAlignment="0">
      <alignment horizontal="left"/>
    </xf>
    <xf numFmtId="10" fontId="13" fillId="38" borderId="3" applyNumberFormat="0" applyBorder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286" fontId="13" fillId="38" borderId="3" applyNumberFormat="0" applyFont="0" applyAlignment="0" applyProtection="0"/>
    <xf numFmtId="172" fontId="124" fillId="40" borderId="0"/>
    <xf numFmtId="287" fontId="125" fillId="0" borderId="0" applyFill="0" applyBorder="0" applyProtection="0"/>
    <xf numFmtId="288" fontId="125" fillId="0" borderId="0" applyFill="0" applyBorder="0" applyProtection="0"/>
    <xf numFmtId="258" fontId="13" fillId="38" borderId="0" applyFont="0" applyBorder="0" applyAlignment="0" applyProtection="0">
      <protection locked="0"/>
    </xf>
    <xf numFmtId="281" fontId="13" fillId="38" borderId="0" applyFont="0" applyBorder="0" applyAlignment="0">
      <protection locked="0"/>
    </xf>
    <xf numFmtId="289" fontId="125" fillId="0" borderId="0" applyFill="0" applyBorder="0" applyProtection="0"/>
    <xf numFmtId="170" fontId="13" fillId="38" borderId="0">
      <protection locked="0"/>
    </xf>
    <xf numFmtId="184" fontId="125" fillId="0" borderId="0" applyFill="0" applyBorder="0" applyProtection="0"/>
    <xf numFmtId="10" fontId="13" fillId="38" borderId="0">
      <protection locked="0"/>
    </xf>
    <xf numFmtId="0" fontId="13" fillId="38" borderId="0" applyFont="0" applyBorder="0" applyAlignment="0">
      <protection locked="0"/>
    </xf>
    <xf numFmtId="170" fontId="126" fillId="38" borderId="0" applyNumberFormat="0" applyBorder="0" applyAlignment="0">
      <protection locked="0"/>
    </xf>
    <xf numFmtId="0" fontId="9" fillId="0" borderId="0" applyNumberFormat="0" applyFill="0" applyBorder="0" applyAlignment="0">
      <protection locked="0"/>
    </xf>
    <xf numFmtId="290" fontId="127" fillId="0" borderId="0" applyFill="0" applyBorder="0" applyProtection="0">
      <alignment vertical="center"/>
    </xf>
    <xf numFmtId="239" fontId="127" fillId="0" borderId="0" applyFill="0" applyBorder="0" applyProtection="0">
      <alignment vertical="center"/>
    </xf>
    <xf numFmtId="291" fontId="127" fillId="0" borderId="0" applyFill="0" applyBorder="0" applyProtection="0">
      <alignment vertical="center"/>
    </xf>
    <xf numFmtId="292" fontId="127" fillId="0" borderId="0" applyFill="0" applyBorder="0" applyProtection="0">
      <alignment vertical="center"/>
    </xf>
    <xf numFmtId="0" fontId="58" fillId="0" borderId="0" applyFill="0" applyBorder="0">
      <alignment horizontal="right"/>
      <protection locked="0"/>
    </xf>
    <xf numFmtId="39" fontId="13" fillId="3" borderId="0"/>
    <xf numFmtId="38" fontId="128" fillId="0" borderId="0" applyNumberFormat="0" applyBorder="0" applyProtection="0">
      <alignment horizontal="left"/>
    </xf>
    <xf numFmtId="293" fontId="9" fillId="0" borderId="0" applyFill="0" applyBorder="0">
      <alignment horizontal="right"/>
      <protection locked="0"/>
    </xf>
    <xf numFmtId="0" fontId="15" fillId="10" borderId="28">
      <alignment horizontal="left" vertical="center" wrapText="1"/>
    </xf>
    <xf numFmtId="43" fontId="9" fillId="0" borderId="0" applyFont="0" applyFill="0" applyBorder="0" applyAlignment="0" applyProtection="0"/>
    <xf numFmtId="0" fontId="129" fillId="0" borderId="0" applyNumberFormat="0" applyFill="0" applyBorder="0" applyProtection="0">
      <alignment horizontal="left" vertical="center"/>
    </xf>
    <xf numFmtId="5" fontId="109" fillId="0" borderId="8">
      <alignment horizontal="right"/>
    </xf>
    <xf numFmtId="0" fontId="90" fillId="31" borderId="0">
      <alignment horizontal="left"/>
    </xf>
    <xf numFmtId="0" fontId="31" fillId="34" borderId="0">
      <alignment horizontal="left"/>
    </xf>
    <xf numFmtId="209" fontId="130" fillId="0" borderId="5">
      <alignment horizontal="right"/>
    </xf>
    <xf numFmtId="209" fontId="130" fillId="0" borderId="0">
      <alignment horizontal="right"/>
    </xf>
    <xf numFmtId="209" fontId="44" fillId="0" borderId="0">
      <alignment horizontal="left"/>
    </xf>
    <xf numFmtId="227" fontId="9" fillId="0" borderId="0" applyFill="0" applyBorder="0" applyAlignment="0"/>
    <xf numFmtId="217" fontId="9" fillId="0" borderId="0" applyFill="0" applyBorder="0" applyAlignment="0"/>
    <xf numFmtId="227" fontId="9" fillId="0" borderId="0" applyFill="0" applyBorder="0" applyAlignment="0"/>
    <xf numFmtId="245" fontId="9" fillId="0" borderId="0" applyFill="0" applyBorder="0" applyAlignment="0"/>
    <xf numFmtId="217" fontId="9" fillId="0" borderId="0" applyFill="0" applyBorder="0" applyAlignment="0"/>
    <xf numFmtId="0" fontId="131" fillId="0" borderId="38" applyNumberFormat="0" applyFill="0" applyAlignment="0" applyProtection="0"/>
    <xf numFmtId="172" fontId="132" fillId="31" borderId="0"/>
    <xf numFmtId="38" fontId="133" fillId="0" borderId="0" applyNumberFormat="0" applyFill="0" applyBorder="0" applyAlignment="0" applyProtection="0"/>
    <xf numFmtId="3" fontId="134" fillId="0" borderId="0" applyFill="0" applyBorder="0" applyAlignment="0" applyProtection="0"/>
    <xf numFmtId="14" fontId="19" fillId="0" borderId="5" applyFont="0" applyFill="0" applyBorder="0" applyAlignment="0" applyProtection="0"/>
    <xf numFmtId="294" fontId="9" fillId="38" borderId="5" applyFont="0" applyFill="0" applyBorder="0" applyAlignment="0" applyProtection="0">
      <alignment horizontal="right"/>
    </xf>
    <xf numFmtId="282" fontId="135" fillId="0" borderId="0" applyFill="0" applyBorder="0" applyAlignment="0" applyProtection="0"/>
    <xf numFmtId="37" fontId="109" fillId="0" borderId="0" applyBorder="0">
      <alignment horizontal="right"/>
    </xf>
    <xf numFmtId="0" fontId="74" fillId="6" borderId="5" applyNumberFormat="0" applyFo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95" fontId="13" fillId="0" borderId="0" applyFont="0" applyFill="0" applyBorder="0" applyAlignment="0" applyProtection="0"/>
    <xf numFmtId="0" fontId="63" fillId="0" borderId="39" applyNumberFormat="0" applyAlignment="0">
      <alignment horizontal="left"/>
    </xf>
    <xf numFmtId="0" fontId="136" fillId="0" borderId="14"/>
    <xf numFmtId="38" fontId="62" fillId="0" borderId="0" applyBorder="0"/>
    <xf numFmtId="42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296" fontId="95" fillId="0" borderId="0" applyFont="0" applyFill="0" applyBorder="0" applyAlignment="0" applyProtection="0">
      <alignment horizontal="right"/>
    </xf>
    <xf numFmtId="291" fontId="95" fillId="0" borderId="0" applyFill="0" applyBorder="0" applyProtection="0">
      <alignment vertical="center"/>
    </xf>
    <xf numFmtId="297" fontId="13" fillId="6" borderId="0" applyFont="0" applyBorder="0" applyAlignment="0" applyProtection="0">
      <alignment horizontal="right"/>
      <protection hidden="1"/>
    </xf>
    <xf numFmtId="0" fontId="137" fillId="12" borderId="0" applyNumberFormat="0" applyBorder="0" applyAlignment="0" applyProtection="0"/>
    <xf numFmtId="0" fontId="21" fillId="0" borderId="0"/>
    <xf numFmtId="0" fontId="104" fillId="0" borderId="0" applyNumberFormat="0" applyFill="0" applyAlignment="0" applyProtection="0"/>
    <xf numFmtId="37" fontId="138" fillId="0" borderId="0"/>
    <xf numFmtId="0" fontId="69" fillId="0" borderId="0">
      <alignment horizontal="centerContinuous"/>
    </xf>
    <xf numFmtId="298" fontId="13" fillId="0" borderId="0" applyFont="0" applyFill="0" applyBorder="0" applyAlignment="0" applyProtection="0">
      <alignment horizontal="right"/>
    </xf>
    <xf numFmtId="299" fontId="139" fillId="0" borderId="0"/>
    <xf numFmtId="0" fontId="85" fillId="0" borderId="0"/>
    <xf numFmtId="38" fontId="13" fillId="0" borderId="0" applyFont="0" applyFill="0" applyBorder="0" applyAlignment="0"/>
    <xf numFmtId="170" fontId="9" fillId="0" borderId="0" applyFont="0" applyFill="0" applyBorder="0" applyAlignment="0"/>
    <xf numFmtId="40" fontId="13" fillId="0" borderId="0" applyFont="0" applyFill="0" applyBorder="0" applyAlignment="0"/>
    <xf numFmtId="300" fontId="13" fillId="0" borderId="0" applyFont="0" applyFill="0" applyBorder="0" applyAlignment="0"/>
    <xf numFmtId="0" fontId="9" fillId="0" borderId="0" applyNumberFormat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70" fontId="19" fillId="0" borderId="0" applyNumberFormat="0" applyFill="0" applyBorder="0" applyAlignment="0" applyProtection="0"/>
    <xf numFmtId="301" fontId="13" fillId="0" borderId="0" applyFont="0" applyFill="0" applyBorder="0" applyAlignment="0" applyProtection="0"/>
    <xf numFmtId="0" fontId="13" fillId="0" borderId="0" applyFont="0" applyFill="0" applyBorder="0" applyAlignment="0" applyProtection="0">
      <alignment horizontal="right"/>
    </xf>
    <xf numFmtId="302" fontId="95" fillId="0" borderId="0" applyFill="0" applyBorder="0" applyProtection="0">
      <alignment vertical="center"/>
    </xf>
    <xf numFmtId="40" fontId="19" fillId="0" borderId="0">
      <alignment horizontal="left"/>
    </xf>
    <xf numFmtId="170" fontId="13" fillId="0" borderId="0"/>
    <xf numFmtId="303" fontId="13" fillId="0" borderId="0" applyFont="0" applyFill="0" applyBorder="0" applyAlignment="0" applyProtection="0"/>
    <xf numFmtId="304" fontId="13" fillId="0" borderId="0" applyFont="0" applyFill="0" applyBorder="0" applyAlignment="0" applyProtection="0"/>
    <xf numFmtId="305" fontId="140" fillId="0" borderId="0"/>
    <xf numFmtId="37" fontId="21" fillId="0" borderId="0" applyFont="0" applyFill="0" applyBorder="0" applyProtection="0">
      <alignment vertical="top"/>
    </xf>
    <xf numFmtId="172" fontId="21" fillId="0" borderId="0" applyFont="0" applyFill="0" applyBorder="0" applyAlignment="0" applyProtection="0">
      <alignment vertical="top"/>
      <protection locked="0"/>
    </xf>
    <xf numFmtId="39" fontId="21" fillId="0" borderId="0" applyFont="0" applyFill="0" applyBorder="0" applyAlignment="0" applyProtection="0">
      <alignment vertical="top"/>
    </xf>
    <xf numFmtId="37" fontId="21" fillId="0" borderId="0" applyFont="0" applyFill="0" applyBorder="0" applyProtection="0">
      <alignment vertical="top"/>
    </xf>
    <xf numFmtId="306" fontId="13" fillId="0" borderId="0" applyFont="0" applyFill="0" applyBorder="0" applyAlignment="0" applyProtection="0"/>
    <xf numFmtId="38" fontId="141" fillId="0" borderId="0"/>
    <xf numFmtId="0" fontId="104" fillId="0" borderId="0" applyFill="0" applyBorder="0" applyAlignment="0" applyProtection="0"/>
    <xf numFmtId="307" fontId="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230" fontId="9" fillId="0" borderId="0" applyNumberFormat="0" applyFill="0" applyBorder="0" applyAlignment="0" applyProtection="0"/>
    <xf numFmtId="4" fontId="9" fillId="0" borderId="0"/>
    <xf numFmtId="308" fontId="13" fillId="0" borderId="0" applyFont="0" applyFill="0" applyBorder="0" applyAlignment="0" applyProtection="0"/>
    <xf numFmtId="40" fontId="142" fillId="0" borderId="0" applyFont="0" applyFill="0" applyBorder="0" applyAlignment="0" applyProtection="0"/>
    <xf numFmtId="38" fontId="142" fillId="0" borderId="0" applyFont="0" applyFill="0" applyBorder="0" applyAlignment="0" applyProtection="0"/>
    <xf numFmtId="0" fontId="143" fillId="0" borderId="0">
      <alignment horizontal="left" vertical="top"/>
      <protection locked="0"/>
    </xf>
    <xf numFmtId="0" fontId="144" fillId="0" borderId="0">
      <alignment horizontal="left"/>
    </xf>
    <xf numFmtId="0" fontId="145" fillId="34" borderId="40" applyNumberFormat="0" applyAlignment="0" applyProtection="0"/>
    <xf numFmtId="40" fontId="146" fillId="3" borderId="0">
      <alignment horizontal="right"/>
    </xf>
    <xf numFmtId="0" fontId="147" fillId="3" borderId="0">
      <alignment horizontal="right"/>
    </xf>
    <xf numFmtId="0" fontId="148" fillId="3" borderId="2"/>
    <xf numFmtId="0" fontId="148" fillId="0" borderId="0" applyBorder="0">
      <alignment horizontal="centerContinuous"/>
    </xf>
    <xf numFmtId="0" fontId="149" fillId="0" borderId="0" applyBorder="0">
      <alignment horizontal="centerContinuous"/>
    </xf>
    <xf numFmtId="37" fontId="150" fillId="3" borderId="0" applyAlignment="0"/>
    <xf numFmtId="1" fontId="151" fillId="0" borderId="0" applyProtection="0">
      <alignment horizontal="right" vertical="center"/>
    </xf>
    <xf numFmtId="216" fontId="13" fillId="0" borderId="0"/>
    <xf numFmtId="10" fontId="141" fillId="0" borderId="0"/>
    <xf numFmtId="14" fontId="44" fillId="0" borderId="0">
      <alignment horizontal="center" wrapText="1"/>
      <protection locked="0"/>
    </xf>
    <xf numFmtId="309" fontId="9" fillId="0" borderId="0" applyFont="0" applyFill="0" applyBorder="0" applyAlignment="0" applyProtection="0"/>
    <xf numFmtId="168" fontId="9" fillId="0" borderId="0" applyFont="0" applyFill="0" applyBorder="0" applyAlignment="0" applyProtection="0"/>
    <xf numFmtId="310" fontId="9" fillId="0" borderId="0" applyFont="0" applyFill="0" applyBorder="0" applyAlignment="0" applyProtection="0"/>
    <xf numFmtId="311" fontId="13" fillId="0" borderId="0" applyFont="0" applyFill="0" applyBorder="0" applyAlignment="0"/>
    <xf numFmtId="312" fontId="20" fillId="0" borderId="0" applyFill="0" applyBorder="0" applyAlignment="0" applyProtection="0"/>
    <xf numFmtId="311" fontId="20" fillId="38" borderId="3" applyFill="0" applyBorder="0" applyAlignment="0" applyProtection="0">
      <alignment horizontal="right"/>
      <protection locked="0"/>
    </xf>
    <xf numFmtId="10" fontId="9" fillId="0" borderId="0" applyFont="0" applyFill="0" applyBorder="0" applyAlignment="0" applyProtection="0"/>
    <xf numFmtId="313" fontId="20" fillId="0" borderId="0" applyFill="0" applyBorder="0" applyAlignment="0" applyProtection="0"/>
    <xf numFmtId="314" fontId="20" fillId="2" borderId="0" applyFont="0" applyFill="0" applyBorder="0" applyAlignment="0" applyProtection="0"/>
    <xf numFmtId="0" fontId="20" fillId="0" borderId="0" applyFill="0" applyBorder="0" applyAlignment="0" applyProtection="0"/>
    <xf numFmtId="173" fontId="13" fillId="2" borderId="0" applyFont="0" applyFill="0" applyBorder="0" applyAlignment="0" applyProtection="0"/>
    <xf numFmtId="164" fontId="44" fillId="0" borderId="0">
      <alignment horizontal="right"/>
    </xf>
    <xf numFmtId="10" fontId="44" fillId="0" borderId="0">
      <alignment horizontal="right"/>
    </xf>
    <xf numFmtId="9" fontId="9" fillId="0" borderId="0" applyFont="0" applyFill="0" applyBorder="0" applyAlignment="0" applyProtection="0"/>
    <xf numFmtId="315" fontId="9" fillId="0" borderId="0" applyFont="0" applyFill="0" applyBorder="0" applyProtection="0">
      <alignment horizontal="right"/>
    </xf>
    <xf numFmtId="316" fontId="9" fillId="24" borderId="0" applyFont="0" applyFill="0" applyBorder="0" applyAlignment="0" applyProtection="0">
      <protection locked="0"/>
    </xf>
    <xf numFmtId="9" fontId="44" fillId="0" borderId="0">
      <alignment horizontal="right"/>
    </xf>
    <xf numFmtId="9" fontId="58" fillId="0" borderId="0" applyFont="0" applyFill="0" applyBorder="0" applyAlignment="0" applyProtection="0"/>
    <xf numFmtId="10" fontId="58" fillId="0" borderId="0" applyFont="0" applyFill="0" applyBorder="0" applyAlignment="0" applyProtection="0"/>
    <xf numFmtId="292" fontId="95" fillId="0" borderId="0" applyFill="0" applyBorder="0" applyProtection="0">
      <alignment vertical="center"/>
    </xf>
    <xf numFmtId="164" fontId="64" fillId="0" borderId="0">
      <alignment horizontal="right"/>
    </xf>
    <xf numFmtId="10" fontId="103" fillId="0" borderId="0" applyFont="0" applyFill="0" applyBorder="0" applyAlignment="0" applyProtection="0"/>
    <xf numFmtId="317" fontId="9" fillId="0" borderId="0"/>
    <xf numFmtId="318" fontId="58" fillId="0" borderId="0" applyFill="0" applyBorder="0">
      <alignment horizontal="right"/>
      <protection locked="0"/>
    </xf>
    <xf numFmtId="319" fontId="44" fillId="0" borderId="0" applyFont="0" applyFill="0" applyBorder="0" applyAlignment="0" applyProtection="0"/>
    <xf numFmtId="320" fontId="13" fillId="0" borderId="0" applyFont="0" applyFill="0" applyBorder="0" applyAlignment="0" applyProtection="0"/>
    <xf numFmtId="206" fontId="13" fillId="0" borderId="14">
      <alignment horizontal="center"/>
    </xf>
    <xf numFmtId="170" fontId="44" fillId="0" borderId="0" applyFont="0" applyFill="0" applyBorder="0" applyAlignment="0" applyProtection="0">
      <protection locked="0"/>
    </xf>
    <xf numFmtId="227" fontId="9" fillId="0" borderId="0" applyFill="0" applyBorder="0" applyAlignment="0"/>
    <xf numFmtId="217" fontId="9" fillId="0" borderId="0" applyFill="0" applyBorder="0" applyAlignment="0"/>
    <xf numFmtId="227" fontId="9" fillId="0" borderId="0" applyFill="0" applyBorder="0" applyAlignment="0"/>
    <xf numFmtId="245" fontId="9" fillId="0" borderId="0" applyFill="0" applyBorder="0" applyAlignment="0"/>
    <xf numFmtId="217" fontId="9" fillId="0" borderId="0" applyFill="0" applyBorder="0" applyAlignment="0"/>
    <xf numFmtId="170" fontId="44" fillId="0" borderId="0" applyFill="0" applyBorder="0" applyAlignment="0" applyProtection="0"/>
    <xf numFmtId="38" fontId="44" fillId="0" borderId="0" applyFont="0" applyFill="0" applyBorder="0" applyAlignment="0" applyProtection="0"/>
    <xf numFmtId="39" fontId="41" fillId="0" borderId="3">
      <alignment horizontal="center"/>
    </xf>
    <xf numFmtId="321" fontId="152" fillId="0" borderId="0"/>
    <xf numFmtId="322" fontId="19" fillId="0" borderId="0" applyFill="0" applyBorder="0" applyProtection="0">
      <alignment horizontal="right"/>
    </xf>
    <xf numFmtId="0" fontId="58" fillId="0" borderId="0" applyNumberFormat="0" applyFont="0" applyFill="0" applyBorder="0" applyAlignment="0" applyProtection="0">
      <alignment horizontal="left"/>
    </xf>
    <xf numFmtId="15" fontId="58" fillId="0" borderId="0" applyFont="0" applyFill="0" applyBorder="0" applyAlignment="0" applyProtection="0"/>
    <xf numFmtId="4" fontId="58" fillId="0" borderId="0" applyFont="0" applyFill="0" applyBorder="0" applyAlignment="0" applyProtection="0"/>
    <xf numFmtId="0" fontId="153" fillId="0" borderId="14">
      <alignment horizontal="center"/>
    </xf>
    <xf numFmtId="3" fontId="58" fillId="0" borderId="0" applyFont="0" applyFill="0" applyBorder="0" applyAlignment="0" applyProtection="0"/>
    <xf numFmtId="0" fontId="58" fillId="37" borderId="0" applyNumberFormat="0" applyFont="0" applyBorder="0" applyAlignment="0" applyProtection="0"/>
    <xf numFmtId="0" fontId="154" fillId="0" borderId="0" applyNumberFormat="0" applyFill="0" applyBorder="0" applyAlignment="0" applyProtection="0"/>
    <xf numFmtId="172" fontId="21" fillId="0" borderId="0">
      <alignment vertical="top"/>
    </xf>
    <xf numFmtId="252" fontId="155" fillId="0" borderId="0"/>
    <xf numFmtId="323" fontId="58" fillId="0" borderId="0" applyFill="0" applyBorder="0">
      <alignment horizontal="right"/>
      <protection locked="0"/>
    </xf>
    <xf numFmtId="324" fontId="13" fillId="0" borderId="0" applyFont="0" applyFill="0" applyBorder="0" applyProtection="0">
      <alignment horizontal="right"/>
    </xf>
    <xf numFmtId="325" fontId="9" fillId="0" borderId="0" applyFont="0" applyFill="0" applyBorder="0" applyProtection="0">
      <alignment horizontal="right"/>
    </xf>
    <xf numFmtId="2" fontId="141" fillId="0" borderId="0"/>
    <xf numFmtId="326" fontId="9" fillId="0" borderId="0">
      <alignment horizontal="right"/>
      <protection locked="0"/>
    </xf>
    <xf numFmtId="170" fontId="39" fillId="0" borderId="0" applyNumberFormat="0" applyFill="0" applyBorder="0" applyAlignment="0" applyProtection="0">
      <alignment horizontal="left"/>
    </xf>
    <xf numFmtId="0" fontId="13" fillId="0" borderId="0">
      <alignment horizontal="left"/>
    </xf>
    <xf numFmtId="0" fontId="31" fillId="12" borderId="0">
      <alignment horizontal="center"/>
    </xf>
    <xf numFmtId="49" fontId="156" fillId="34" borderId="0">
      <alignment horizontal="center"/>
    </xf>
    <xf numFmtId="327" fontId="96" fillId="0" borderId="0" applyNumberFormat="0" applyFill="0" applyBorder="0" applyAlignment="0" applyProtection="0">
      <alignment horizontal="left"/>
    </xf>
    <xf numFmtId="0" fontId="129" fillId="0" borderId="0" applyNumberFormat="0" applyFill="0" applyBorder="0" applyProtection="0">
      <alignment horizontal="right" vertical="center"/>
    </xf>
    <xf numFmtId="0" fontId="157" fillId="0" borderId="0" applyNumberFormat="0" applyFill="0" applyBorder="0" applyAlignment="0" applyProtection="0"/>
    <xf numFmtId="209" fontId="158" fillId="0" borderId="0">
      <alignment horizontal="center"/>
    </xf>
    <xf numFmtId="0" fontId="91" fillId="31" borderId="0">
      <alignment horizontal="center"/>
    </xf>
    <xf numFmtId="0" fontId="91" fillId="31" borderId="0">
      <alignment horizontal="centerContinuous"/>
    </xf>
    <xf numFmtId="0" fontId="159" fillId="34" borderId="0">
      <alignment horizontal="left"/>
    </xf>
    <xf numFmtId="49" fontId="159" fillId="34" borderId="0">
      <alignment horizontal="center"/>
    </xf>
    <xf numFmtId="0" fontId="90" fillId="31" borderId="0">
      <alignment horizontal="left"/>
    </xf>
    <xf numFmtId="49" fontId="159" fillId="34" borderId="0">
      <alignment horizontal="left"/>
    </xf>
    <xf numFmtId="0" fontId="90" fillId="31" borderId="0">
      <alignment horizontal="centerContinuous"/>
    </xf>
    <xf numFmtId="0" fontId="90" fillId="31" borderId="0">
      <alignment horizontal="right"/>
    </xf>
    <xf numFmtId="49" fontId="31" fillId="34" borderId="0">
      <alignment horizontal="left"/>
    </xf>
    <xf numFmtId="0" fontId="91" fillId="31" borderId="0">
      <alignment horizontal="right"/>
    </xf>
    <xf numFmtId="0" fontId="160" fillId="0" borderId="32">
      <alignment horizontal="centerContinuous"/>
    </xf>
    <xf numFmtId="0" fontId="160" fillId="0" borderId="32">
      <alignment horizontal="centerContinuous"/>
    </xf>
    <xf numFmtId="0" fontId="160" fillId="0" borderId="32">
      <alignment horizontal="centerContinuous"/>
    </xf>
    <xf numFmtId="0" fontId="160" fillId="0" borderId="32">
      <alignment horizontal="centerContinuous"/>
    </xf>
    <xf numFmtId="0" fontId="160" fillId="0" borderId="32">
      <alignment horizontal="centerContinuous"/>
    </xf>
    <xf numFmtId="0" fontId="159" fillId="16" borderId="0">
      <alignment horizontal="center"/>
    </xf>
    <xf numFmtId="0" fontId="64" fillId="16" borderId="0">
      <alignment horizontal="center"/>
    </xf>
    <xf numFmtId="4" fontId="156" fillId="24" borderId="41" applyNumberFormat="0" applyProtection="0">
      <alignment vertical="center"/>
    </xf>
    <xf numFmtId="4" fontId="161" fillId="24" borderId="41" applyNumberFormat="0" applyProtection="0">
      <alignment vertical="center"/>
    </xf>
    <xf numFmtId="4" fontId="162" fillId="24" borderId="41" applyNumberFormat="0" applyProtection="0">
      <alignment horizontal="left" vertical="center" indent="1"/>
    </xf>
    <xf numFmtId="4" fontId="162" fillId="42" borderId="0" applyNumberFormat="0" applyProtection="0">
      <alignment horizontal="left" vertical="center" indent="1"/>
    </xf>
    <xf numFmtId="4" fontId="162" fillId="43" borderId="41" applyNumberFormat="0" applyProtection="0">
      <alignment horizontal="right" vertical="center"/>
    </xf>
    <xf numFmtId="4" fontId="162" fillId="44" borderId="41" applyNumberFormat="0" applyProtection="0">
      <alignment horizontal="right" vertical="center"/>
    </xf>
    <xf numFmtId="4" fontId="162" fillId="22" borderId="41" applyNumberFormat="0" applyProtection="0">
      <alignment horizontal="right" vertical="center"/>
    </xf>
    <xf numFmtId="4" fontId="162" fillId="8" borderId="41" applyNumberFormat="0" applyProtection="0">
      <alignment horizontal="right" vertical="center"/>
    </xf>
    <xf numFmtId="4" fontId="162" fillId="25" borderId="41" applyNumberFormat="0" applyProtection="0">
      <alignment horizontal="right" vertical="center"/>
    </xf>
    <xf numFmtId="4" fontId="162" fillId="2" borderId="41" applyNumberFormat="0" applyProtection="0">
      <alignment horizontal="right" vertical="center"/>
    </xf>
    <xf numFmtId="4" fontId="162" fillId="45" borderId="41" applyNumberFormat="0" applyProtection="0">
      <alignment horizontal="right" vertical="center"/>
    </xf>
    <xf numFmtId="4" fontId="162" fillId="46" borderId="41" applyNumberFormat="0" applyProtection="0">
      <alignment horizontal="right" vertical="center"/>
    </xf>
    <xf numFmtId="4" fontId="162" fillId="47" borderId="41" applyNumberFormat="0" applyProtection="0">
      <alignment horizontal="right" vertical="center"/>
    </xf>
    <xf numFmtId="4" fontId="156" fillId="48" borderId="42" applyNumberFormat="0" applyProtection="0">
      <alignment horizontal="left" vertical="center" indent="1"/>
    </xf>
    <xf numFmtId="4" fontId="156" fillId="7" borderId="0" applyNumberFormat="0" applyProtection="0">
      <alignment horizontal="left" vertical="center" indent="1"/>
    </xf>
    <xf numFmtId="4" fontId="156" fillId="42" borderId="0" applyNumberFormat="0" applyProtection="0">
      <alignment horizontal="left" vertical="center" indent="1"/>
    </xf>
    <xf numFmtId="4" fontId="162" fillId="7" borderId="41" applyNumberFormat="0" applyProtection="0">
      <alignment horizontal="right" vertical="center"/>
    </xf>
    <xf numFmtId="4" fontId="28" fillId="7" borderId="0" applyNumberFormat="0" applyProtection="0">
      <alignment horizontal="left" vertical="center" indent="1"/>
    </xf>
    <xf numFmtId="4" fontId="28" fillId="42" borderId="0" applyNumberFormat="0" applyProtection="0">
      <alignment horizontal="left" vertical="center" indent="1"/>
    </xf>
    <xf numFmtId="4" fontId="162" fillId="49" borderId="41" applyNumberFormat="0" applyProtection="0">
      <alignment vertical="center"/>
    </xf>
    <xf numFmtId="4" fontId="163" fillId="49" borderId="41" applyNumberFormat="0" applyProtection="0">
      <alignment vertical="center"/>
    </xf>
    <xf numFmtId="4" fontId="156" fillId="7" borderId="43" applyNumberFormat="0" applyProtection="0">
      <alignment horizontal="left" vertical="center" indent="1"/>
    </xf>
    <xf numFmtId="4" fontId="162" fillId="49" borderId="41" applyNumberFormat="0" applyProtection="0">
      <alignment horizontal="right" vertical="center"/>
    </xf>
    <xf numFmtId="4" fontId="163" fillId="49" borderId="41" applyNumberFormat="0" applyProtection="0">
      <alignment horizontal="right" vertical="center"/>
    </xf>
    <xf numFmtId="4" fontId="156" fillId="7" borderId="41" applyNumberFormat="0" applyProtection="0">
      <alignment horizontal="left" vertical="center" indent="1"/>
    </xf>
    <xf numFmtId="4" fontId="164" fillId="50" borderId="43" applyNumberFormat="0" applyProtection="0">
      <alignment horizontal="left" vertical="center" indent="1"/>
    </xf>
    <xf numFmtId="4" fontId="165" fillId="49" borderId="41" applyNumberFormat="0" applyProtection="0">
      <alignment horizontal="right" vertical="center"/>
    </xf>
    <xf numFmtId="328" fontId="166" fillId="0" borderId="0" applyFill="0" applyBorder="0">
      <alignment horizontal="right"/>
      <protection hidden="1"/>
    </xf>
    <xf numFmtId="0" fontId="115" fillId="0" borderId="0" applyFill="0" applyBorder="0" applyProtection="0">
      <alignment horizontal="left"/>
    </xf>
    <xf numFmtId="0" fontId="167" fillId="51" borderId="3">
      <alignment horizontal="center" vertical="center" wrapText="1"/>
      <protection hidden="1"/>
    </xf>
    <xf numFmtId="0" fontId="9" fillId="52" borderId="0" applyNumberFormat="0" applyFont="0" applyBorder="0" applyAlignment="0" applyProtection="0"/>
    <xf numFmtId="0" fontId="46" fillId="53" borderId="0"/>
    <xf numFmtId="0" fontId="96" fillId="53" borderId="0"/>
    <xf numFmtId="170" fontId="44" fillId="0" borderId="0" applyFont="0" applyFill="0" applyBorder="0" applyAlignment="0" applyProtection="0"/>
    <xf numFmtId="164" fontId="47" fillId="0" borderId="0" applyFont="0" applyFill="0" applyBorder="0"/>
    <xf numFmtId="42" fontId="40" fillId="0" borderId="0" applyFill="0" applyBorder="0" applyAlignment="0" applyProtection="0"/>
    <xf numFmtId="171" fontId="44" fillId="0" borderId="0"/>
    <xf numFmtId="0" fontId="128" fillId="0" borderId="32"/>
    <xf numFmtId="168" fontId="9" fillId="0" borderId="0">
      <alignment horizontal="center"/>
    </xf>
    <xf numFmtId="12" fontId="9" fillId="0" borderId="0" applyFont="0" applyFill="0" applyBorder="0" applyProtection="0">
      <alignment horizontal="right"/>
    </xf>
    <xf numFmtId="329" fontId="9" fillId="54" borderId="0" applyFont="0" applyFill="0" applyBorder="0" applyProtection="0">
      <alignment horizontal="right"/>
    </xf>
    <xf numFmtId="170" fontId="13" fillId="8" borderId="0" applyNumberFormat="0" applyFont="0" applyBorder="0" applyAlignment="0">
      <protection hidden="1"/>
    </xf>
    <xf numFmtId="0" fontId="50" fillId="0" borderId="0"/>
    <xf numFmtId="0" fontId="9" fillId="0" borderId="0"/>
    <xf numFmtId="175" fontId="9" fillId="0" borderId="0" applyFill="0" applyBorder="0" applyAlignment="0" applyProtection="0">
      <alignment wrapText="1"/>
    </xf>
    <xf numFmtId="4" fontId="13" fillId="0" borderId="0" applyFill="0" applyBorder="0" applyProtection="0">
      <alignment wrapText="1"/>
    </xf>
    <xf numFmtId="0" fontId="9" fillId="0" borderId="0"/>
    <xf numFmtId="0" fontId="15" fillId="0" borderId="0" applyNumberFormat="0" applyFill="0" applyBorder="0">
      <alignment horizontal="center" wrapText="1"/>
    </xf>
    <xf numFmtId="41" fontId="9" fillId="0" borderId="0" applyFont="0" applyFill="0" applyBorder="0" applyAlignment="0" applyProtection="0"/>
    <xf numFmtId="0" fontId="28" fillId="0" borderId="0" applyNumberFormat="0" applyBorder="0" applyAlignment="0"/>
    <xf numFmtId="0" fontId="168" fillId="0" borderId="0" applyNumberFormat="0" applyBorder="0" applyAlignment="0"/>
    <xf numFmtId="0" fontId="169" fillId="0" borderId="0" applyNumberFormat="0" applyBorder="0" applyAlignment="0"/>
    <xf numFmtId="0" fontId="170" fillId="0" borderId="0" applyNumberFormat="0" applyBorder="0" applyAlignment="0"/>
    <xf numFmtId="0" fontId="169" fillId="55" borderId="0" applyNumberFormat="0" applyBorder="0" applyAlignment="0"/>
    <xf numFmtId="0" fontId="160" fillId="0" borderId="0" applyNumberFormat="0" applyBorder="0" applyAlignment="0"/>
    <xf numFmtId="0" fontId="171" fillId="0" borderId="0" applyNumberFormat="0" applyBorder="0" applyAlignment="0"/>
    <xf numFmtId="0" fontId="136" fillId="0" borderId="0"/>
    <xf numFmtId="40" fontId="172" fillId="0" borderId="0" applyBorder="0">
      <alignment horizontal="right"/>
    </xf>
    <xf numFmtId="0" fontId="173" fillId="0" borderId="0" applyBorder="0" applyProtection="0">
      <alignment vertical="center"/>
    </xf>
    <xf numFmtId="268" fontId="173" fillId="0" borderId="5" applyBorder="0" applyProtection="0">
      <alignment horizontal="right" vertical="center"/>
    </xf>
    <xf numFmtId="0" fontId="174" fillId="56" borderId="0" applyBorder="0" applyProtection="0">
      <alignment horizontal="centerContinuous" vertical="center"/>
    </xf>
    <xf numFmtId="0" fontId="174" fillId="57" borderId="5" applyBorder="0" applyProtection="0">
      <alignment horizontal="centerContinuous" vertical="center"/>
    </xf>
    <xf numFmtId="0" fontId="175" fillId="0" borderId="0" applyFill="0" applyBorder="0" applyProtection="0">
      <alignment horizontal="center" vertical="center"/>
    </xf>
    <xf numFmtId="0" fontId="176" fillId="0" borderId="0" applyFill="0" applyBorder="0" applyProtection="0">
      <alignment vertical="center"/>
    </xf>
    <xf numFmtId="0" fontId="177" fillId="0" borderId="0" applyFill="0" applyBorder="0" applyProtection="0">
      <alignment horizontal="left"/>
    </xf>
    <xf numFmtId="0" fontId="178" fillId="0" borderId="4" applyFill="0" applyBorder="0" applyProtection="0">
      <alignment horizontal="left" vertical="top"/>
    </xf>
    <xf numFmtId="0" fontId="179" fillId="0" borderId="0">
      <alignment horizontal="centerContinuous"/>
    </xf>
    <xf numFmtId="164" fontId="180" fillId="0" borderId="0" applyNumberFormat="0" applyFill="0" applyBorder="0">
      <alignment horizontal="left"/>
    </xf>
    <xf numFmtId="0" fontId="159" fillId="0" borderId="0" applyNumberFormat="0" applyAlignment="0" applyProtection="0"/>
    <xf numFmtId="164" fontId="180" fillId="0" borderId="0" applyNumberFormat="0" applyFill="0" applyBorder="0">
      <alignment horizontal="right"/>
    </xf>
    <xf numFmtId="164" fontId="181" fillId="0" borderId="0" applyNumberFormat="0" applyFill="0" applyBorder="0">
      <alignment horizontal="right"/>
    </xf>
    <xf numFmtId="0" fontId="182" fillId="0" borderId="0" applyNumberFormat="0" applyProtection="0">
      <alignment horizontal="center"/>
    </xf>
    <xf numFmtId="38" fontId="183" fillId="0" borderId="0" applyNumberFormat="0" applyBorder="0">
      <alignment horizontal="left"/>
    </xf>
    <xf numFmtId="0" fontId="96" fillId="0" borderId="0"/>
    <xf numFmtId="1" fontId="184" fillId="0" borderId="0"/>
    <xf numFmtId="0" fontId="13" fillId="0" borderId="0"/>
    <xf numFmtId="170" fontId="9" fillId="9" borderId="0" applyNumberFormat="0" applyFont="0" applyBorder="0" applyAlignment="0" applyProtection="0"/>
    <xf numFmtId="172" fontId="41" fillId="0" borderId="3">
      <alignment horizontal="center"/>
    </xf>
    <xf numFmtId="0" fontId="185" fillId="0" borderId="0" applyFill="0" applyBorder="0" applyProtection="0"/>
    <xf numFmtId="49" fontId="28" fillId="0" borderId="0" applyFill="0" applyBorder="0" applyAlignment="0"/>
    <xf numFmtId="206" fontId="9" fillId="0" borderId="0" applyFill="0" applyBorder="0" applyAlignment="0"/>
    <xf numFmtId="206" fontId="9" fillId="0" borderId="0" applyFill="0" applyBorder="0" applyAlignment="0"/>
    <xf numFmtId="0" fontId="141" fillId="0" borderId="0"/>
    <xf numFmtId="330" fontId="157" fillId="0" borderId="0" applyFill="0" applyBorder="0" applyAlignment="0" applyProtection="0">
      <alignment horizontal="right"/>
    </xf>
    <xf numFmtId="0" fontId="15" fillId="0" borderId="0" applyNumberFormat="0" applyFill="0" applyBorder="0" applyAlignment="0" applyProtection="0"/>
    <xf numFmtId="0" fontId="58" fillId="0" borderId="0"/>
    <xf numFmtId="0" fontId="96" fillId="0" borderId="36"/>
    <xf numFmtId="331" fontId="13" fillId="0" borderId="0" applyFont="0" applyFill="0" applyBorder="0" applyAlignment="0" applyProtection="0"/>
    <xf numFmtId="0" fontId="38" fillId="0" borderId="0" applyFill="0" applyBorder="0" applyProtection="0">
      <alignment horizontal="left" vertical="top"/>
    </xf>
    <xf numFmtId="332" fontId="68" fillId="38" borderId="3" applyFont="0" applyFill="0" applyBorder="0" applyAlignment="0" applyProtection="0"/>
    <xf numFmtId="333" fontId="9" fillId="0" borderId="0" applyFont="0" applyFill="0" applyBorder="0" applyAlignment="0" applyProtection="0"/>
    <xf numFmtId="334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6" fillId="0" borderId="5" applyFill="0" applyAlignment="0" applyProtection="0">
      <alignment horizontal="left"/>
    </xf>
    <xf numFmtId="0" fontId="187" fillId="58" borderId="0" applyNumberFormat="0" applyBorder="0" applyProtection="0">
      <alignment horizontal="left" vertical="center"/>
    </xf>
    <xf numFmtId="0" fontId="188" fillId="1" borderId="0" applyNumberFormat="0" applyBorder="0" applyProtection="0">
      <alignment horizontal="left" vertical="center"/>
    </xf>
    <xf numFmtId="0" fontId="114" fillId="0" borderId="0">
      <alignment horizontal="left"/>
    </xf>
    <xf numFmtId="170" fontId="189" fillId="0" borderId="0" applyNumberFormat="0" applyFill="0" applyBorder="0" applyAlignment="0" applyProtection="0"/>
    <xf numFmtId="0" fontId="58" fillId="0" borderId="0" applyBorder="0"/>
    <xf numFmtId="0" fontId="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90" fillId="0" borderId="0" applyFill="0" applyBorder="0" applyAlignment="0" applyProtection="0"/>
    <xf numFmtId="0" fontId="13" fillId="0" borderId="0" applyFont="0" applyFill="0" applyBorder="0">
      <alignment horizontal="left"/>
    </xf>
    <xf numFmtId="0" fontId="56" fillId="0" borderId="19" applyNumberFormat="0" applyFont="0" applyFill="0" applyAlignment="0" applyProtection="0"/>
    <xf numFmtId="287" fontId="191" fillId="0" borderId="0" applyFill="0" applyBorder="0" applyProtection="0"/>
    <xf numFmtId="335" fontId="191" fillId="0" borderId="0" applyFill="0" applyBorder="0" applyProtection="0"/>
    <xf numFmtId="336" fontId="21" fillId="0" borderId="0" applyFill="0" applyAlignment="0" applyProtection="0"/>
    <xf numFmtId="290" fontId="191" fillId="0" borderId="37" applyFill="0" applyBorder="0" applyProtection="0">
      <alignment vertical="center"/>
    </xf>
    <xf numFmtId="266" fontId="9" fillId="0" borderId="18">
      <alignment horizontal="right"/>
    </xf>
    <xf numFmtId="206" fontId="192" fillId="0" borderId="0">
      <alignment horizontal="left"/>
      <protection locked="0"/>
    </xf>
    <xf numFmtId="262" fontId="183" fillId="0" borderId="0">
      <alignment horizontal="right"/>
    </xf>
    <xf numFmtId="263" fontId="183" fillId="0" borderId="0">
      <alignment horizontal="right"/>
    </xf>
    <xf numFmtId="1" fontId="183" fillId="0" borderId="0">
      <alignment horizontal="left"/>
    </xf>
    <xf numFmtId="230" fontId="183" fillId="0" borderId="0">
      <alignment horizontal="right"/>
    </xf>
    <xf numFmtId="0" fontId="193" fillId="0" borderId="0">
      <alignment horizontal="fill"/>
    </xf>
    <xf numFmtId="37" fontId="75" fillId="0" borderId="5">
      <alignment horizontal="center"/>
    </xf>
    <xf numFmtId="38" fontId="183" fillId="0" borderId="0">
      <alignment horizontal="right"/>
    </xf>
    <xf numFmtId="269" fontId="109" fillId="0" borderId="0" applyNumberFormat="0"/>
    <xf numFmtId="0" fontId="194" fillId="34" borderId="0">
      <alignment horizontal="center"/>
    </xf>
    <xf numFmtId="206" fontId="152" fillId="0" borderId="0"/>
    <xf numFmtId="0" fontId="159" fillId="0" borderId="0"/>
    <xf numFmtId="42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3" fontId="195" fillId="0" borderId="0" applyFill="0" applyBorder="0" applyAlignment="0" applyProtection="0"/>
    <xf numFmtId="0" fontId="131" fillId="0" borderId="0" applyNumberFormat="0" applyFill="0" applyBorder="0" applyAlignment="0" applyProtection="0"/>
    <xf numFmtId="0" fontId="15" fillId="0" borderId="0">
      <alignment horizontal="left"/>
    </xf>
    <xf numFmtId="170" fontId="196" fillId="0" borderId="0" applyNumberFormat="0" applyFill="0" applyBorder="0" applyAlignment="0" applyProtection="0"/>
    <xf numFmtId="14" fontId="9" fillId="0" borderId="0"/>
    <xf numFmtId="1" fontId="44" fillId="0" borderId="0" applyFont="0" applyFill="0" applyBorder="0" applyAlignment="0" applyProtection="0"/>
    <xf numFmtId="337" fontId="9" fillId="6" borderId="0">
      <alignment horizontal="center"/>
    </xf>
    <xf numFmtId="49" fontId="15" fillId="0" borderId="0">
      <alignment horizontal="center" vertical="center"/>
    </xf>
    <xf numFmtId="37" fontId="13" fillId="0" borderId="0"/>
    <xf numFmtId="40" fontId="19" fillId="0" borderId="0">
      <alignment horizontal="left" wrapText="1"/>
    </xf>
    <xf numFmtId="1" fontId="197" fillId="0" borderId="0" applyFont="0" applyFill="0" applyBorder="0" applyProtection="0">
      <alignment horizontal="center"/>
    </xf>
    <xf numFmtId="338" fontId="13" fillId="0" borderId="0" applyFont="0" applyFill="0" applyBorder="0" applyAlignment="0" applyProtection="0"/>
    <xf numFmtId="339" fontId="68" fillId="0" borderId="0" applyFont="0" applyFill="0" applyBorder="0" applyAlignment="0" applyProtection="0"/>
    <xf numFmtId="340" fontId="9" fillId="0" borderId="0" applyFont="0" applyFill="0" applyBorder="0" applyAlignment="0" applyProtection="0"/>
    <xf numFmtId="0" fontId="40" fillId="0" borderId="0" applyFont="0" applyFill="0" applyBorder="0" applyAlignment="0" applyProtection="0"/>
    <xf numFmtId="341" fontId="9" fillId="0" borderId="0"/>
    <xf numFmtId="0" fontId="198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top"/>
      <protection locked="0"/>
    </xf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57">
    <xf numFmtId="0" fontId="0" fillId="0" borderId="0" xfId="0"/>
    <xf numFmtId="0" fontId="15" fillId="0" borderId="0" xfId="0" applyFont="1"/>
    <xf numFmtId="0" fontId="9" fillId="0" borderId="0" xfId="0" applyFont="1"/>
    <xf numFmtId="0" fontId="9" fillId="0" borderId="0" xfId="17"/>
    <xf numFmtId="0" fontId="9" fillId="0" borderId="0" xfId="17" applyFont="1"/>
    <xf numFmtId="0" fontId="9" fillId="0" borderId="0" xfId="17" applyFont="1" applyFill="1"/>
    <xf numFmtId="0" fontId="9" fillId="0" borderId="0" xfId="17" applyAlignment="1">
      <alignment horizontal="left"/>
    </xf>
    <xf numFmtId="0" fontId="35" fillId="0" borderId="0" xfId="17" applyFont="1"/>
    <xf numFmtId="0" fontId="35" fillId="0" borderId="0" xfId="17" applyFont="1" applyFill="1"/>
    <xf numFmtId="9" fontId="201" fillId="5" borderId="0" xfId="906" applyNumberFormat="1" applyFont="1" applyFill="1" applyBorder="1" applyAlignment="1">
      <alignment horizontal="left" vertical="center"/>
    </xf>
    <xf numFmtId="0" fontId="201" fillId="5" borderId="0" xfId="906" applyFont="1" applyFill="1" applyBorder="1" applyAlignment="1">
      <alignment vertical="center"/>
    </xf>
    <xf numFmtId="0" fontId="201" fillId="0" borderId="0" xfId="906" applyFont="1" applyBorder="1"/>
    <xf numFmtId="0" fontId="202" fillId="0" borderId="0" xfId="906" applyNumberFormat="1" applyFont="1" applyBorder="1"/>
    <xf numFmtId="179" fontId="201" fillId="5" borderId="0" xfId="906" applyNumberFormat="1" applyFont="1" applyFill="1" applyBorder="1" applyAlignment="1">
      <alignment horizontal="left" vertical="center"/>
    </xf>
    <xf numFmtId="3" fontId="201" fillId="5" borderId="0" xfId="906" applyNumberFormat="1" applyFont="1" applyFill="1" applyBorder="1" applyAlignment="1">
      <alignment horizontal="left" vertical="center"/>
    </xf>
    <xf numFmtId="165" fontId="201" fillId="5" borderId="0" xfId="906" applyNumberFormat="1" applyFont="1" applyFill="1" applyBorder="1" applyAlignment="1">
      <alignment horizontal="left" vertical="center"/>
    </xf>
    <xf numFmtId="3" fontId="34" fillId="5" borderId="0" xfId="906" applyNumberFormat="1" applyFont="1" applyFill="1" applyBorder="1" applyAlignment="1">
      <alignment vertical="center"/>
    </xf>
    <xf numFmtId="3" fontId="201" fillId="5" borderId="0" xfId="906" applyNumberFormat="1" applyFont="1" applyFill="1" applyBorder="1" applyAlignment="1">
      <alignment vertical="center"/>
    </xf>
    <xf numFmtId="9" fontId="202" fillId="5" borderId="0" xfId="906" applyNumberFormat="1" applyFont="1" applyFill="1" applyBorder="1" applyAlignment="1">
      <alignment horizontal="right" vertical="center"/>
    </xf>
    <xf numFmtId="179" fontId="201" fillId="5" borderId="0" xfId="906" applyNumberFormat="1" applyFont="1" applyFill="1" applyBorder="1" applyAlignment="1">
      <alignment vertical="center"/>
    </xf>
    <xf numFmtId="165" fontId="201" fillId="5" borderId="0" xfId="906" applyNumberFormat="1" applyFont="1" applyFill="1" applyBorder="1" applyAlignment="1">
      <alignment vertical="center"/>
    </xf>
    <xf numFmtId="0" fontId="201" fillId="0" borderId="47" xfId="906" applyFont="1" applyBorder="1" applyAlignment="1">
      <alignment vertical="center"/>
    </xf>
    <xf numFmtId="0" fontId="201" fillId="0" borderId="0" xfId="906" applyFont="1" applyBorder="1" applyAlignment="1">
      <alignment vertical="center"/>
    </xf>
    <xf numFmtId="0" fontId="202" fillId="5" borderId="0" xfId="906" applyFont="1" applyFill="1" applyBorder="1" applyAlignment="1">
      <alignment horizontal="right" vertical="center"/>
    </xf>
    <xf numFmtId="342" fontId="201" fillId="5" borderId="0" xfId="906" applyNumberFormat="1" applyFont="1" applyFill="1" applyBorder="1" applyAlignment="1">
      <alignment horizontal="right" vertical="center"/>
    </xf>
    <xf numFmtId="0" fontId="201" fillId="0" borderId="48" xfId="906" applyFont="1" applyBorder="1" applyAlignment="1">
      <alignment vertical="center"/>
    </xf>
    <xf numFmtId="0" fontId="201" fillId="0" borderId="49" xfId="906" applyFont="1" applyBorder="1" applyAlignment="1">
      <alignment vertical="center"/>
    </xf>
    <xf numFmtId="203" fontId="201" fillId="0" borderId="0" xfId="906" applyNumberFormat="1" applyFont="1" applyFill="1" applyBorder="1" applyAlignment="1">
      <alignment horizontal="right"/>
    </xf>
    <xf numFmtId="0" fontId="204" fillId="0" borderId="0" xfId="906" applyFont="1" applyBorder="1" applyAlignment="1">
      <alignment horizontal="left" indent="1"/>
    </xf>
    <xf numFmtId="342" fontId="202" fillId="5" borderId="0" xfId="906" applyNumberFormat="1" applyFont="1" applyFill="1" applyBorder="1" applyAlignment="1">
      <alignment horizontal="right" vertical="center"/>
    </xf>
    <xf numFmtId="342" fontId="201" fillId="5" borderId="0" xfId="906" applyNumberFormat="1" applyFont="1" applyFill="1" applyBorder="1" applyAlignment="1">
      <alignment vertical="center"/>
    </xf>
    <xf numFmtId="203" fontId="201" fillId="0" borderId="0" xfId="906" applyNumberFormat="1" applyFont="1" applyFill="1" applyAlignment="1">
      <alignment horizontal="right"/>
    </xf>
    <xf numFmtId="0" fontId="201" fillId="0" borderId="0" xfId="906" applyFont="1"/>
    <xf numFmtId="0" fontId="202" fillId="0" borderId="0" xfId="906" applyFont="1" applyBorder="1" applyAlignment="1">
      <alignment vertical="center"/>
    </xf>
    <xf numFmtId="203" fontId="201" fillId="0" borderId="0" xfId="906" applyNumberFormat="1" applyFont="1" applyFill="1" applyBorder="1" applyAlignment="1">
      <alignment horizontal="left"/>
    </xf>
    <xf numFmtId="203" fontId="201" fillId="0" borderId="0" xfId="906" applyNumberFormat="1" applyFont="1" applyFill="1" applyAlignment="1">
      <alignment horizontal="right" vertical="center"/>
    </xf>
    <xf numFmtId="0" fontId="201" fillId="0" borderId="0" xfId="906" applyFont="1" applyAlignment="1">
      <alignment vertical="center"/>
    </xf>
    <xf numFmtId="0" fontId="202" fillId="5" borderId="0" xfId="906" applyFont="1" applyFill="1" applyBorder="1" applyAlignment="1">
      <alignment horizontal="center" vertical="center"/>
    </xf>
    <xf numFmtId="344" fontId="201" fillId="0" borderId="0" xfId="906" applyNumberFormat="1" applyFont="1"/>
    <xf numFmtId="344" fontId="204" fillId="0" borderId="0" xfId="906" applyNumberFormat="1" applyFont="1"/>
    <xf numFmtId="9" fontId="205" fillId="59" borderId="11" xfId="906" applyNumberFormat="1" applyFont="1" applyFill="1" applyBorder="1" applyAlignment="1">
      <alignment horizontal="left" vertical="center"/>
    </xf>
    <xf numFmtId="0" fontId="34" fillId="59" borderId="10" xfId="906" applyFont="1" applyFill="1" applyBorder="1" applyAlignment="1">
      <alignment vertical="center"/>
    </xf>
    <xf numFmtId="0" fontId="201" fillId="5" borderId="0" xfId="906" applyFont="1" applyFill="1" applyBorder="1" applyAlignment="1">
      <alignment horizontal="center" vertical="center"/>
    </xf>
    <xf numFmtId="9" fontId="34" fillId="59" borderId="47" xfId="906" applyNumberFormat="1" applyFont="1" applyFill="1" applyBorder="1" applyAlignment="1">
      <alignment horizontal="left" vertical="center"/>
    </xf>
    <xf numFmtId="0" fontId="34" fillId="59" borderId="0" xfId="906" applyFont="1" applyFill="1" applyBorder="1" applyAlignment="1">
      <alignment vertical="center"/>
    </xf>
    <xf numFmtId="3" fontId="34" fillId="59" borderId="49" xfId="906" applyNumberFormat="1" applyFont="1" applyFill="1" applyBorder="1" applyAlignment="1">
      <alignment vertical="center"/>
    </xf>
    <xf numFmtId="3" fontId="34" fillId="59" borderId="50" xfId="906" applyNumberFormat="1" applyFont="1" applyFill="1" applyBorder="1" applyAlignment="1">
      <alignment vertical="center"/>
    </xf>
    <xf numFmtId="179" fontId="201" fillId="5" borderId="0" xfId="906" applyNumberFormat="1" applyFont="1" applyFill="1" applyBorder="1" applyAlignment="1">
      <alignment horizontal="center" vertical="center"/>
    </xf>
    <xf numFmtId="9" fontId="202" fillId="5" borderId="48" xfId="906" applyNumberFormat="1" applyFont="1" applyFill="1" applyBorder="1" applyAlignment="1">
      <alignment horizontal="left" vertical="center"/>
    </xf>
    <xf numFmtId="0" fontId="206" fillId="5" borderId="0" xfId="906" applyFont="1" applyFill="1" applyBorder="1" applyAlignment="1">
      <alignment horizontal="center" vertical="center"/>
    </xf>
    <xf numFmtId="9" fontId="208" fillId="60" borderId="51" xfId="906" applyNumberFormat="1" applyFont="1" applyFill="1" applyBorder="1" applyAlignment="1">
      <alignment horizontal="left" vertical="center"/>
    </xf>
    <xf numFmtId="0" fontId="208" fillId="60" borderId="44" xfId="906" applyFont="1" applyFill="1" applyBorder="1" applyAlignment="1">
      <alignment vertical="center"/>
    </xf>
    <xf numFmtId="0" fontId="208" fillId="60" borderId="46" xfId="906" applyFont="1" applyFill="1" applyBorder="1" applyAlignment="1">
      <alignment vertical="center"/>
    </xf>
    <xf numFmtId="342" fontId="207" fillId="61" borderId="0" xfId="906" applyNumberFormat="1" applyFont="1" applyFill="1" applyBorder="1" applyAlignment="1">
      <alignment horizontal="center" vertical="center"/>
    </xf>
    <xf numFmtId="342" fontId="201" fillId="61" borderId="0" xfId="906" applyNumberFormat="1" applyFont="1" applyFill="1" applyBorder="1" applyAlignment="1">
      <alignment horizontal="center" vertical="center"/>
    </xf>
    <xf numFmtId="0" fontId="201" fillId="5" borderId="0" xfId="906" applyFont="1" applyFill="1" applyBorder="1" applyAlignment="1">
      <alignment horizontal="left" vertical="center"/>
    </xf>
    <xf numFmtId="164" fontId="201" fillId="5" borderId="0" xfId="906" applyNumberFormat="1" applyFont="1" applyFill="1" applyAlignment="1">
      <alignment horizontal="left" vertical="center"/>
    </xf>
    <xf numFmtId="164" fontId="201" fillId="5" borderId="0" xfId="906" applyNumberFormat="1" applyFont="1" applyFill="1" applyAlignment="1">
      <alignment horizontal="center" vertical="center"/>
    </xf>
    <xf numFmtId="164" fontId="201" fillId="5" borderId="0" xfId="906" applyNumberFormat="1" applyFont="1" applyFill="1" applyAlignment="1">
      <alignment vertical="center"/>
    </xf>
    <xf numFmtId="164" fontId="204" fillId="5" borderId="0" xfId="906" applyNumberFormat="1" applyFont="1" applyFill="1" applyBorder="1" applyAlignment="1">
      <alignment horizontal="left" vertical="center" indent="1"/>
    </xf>
    <xf numFmtId="344" fontId="204" fillId="5" borderId="0" xfId="906" applyNumberFormat="1" applyFont="1" applyFill="1" applyBorder="1" applyAlignment="1">
      <alignment vertical="center"/>
    </xf>
    <xf numFmtId="342" fontId="201" fillId="5" borderId="0" xfId="906" applyNumberFormat="1" applyFont="1" applyFill="1" applyAlignment="1">
      <alignment horizontal="center" vertical="center"/>
    </xf>
    <xf numFmtId="203" fontId="202" fillId="62" borderId="51" xfId="906" applyNumberFormat="1" applyFont="1" applyFill="1" applyBorder="1" applyAlignment="1">
      <alignment horizontal="left" vertical="center"/>
    </xf>
    <xf numFmtId="203" fontId="207" fillId="5" borderId="0" xfId="906" applyNumberFormat="1" applyFont="1" applyFill="1" applyAlignment="1">
      <alignment horizontal="left" vertical="center"/>
    </xf>
    <xf numFmtId="203" fontId="207" fillId="5" borderId="0" xfId="906" applyNumberFormat="1" applyFont="1" applyFill="1" applyAlignment="1">
      <alignment horizontal="center" vertical="center"/>
    </xf>
    <xf numFmtId="203" fontId="207" fillId="5" borderId="0" xfId="906" applyNumberFormat="1" applyFont="1" applyFill="1" applyAlignment="1">
      <alignment vertical="center"/>
    </xf>
    <xf numFmtId="203" fontId="201" fillId="5" borderId="0" xfId="906" applyNumberFormat="1" applyFont="1" applyFill="1" applyBorder="1" applyAlignment="1">
      <alignment vertical="center"/>
    </xf>
    <xf numFmtId="9" fontId="201" fillId="5" borderId="0" xfId="907" applyFont="1" applyFill="1" applyBorder="1" applyAlignment="1">
      <alignment vertical="center"/>
    </xf>
    <xf numFmtId="203" fontId="202" fillId="5" borderId="0" xfId="906" applyNumberFormat="1" applyFont="1" applyFill="1" applyAlignment="1">
      <alignment horizontal="left" vertical="center"/>
    </xf>
    <xf numFmtId="203" fontId="202" fillId="5" borderId="0" xfId="906" applyNumberFormat="1" applyFont="1" applyFill="1" applyAlignment="1">
      <alignment horizontal="center" vertical="center"/>
    </xf>
    <xf numFmtId="203" fontId="202" fillId="5" borderId="0" xfId="906" applyNumberFormat="1" applyFont="1" applyFill="1" applyAlignment="1">
      <alignment vertical="center"/>
    </xf>
    <xf numFmtId="344" fontId="204" fillId="5" borderId="0" xfId="906" applyNumberFormat="1" applyFont="1" applyFill="1" applyBorder="1" applyAlignment="1">
      <alignment horizontal="right" vertical="center"/>
    </xf>
    <xf numFmtId="342" fontId="202" fillId="5" borderId="0" xfId="906" applyNumberFormat="1" applyFont="1" applyFill="1" applyAlignment="1">
      <alignment horizontal="left" vertical="center"/>
    </xf>
    <xf numFmtId="342" fontId="202" fillId="5" borderId="0" xfId="906" applyNumberFormat="1" applyFont="1" applyFill="1" applyAlignment="1">
      <alignment vertical="center"/>
    </xf>
    <xf numFmtId="164" fontId="202" fillId="5" borderId="0" xfId="906" applyNumberFormat="1" applyFont="1" applyFill="1" applyAlignment="1">
      <alignment horizontal="left" vertical="center"/>
    </xf>
    <xf numFmtId="342" fontId="202" fillId="5" borderId="0" xfId="906" applyNumberFormat="1" applyFont="1" applyFill="1" applyBorder="1" applyAlignment="1">
      <alignment vertical="center"/>
    </xf>
    <xf numFmtId="164" fontId="202" fillId="5" borderId="0" xfId="906" applyNumberFormat="1" applyFont="1" applyFill="1" applyAlignment="1">
      <alignment horizontal="center" vertical="center"/>
    </xf>
    <xf numFmtId="342" fontId="202" fillId="61" borderId="0" xfId="906" applyNumberFormat="1" applyFont="1" applyFill="1" applyBorder="1" applyAlignment="1">
      <alignment horizontal="center" vertical="center"/>
    </xf>
    <xf numFmtId="164" fontId="202" fillId="5" borderId="0" xfId="906" applyNumberFormat="1" applyFont="1" applyFill="1" applyAlignment="1">
      <alignment vertical="center"/>
    </xf>
    <xf numFmtId="342" fontId="201" fillId="5" borderId="0" xfId="906" applyNumberFormat="1" applyFont="1" applyFill="1" applyAlignment="1">
      <alignment horizontal="left" vertical="center"/>
    </xf>
    <xf numFmtId="342" fontId="201" fillId="5" borderId="0" xfId="906" applyNumberFormat="1" applyFont="1" applyFill="1" applyAlignment="1">
      <alignment vertical="center"/>
    </xf>
    <xf numFmtId="203" fontId="201" fillId="5" borderId="0" xfId="906" applyNumberFormat="1" applyFont="1" applyFill="1" applyBorder="1" applyAlignment="1">
      <alignment horizontal="left" vertical="center" indent="1"/>
    </xf>
    <xf numFmtId="164" fontId="201" fillId="5" borderId="0" xfId="906" applyNumberFormat="1" applyFont="1" applyFill="1" applyBorder="1" applyAlignment="1">
      <alignment horizontal="left" vertical="center" indent="1"/>
    </xf>
    <xf numFmtId="342" fontId="201" fillId="5" borderId="0" xfId="906" applyNumberFormat="1" applyFont="1" applyFill="1" applyBorder="1" applyAlignment="1">
      <alignment horizontal="center" vertical="center"/>
    </xf>
    <xf numFmtId="343" fontId="201" fillId="5" borderId="0" xfId="906" applyNumberFormat="1" applyFont="1" applyFill="1" applyBorder="1" applyAlignment="1">
      <alignment vertical="center"/>
    </xf>
    <xf numFmtId="203" fontId="211" fillId="5" borderId="0" xfId="906" applyNumberFormat="1" applyFont="1" applyFill="1" applyAlignment="1">
      <alignment horizontal="left" vertical="center"/>
    </xf>
    <xf numFmtId="203" fontId="211" fillId="5" borderId="0" xfId="906" applyNumberFormat="1" applyFont="1" applyFill="1" applyAlignment="1">
      <alignment horizontal="center" vertical="center"/>
    </xf>
    <xf numFmtId="203" fontId="211" fillId="5" borderId="0" xfId="906" applyNumberFormat="1" applyFont="1" applyFill="1" applyAlignment="1">
      <alignment vertical="center"/>
    </xf>
    <xf numFmtId="342" fontId="201" fillId="0" borderId="0" xfId="906" applyNumberFormat="1" applyFont="1"/>
    <xf numFmtId="342" fontId="36" fillId="0" borderId="0" xfId="906" applyNumberFormat="1" applyFont="1"/>
    <xf numFmtId="0" fontId="201" fillId="0" borderId="0" xfId="906" applyFont="1" applyAlignment="1">
      <alignment horizontal="center"/>
    </xf>
    <xf numFmtId="0" fontId="201" fillId="0" borderId="0" xfId="906" applyFont="1" applyAlignment="1">
      <alignment horizontal="left"/>
    </xf>
    <xf numFmtId="203" fontId="210" fillId="0" borderId="0" xfId="906" applyNumberFormat="1" applyFont="1" applyFill="1" applyAlignment="1">
      <alignment horizontal="right"/>
    </xf>
    <xf numFmtId="0" fontId="210" fillId="0" borderId="0" xfId="906" applyFont="1"/>
    <xf numFmtId="342" fontId="210" fillId="0" borderId="0" xfId="906" applyNumberFormat="1" applyFont="1"/>
    <xf numFmtId="342" fontId="37" fillId="0" borderId="0" xfId="906" applyNumberFormat="1" applyFont="1"/>
    <xf numFmtId="0" fontId="210" fillId="0" borderId="0" xfId="906" applyFont="1" applyAlignment="1">
      <alignment horizontal="center"/>
    </xf>
    <xf numFmtId="0" fontId="210" fillId="0" borderId="0" xfId="906" applyFont="1" applyAlignment="1">
      <alignment horizontal="left"/>
    </xf>
    <xf numFmtId="0" fontId="202" fillId="0" borderId="0" xfId="906" applyFont="1"/>
    <xf numFmtId="0" fontId="202" fillId="0" borderId="53" xfId="906" applyFont="1" applyBorder="1"/>
    <xf numFmtId="0" fontId="201" fillId="0" borderId="53" xfId="906" applyFont="1" applyBorder="1"/>
    <xf numFmtId="342" fontId="201" fillId="0" borderId="53" xfId="906" applyNumberFormat="1" applyFont="1" applyBorder="1"/>
    <xf numFmtId="0" fontId="206" fillId="0" borderId="0" xfId="906" applyFont="1"/>
    <xf numFmtId="345" fontId="201" fillId="0" borderId="0" xfId="906" applyNumberFormat="1" applyFont="1"/>
    <xf numFmtId="345" fontId="36" fillId="0" borderId="0" xfId="906" applyNumberFormat="1" applyFont="1"/>
    <xf numFmtId="342" fontId="26" fillId="0" borderId="0" xfId="906" applyNumberFormat="1" applyFont="1"/>
    <xf numFmtId="345" fontId="26" fillId="0" borderId="0" xfId="906" applyNumberFormat="1" applyFont="1"/>
    <xf numFmtId="0" fontId="204" fillId="0" borderId="0" xfId="906" applyFont="1" applyAlignment="1">
      <alignment horizontal="left" indent="1"/>
    </xf>
    <xf numFmtId="342" fontId="209" fillId="0" borderId="0" xfId="906" applyNumberFormat="1" applyFont="1"/>
    <xf numFmtId="203" fontId="207" fillId="0" borderId="0" xfId="906" applyNumberFormat="1" applyFont="1" applyFill="1" applyAlignment="1">
      <alignment horizontal="right"/>
    </xf>
    <xf numFmtId="0" fontId="207" fillId="0" borderId="0" xfId="906" applyFont="1" applyAlignment="1">
      <alignment horizontal="center"/>
    </xf>
    <xf numFmtId="0" fontId="207" fillId="0" borderId="0" xfId="906" applyFont="1" applyAlignment="1">
      <alignment horizontal="left"/>
    </xf>
    <xf numFmtId="0" fontId="207" fillId="0" borderId="0" xfId="906" applyFont="1"/>
    <xf numFmtId="265" fontId="201" fillId="0" borderId="0" xfId="906" applyNumberFormat="1" applyFont="1"/>
    <xf numFmtId="344" fontId="204" fillId="0" borderId="0" xfId="906" applyNumberFormat="1" applyFont="1" applyAlignment="1">
      <alignment horizontal="center"/>
    </xf>
    <xf numFmtId="203" fontId="202" fillId="0" borderId="0" xfId="906" applyNumberFormat="1" applyFont="1" applyFill="1" applyAlignment="1">
      <alignment horizontal="right"/>
    </xf>
    <xf numFmtId="342" fontId="202" fillId="0" borderId="0" xfId="906" applyNumberFormat="1" applyFont="1"/>
    <xf numFmtId="0" fontId="202" fillId="0" borderId="0" xfId="906" applyFont="1" applyAlignment="1">
      <alignment horizontal="center"/>
    </xf>
    <xf numFmtId="0" fontId="202" fillId="0" borderId="0" xfId="906" applyFont="1" applyAlignment="1">
      <alignment horizontal="left"/>
    </xf>
    <xf numFmtId="343" fontId="201" fillId="0" borderId="0" xfId="906" applyNumberFormat="1" applyFont="1"/>
    <xf numFmtId="342" fontId="201" fillId="0" borderId="0" xfId="906" applyNumberFormat="1" applyFont="1" applyAlignment="1">
      <alignment horizontal="left"/>
    </xf>
    <xf numFmtId="347" fontId="201" fillId="0" borderId="0" xfId="906" applyNumberFormat="1" applyFont="1" applyAlignment="1">
      <alignment horizontal="left"/>
    </xf>
    <xf numFmtId="347" fontId="202" fillId="0" borderId="0" xfId="906" applyNumberFormat="1" applyFont="1" applyAlignment="1">
      <alignment horizontal="left"/>
    </xf>
    <xf numFmtId="342" fontId="210" fillId="61" borderId="0" xfId="906" applyNumberFormat="1" applyFont="1" applyFill="1" applyBorder="1" applyAlignment="1">
      <alignment horizontal="center" vertical="center"/>
    </xf>
    <xf numFmtId="347" fontId="201" fillId="0" borderId="0" xfId="906" applyNumberFormat="1" applyFont="1" applyAlignment="1">
      <alignment horizontal="left" indent="1"/>
    </xf>
    <xf numFmtId="347" fontId="210" fillId="0" borderId="0" xfId="906" applyNumberFormat="1" applyFont="1" applyAlignment="1">
      <alignment horizontal="left" indent="1"/>
    </xf>
    <xf numFmtId="346" fontId="201" fillId="61" borderId="0" xfId="906" applyNumberFormat="1" applyFont="1" applyFill="1" applyBorder="1" applyAlignment="1">
      <alignment horizontal="center" vertical="center"/>
    </xf>
    <xf numFmtId="346" fontId="210" fillId="61" borderId="0" xfId="906" applyNumberFormat="1" applyFont="1" applyFill="1" applyBorder="1" applyAlignment="1">
      <alignment horizontal="center" vertical="center"/>
    </xf>
    <xf numFmtId="346" fontId="202" fillId="61" borderId="0" xfId="906" applyNumberFormat="1" applyFont="1" applyFill="1" applyBorder="1" applyAlignment="1">
      <alignment horizontal="center" vertical="center"/>
    </xf>
    <xf numFmtId="348" fontId="201" fillId="5" borderId="0" xfId="906" applyNumberFormat="1" applyFont="1" applyFill="1" applyBorder="1" applyAlignment="1">
      <alignment vertical="center"/>
    </xf>
    <xf numFmtId="9" fontId="202" fillId="5" borderId="0" xfId="906" applyNumberFormat="1" applyFont="1" applyFill="1" applyBorder="1" applyAlignment="1">
      <alignment horizontal="left" vertical="center"/>
    </xf>
    <xf numFmtId="164" fontId="202" fillId="5" borderId="0" xfId="906" applyNumberFormat="1" applyFont="1" applyFill="1" applyBorder="1" applyAlignment="1">
      <alignment horizontal="left" vertical="center" indent="1"/>
    </xf>
    <xf numFmtId="203" fontId="201" fillId="5" borderId="0" xfId="906" applyNumberFormat="1" applyFont="1" applyFill="1" applyBorder="1" applyAlignment="1">
      <alignment horizontal="left" vertical="center" indent="2"/>
    </xf>
    <xf numFmtId="343" fontId="202" fillId="0" borderId="0" xfId="906" applyNumberFormat="1" applyFont="1"/>
    <xf numFmtId="164" fontId="206" fillId="5" borderId="0" xfId="906" applyNumberFormat="1" applyFont="1" applyFill="1" applyBorder="1" applyAlignment="1">
      <alignment horizontal="left" vertical="center" indent="1"/>
    </xf>
    <xf numFmtId="0" fontId="29" fillId="0" borderId="2" xfId="17" applyFont="1" applyBorder="1"/>
    <xf numFmtId="0" fontId="9" fillId="0" borderId="2" xfId="17" applyFont="1" applyBorder="1"/>
    <xf numFmtId="0" fontId="29" fillId="0" borderId="2" xfId="17" quotePrefix="1" applyFont="1" applyBorder="1" applyAlignment="1">
      <alignment horizontal="left"/>
    </xf>
    <xf numFmtId="0" fontId="29" fillId="0" borderId="2" xfId="17" applyFont="1" applyBorder="1" applyAlignment="1">
      <alignment horizontal="left"/>
    </xf>
    <xf numFmtId="342" fontId="201" fillId="0" borderId="0" xfId="906" applyNumberFormat="1" applyFont="1" applyBorder="1" applyAlignment="1">
      <alignment horizontal="right"/>
    </xf>
    <xf numFmtId="343" fontId="201" fillId="0" borderId="0" xfId="906" applyNumberFormat="1" applyFont="1" applyBorder="1" applyAlignment="1">
      <alignment horizontal="right"/>
    </xf>
    <xf numFmtId="0" fontId="201" fillId="0" borderId="0" xfId="906" applyFont="1" applyBorder="1" applyAlignment="1">
      <alignment horizontal="right"/>
    </xf>
    <xf numFmtId="344" fontId="204" fillId="0" borderId="0" xfId="906" applyNumberFormat="1" applyFont="1" applyBorder="1" applyAlignment="1">
      <alignment horizontal="right"/>
    </xf>
    <xf numFmtId="344" fontId="204" fillId="0" borderId="0" xfId="906" applyNumberFormat="1" applyFont="1" applyAlignment="1">
      <alignment horizontal="right"/>
    </xf>
    <xf numFmtId="345" fontId="201" fillId="0" borderId="0" xfId="906" applyNumberFormat="1" applyFont="1" applyBorder="1" applyAlignment="1">
      <alignment horizontal="right"/>
    </xf>
    <xf numFmtId="342" fontId="201" fillId="0" borderId="0" xfId="906" applyNumberFormat="1" applyFont="1" applyAlignment="1">
      <alignment horizontal="center"/>
    </xf>
    <xf numFmtId="164" fontId="202" fillId="5" borderId="0" xfId="906" applyNumberFormat="1" applyFont="1" applyFill="1" applyBorder="1" applyAlignment="1">
      <alignment horizontal="left" vertical="center"/>
    </xf>
    <xf numFmtId="0" fontId="9" fillId="0" borderId="0" xfId="17" applyAlignment="1">
      <alignment horizontal="left" indent="1"/>
    </xf>
    <xf numFmtId="0" fontId="9" fillId="0" borderId="0" xfId="17" applyFill="1" applyAlignment="1">
      <alignment horizontal="left" indent="1"/>
    </xf>
    <xf numFmtId="0" fontId="35" fillId="0" borderId="0" xfId="17" applyFont="1" applyAlignment="1">
      <alignment horizontal="left" indent="1"/>
    </xf>
    <xf numFmtId="347" fontId="202" fillId="0" borderId="0" xfId="906" applyNumberFormat="1" applyFont="1"/>
    <xf numFmtId="342" fontId="202" fillId="0" borderId="0" xfId="906" applyNumberFormat="1" applyFont="1" applyFill="1" applyAlignment="1">
      <alignment horizontal="right"/>
    </xf>
    <xf numFmtId="342" fontId="202" fillId="0" borderId="0" xfId="906" applyNumberFormat="1" applyFont="1" applyAlignment="1">
      <alignment horizontal="center"/>
    </xf>
    <xf numFmtId="342" fontId="202" fillId="0" borderId="0" xfId="906" applyNumberFormat="1" applyFont="1" applyAlignment="1">
      <alignment horizontal="left"/>
    </xf>
    <xf numFmtId="342" fontId="210" fillId="0" borderId="0" xfId="906" applyNumberFormat="1" applyFont="1" applyAlignment="1">
      <alignment horizontal="center"/>
    </xf>
    <xf numFmtId="342" fontId="210" fillId="0" borderId="0" xfId="906" applyNumberFormat="1" applyFont="1" applyAlignment="1">
      <alignment horizontal="left"/>
    </xf>
    <xf numFmtId="342" fontId="16" fillId="0" borderId="0" xfId="906" applyNumberFormat="1" applyFont="1"/>
    <xf numFmtId="342" fontId="202" fillId="62" borderId="44" xfId="906" applyNumberFormat="1" applyFont="1" applyFill="1" applyBorder="1" applyAlignment="1">
      <alignment vertical="center"/>
    </xf>
    <xf numFmtId="342" fontId="202" fillId="5" borderId="0" xfId="906" applyNumberFormat="1" applyFont="1" applyFill="1" applyAlignment="1">
      <alignment horizontal="center" vertical="center"/>
    </xf>
    <xf numFmtId="349" fontId="201" fillId="5" borderId="0" xfId="906" applyNumberFormat="1" applyFont="1" applyFill="1" applyBorder="1" applyAlignment="1">
      <alignment vertical="center"/>
    </xf>
    <xf numFmtId="343" fontId="202" fillId="5" borderId="0" xfId="906" applyNumberFormat="1" applyFont="1" applyFill="1" applyBorder="1" applyAlignment="1">
      <alignment vertical="center"/>
    </xf>
    <xf numFmtId="349" fontId="202" fillId="5" borderId="0" xfId="906" applyNumberFormat="1" applyFont="1" applyFill="1" applyBorder="1" applyAlignment="1">
      <alignment vertical="center"/>
    </xf>
    <xf numFmtId="0" fontId="212" fillId="0" borderId="0" xfId="909" applyAlignment="1" applyProtection="1"/>
    <xf numFmtId="0" fontId="29" fillId="0" borderId="0" xfId="0" applyFont="1"/>
    <xf numFmtId="342" fontId="0" fillId="0" borderId="0" xfId="0" applyNumberFormat="1"/>
    <xf numFmtId="0" fontId="212" fillId="0" borderId="0" xfId="909" applyAlignment="1" applyProtection="1">
      <alignment horizontal="justify" vertical="center"/>
    </xf>
    <xf numFmtId="0" fontId="201" fillId="0" borderId="6" xfId="906" applyFont="1" applyBorder="1" applyAlignment="1">
      <alignment vertical="center"/>
    </xf>
    <xf numFmtId="344" fontId="209" fillId="0" borderId="0" xfId="906" applyNumberFormat="1" applyFont="1"/>
    <xf numFmtId="344" fontId="214" fillId="0" borderId="0" xfId="906" applyNumberFormat="1" applyFont="1"/>
    <xf numFmtId="347" fontId="202" fillId="5" borderId="0" xfId="906" applyNumberFormat="1" applyFont="1" applyFill="1" applyBorder="1" applyAlignment="1">
      <alignment vertical="center"/>
    </xf>
    <xf numFmtId="342" fontId="36" fillId="5" borderId="0" xfId="906" applyNumberFormat="1" applyFont="1" applyFill="1" applyBorder="1" applyAlignment="1">
      <alignment horizontal="right" vertical="center"/>
    </xf>
    <xf numFmtId="265" fontId="201" fillId="5" borderId="0" xfId="906" applyNumberFormat="1" applyFont="1" applyFill="1" applyBorder="1" applyAlignment="1">
      <alignment vertical="center"/>
    </xf>
    <xf numFmtId="342" fontId="36" fillId="5" borderId="0" xfId="907" applyNumberFormat="1" applyFont="1" applyFill="1" applyBorder="1" applyAlignment="1">
      <alignment horizontal="right" vertical="center"/>
    </xf>
    <xf numFmtId="342" fontId="202" fillId="62" borderId="44" xfId="906" applyNumberFormat="1" applyFont="1" applyFill="1" applyBorder="1" applyAlignment="1">
      <alignment horizontal="right" vertical="center"/>
    </xf>
    <xf numFmtId="343" fontId="202" fillId="62" borderId="44" xfId="906" applyNumberFormat="1" applyFont="1" applyFill="1" applyBorder="1" applyAlignment="1">
      <alignment horizontal="right" vertical="center"/>
    </xf>
    <xf numFmtId="342" fontId="201" fillId="0" borderId="0" xfId="906" applyNumberFormat="1" applyFont="1" applyAlignment="1">
      <alignment horizontal="right" vertical="center"/>
    </xf>
    <xf numFmtId="342" fontId="202" fillId="0" borderId="0" xfId="906" applyNumberFormat="1" applyFont="1" applyAlignment="1">
      <alignment horizontal="right" vertical="center"/>
    </xf>
    <xf numFmtId="164" fontId="206" fillId="5" borderId="0" xfId="906" applyNumberFormat="1" applyFont="1" applyFill="1" applyBorder="1" applyAlignment="1">
      <alignment horizontal="left" vertical="center"/>
    </xf>
    <xf numFmtId="0" fontId="202" fillId="0" borderId="0" xfId="906" applyFont="1" applyBorder="1"/>
    <xf numFmtId="0" fontId="202" fillId="5" borderId="53" xfId="906" applyFont="1" applyFill="1" applyBorder="1" applyAlignment="1">
      <alignment horizontal="center" vertical="center"/>
    </xf>
    <xf numFmtId="344" fontId="204" fillId="0" borderId="0" xfId="906" applyNumberFormat="1" applyFont="1" applyAlignment="1">
      <alignment vertical="center"/>
    </xf>
    <xf numFmtId="342" fontId="201" fillId="0" borderId="0" xfId="906" applyNumberFormat="1" applyFont="1" applyAlignment="1">
      <alignment vertical="center"/>
    </xf>
    <xf numFmtId="342" fontId="202" fillId="0" borderId="0" xfId="906" applyNumberFormat="1" applyFont="1" applyAlignment="1">
      <alignment vertical="center"/>
    </xf>
    <xf numFmtId="342" fontId="204" fillId="0" borderId="0" xfId="906" applyNumberFormat="1" applyFont="1" applyAlignment="1">
      <alignment vertical="center"/>
    </xf>
    <xf numFmtId="342" fontId="210" fillId="0" borderId="0" xfId="906" applyNumberFormat="1" applyFont="1" applyAlignment="1">
      <alignment vertical="center"/>
    </xf>
    <xf numFmtId="345" fontId="201" fillId="0" borderId="0" xfId="906" applyNumberFormat="1" applyFont="1" applyAlignment="1">
      <alignment vertical="center"/>
    </xf>
    <xf numFmtId="343" fontId="201" fillId="0" borderId="0" xfId="906" applyNumberFormat="1" applyFont="1" applyAlignment="1">
      <alignment vertical="center"/>
    </xf>
    <xf numFmtId="342" fontId="36" fillId="0" borderId="0" xfId="906" applyNumberFormat="1" applyFont="1" applyAlignment="1">
      <alignment vertical="center"/>
    </xf>
    <xf numFmtId="342" fontId="209" fillId="0" borderId="0" xfId="906" applyNumberFormat="1" applyFont="1" applyAlignment="1">
      <alignment vertical="center"/>
    </xf>
    <xf numFmtId="342" fontId="26" fillId="0" borderId="0" xfId="906" applyNumberFormat="1" applyFont="1" applyAlignment="1">
      <alignment vertical="center"/>
    </xf>
    <xf numFmtId="344" fontId="201" fillId="0" borderId="0" xfId="906" applyNumberFormat="1" applyFont="1" applyAlignment="1">
      <alignment vertical="center"/>
    </xf>
    <xf numFmtId="342" fontId="36" fillId="0" borderId="0" xfId="906" applyNumberFormat="1" applyFont="1" applyAlignment="1">
      <alignment horizontal="right" vertical="center"/>
    </xf>
    <xf numFmtId="14" fontId="201" fillId="5" borderId="0" xfId="906" applyNumberFormat="1" applyFont="1" applyFill="1" applyBorder="1" applyAlignment="1">
      <alignment vertical="center"/>
    </xf>
    <xf numFmtId="169" fontId="201" fillId="0" borderId="0" xfId="906" applyNumberFormat="1" applyFont="1" applyBorder="1" applyAlignment="1">
      <alignment horizontal="center" vertical="center"/>
    </xf>
    <xf numFmtId="167" fontId="203" fillId="0" borderId="49" xfId="908" applyNumberFormat="1" applyFont="1" applyBorder="1" applyAlignment="1">
      <alignment horizontal="center" vertical="center"/>
    </xf>
    <xf numFmtId="43" fontId="202" fillId="0" borderId="0" xfId="906" applyNumberFormat="1" applyFont="1" applyBorder="1" applyAlignment="1">
      <alignment horizontal="center" vertical="center"/>
    </xf>
    <xf numFmtId="164" fontId="201" fillId="0" borderId="0" xfId="906" applyNumberFormat="1" applyFont="1" applyBorder="1" applyAlignment="1">
      <alignment horizontal="center" vertical="center"/>
    </xf>
    <xf numFmtId="0" fontId="201" fillId="0" borderId="0" xfId="906" applyFont="1" applyBorder="1" applyAlignment="1">
      <alignment horizontal="center"/>
    </xf>
    <xf numFmtId="343" fontId="201" fillId="0" borderId="0" xfId="906" applyNumberFormat="1" applyFont="1" applyBorder="1" applyAlignment="1">
      <alignment horizontal="center" vertical="center"/>
    </xf>
    <xf numFmtId="344" fontId="215" fillId="0" borderId="49" xfId="908" applyNumberFormat="1" applyFont="1" applyBorder="1" applyAlignment="1">
      <alignment horizontal="center" vertical="center"/>
    </xf>
    <xf numFmtId="342" fontId="201" fillId="0" borderId="49" xfId="906" applyNumberFormat="1" applyFont="1" applyBorder="1" applyAlignment="1">
      <alignment horizontal="center" vertical="center"/>
    </xf>
    <xf numFmtId="342" fontId="201" fillId="0" borderId="0" xfId="906" applyNumberFormat="1" applyFont="1" applyBorder="1" applyAlignment="1">
      <alignment horizontal="center" vertical="center"/>
    </xf>
    <xf numFmtId="0" fontId="202" fillId="5" borderId="0" xfId="906" applyFont="1" applyFill="1" applyBorder="1" applyAlignment="1">
      <alignment horizontal="centerContinuous" vertical="center"/>
    </xf>
    <xf numFmtId="0" fontId="202" fillId="64" borderId="7" xfId="906" applyFont="1" applyFill="1" applyBorder="1" applyAlignment="1">
      <alignment vertical="center"/>
    </xf>
    <xf numFmtId="0" fontId="202" fillId="64" borderId="8" xfId="906" applyFont="1" applyFill="1" applyBorder="1" applyAlignment="1">
      <alignment vertical="center"/>
    </xf>
    <xf numFmtId="343" fontId="202" fillId="64" borderId="8" xfId="908" applyNumberFormat="1" applyFont="1" applyFill="1" applyBorder="1" applyAlignment="1">
      <alignment horizontal="center" vertical="center"/>
    </xf>
    <xf numFmtId="343" fontId="202" fillId="64" borderId="8" xfId="906" applyNumberFormat="1" applyFont="1" applyFill="1" applyBorder="1" applyAlignment="1">
      <alignment horizontal="center" vertical="center"/>
    </xf>
    <xf numFmtId="343" fontId="202" fillId="64" borderId="9" xfId="906" applyNumberFormat="1" applyFont="1" applyFill="1" applyBorder="1" applyAlignment="1">
      <alignment horizontal="center" vertical="center"/>
    </xf>
    <xf numFmtId="0" fontId="202" fillId="63" borderId="7" xfId="906" applyNumberFormat="1" applyFont="1" applyFill="1" applyBorder="1" applyAlignment="1">
      <alignment vertical="center"/>
    </xf>
    <xf numFmtId="0" fontId="202" fillId="63" borderId="8" xfId="906" applyNumberFormat="1" applyFont="1" applyFill="1" applyBorder="1" applyAlignment="1">
      <alignment vertical="center"/>
    </xf>
    <xf numFmtId="0" fontId="202" fillId="63" borderId="8" xfId="906" applyNumberFormat="1" applyFont="1" applyFill="1" applyBorder="1" applyAlignment="1">
      <alignment horizontal="center" vertical="center"/>
    </xf>
    <xf numFmtId="0" fontId="202" fillId="63" borderId="9" xfId="906" applyNumberFormat="1" applyFont="1" applyFill="1" applyBorder="1" applyAlignment="1">
      <alignment horizontal="center" vertical="center"/>
    </xf>
    <xf numFmtId="0" fontId="204" fillId="0" borderId="0" xfId="906" applyFont="1" applyBorder="1" applyAlignment="1">
      <alignment horizontal="left" vertical="center" indent="1"/>
    </xf>
    <xf numFmtId="344" fontId="204" fillId="0" borderId="0" xfId="906" applyNumberFormat="1" applyFont="1" applyBorder="1" applyAlignment="1">
      <alignment horizontal="center" vertical="center"/>
    </xf>
    <xf numFmtId="0" fontId="202" fillId="5" borderId="47" xfId="906" applyFont="1" applyFill="1" applyBorder="1" applyAlignment="1">
      <alignment horizontal="right" vertical="center"/>
    </xf>
    <xf numFmtId="344" fontId="30" fillId="0" borderId="0" xfId="0" applyNumberFormat="1" applyFont="1"/>
    <xf numFmtId="0" fontId="217" fillId="65" borderId="0" xfId="0" applyFont="1" applyFill="1" applyBorder="1" applyAlignment="1">
      <alignment horizontal="center" wrapText="1"/>
    </xf>
    <xf numFmtId="0" fontId="217" fillId="5" borderId="0" xfId="0" applyFont="1" applyFill="1" applyBorder="1" applyAlignment="1">
      <alignment horizontal="center" wrapText="1"/>
    </xf>
    <xf numFmtId="344" fontId="30" fillId="5" borderId="0" xfId="912" applyNumberFormat="1" applyFont="1" applyFill="1" applyBorder="1" applyAlignment="1"/>
    <xf numFmtId="0" fontId="218" fillId="5" borderId="0" xfId="0" applyFont="1" applyFill="1" applyBorder="1" applyAlignment="1"/>
    <xf numFmtId="0" fontId="218" fillId="0" borderId="0" xfId="0" applyFont="1"/>
    <xf numFmtId="164" fontId="218" fillId="5" borderId="0" xfId="912" applyNumberFormat="1" applyFont="1" applyFill="1" applyBorder="1" applyAlignment="1"/>
    <xf numFmtId="344" fontId="219" fillId="5" borderId="0" xfId="912" applyNumberFormat="1" applyFont="1" applyFill="1" applyBorder="1" applyAlignment="1"/>
    <xf numFmtId="344" fontId="219" fillId="0" borderId="0" xfId="0" applyNumberFormat="1" applyFont="1"/>
    <xf numFmtId="0" fontId="213" fillId="0" borderId="0" xfId="0" applyFont="1"/>
    <xf numFmtId="343" fontId="0" fillId="0" borderId="0" xfId="0" applyNumberFormat="1"/>
    <xf numFmtId="350" fontId="0" fillId="0" borderId="0" xfId="0" applyNumberFormat="1"/>
    <xf numFmtId="7" fontId="201" fillId="0" borderId="0" xfId="906" applyNumberFormat="1" applyFont="1"/>
    <xf numFmtId="0" fontId="202" fillId="0" borderId="0" xfId="906" applyFont="1" applyAlignment="1">
      <alignment horizontal="left" indent="1"/>
    </xf>
    <xf numFmtId="265" fontId="213" fillId="0" borderId="0" xfId="0" applyNumberFormat="1" applyFont="1"/>
    <xf numFmtId="344" fontId="30" fillId="0" borderId="51" xfId="0" applyNumberFormat="1" applyFont="1" applyBorder="1"/>
    <xf numFmtId="344" fontId="30" fillId="0" borderId="46" xfId="0" applyNumberFormat="1" applyFont="1" applyBorder="1"/>
    <xf numFmtId="342" fontId="218" fillId="5" borderId="0" xfId="0" applyNumberFormat="1" applyFont="1" applyFill="1" applyBorder="1" applyAlignment="1"/>
    <xf numFmtId="342" fontId="218" fillId="0" borderId="0" xfId="0" applyNumberFormat="1" applyFont="1"/>
    <xf numFmtId="342" fontId="9" fillId="5" borderId="0" xfId="0" applyNumberFormat="1" applyFont="1" applyFill="1" applyBorder="1" applyAlignment="1"/>
    <xf numFmtId="344" fontId="220" fillId="63" borderId="51" xfId="912" applyNumberFormat="1" applyFont="1" applyFill="1" applyBorder="1" applyAlignment="1"/>
    <xf numFmtId="344" fontId="220" fillId="63" borderId="44" xfId="912" applyNumberFormat="1" applyFont="1" applyFill="1" applyBorder="1" applyAlignment="1"/>
    <xf numFmtId="344" fontId="220" fillId="63" borderId="46" xfId="912" applyNumberFormat="1" applyFont="1" applyFill="1" applyBorder="1" applyAlignment="1"/>
    <xf numFmtId="344" fontId="219" fillId="5" borderId="0" xfId="0" applyNumberFormat="1" applyFont="1" applyFill="1" applyBorder="1"/>
    <xf numFmtId="344" fontId="221" fillId="5" borderId="0" xfId="912" applyNumberFormat="1" applyFont="1" applyFill="1" applyBorder="1" applyAlignment="1"/>
    <xf numFmtId="342" fontId="201" fillId="0" borderId="12" xfId="906" applyNumberFormat="1" applyFont="1" applyBorder="1" applyAlignment="1">
      <alignment horizontal="center" vertical="center"/>
    </xf>
    <xf numFmtId="167" fontId="203" fillId="0" borderId="50" xfId="908" applyNumberFormat="1" applyFont="1" applyBorder="1" applyAlignment="1">
      <alignment horizontal="center" vertical="center"/>
    </xf>
    <xf numFmtId="342" fontId="201" fillId="0" borderId="50" xfId="906" applyNumberFormat="1" applyFont="1" applyBorder="1" applyAlignment="1">
      <alignment horizontal="center" vertical="center"/>
    </xf>
    <xf numFmtId="343" fontId="201" fillId="0" borderId="12" xfId="906" applyNumberFormat="1" applyFont="1" applyBorder="1" applyAlignment="1">
      <alignment horizontal="center" vertical="center"/>
    </xf>
    <xf numFmtId="343" fontId="202" fillId="64" borderId="46" xfId="908" applyNumberFormat="1" applyFont="1" applyFill="1" applyBorder="1" applyAlignment="1">
      <alignment horizontal="center" vertical="center"/>
    </xf>
    <xf numFmtId="344" fontId="215" fillId="0" borderId="50" xfId="908" applyNumberFormat="1" applyFont="1" applyBorder="1" applyAlignment="1">
      <alignment horizontal="center" vertical="center"/>
    </xf>
    <xf numFmtId="164" fontId="204" fillId="5" borderId="0" xfId="906" applyNumberFormat="1" applyFont="1" applyFill="1" applyBorder="1" applyAlignment="1">
      <alignment horizontal="left" vertical="center" indent="2"/>
    </xf>
    <xf numFmtId="7" fontId="201" fillId="0" borderId="0" xfId="906" applyNumberFormat="1" applyFont="1" applyAlignment="1">
      <alignment vertical="center"/>
    </xf>
    <xf numFmtId="351" fontId="201" fillId="0" borderId="0" xfId="906" applyNumberFormat="1" applyFont="1"/>
    <xf numFmtId="2" fontId="201" fillId="0" borderId="0" xfId="906" applyNumberFormat="1" applyFont="1"/>
    <xf numFmtId="345" fontId="0" fillId="0" borderId="0" xfId="0" applyNumberFormat="1"/>
    <xf numFmtId="344" fontId="223" fillId="0" borderId="0" xfId="0" applyNumberFormat="1" applyFont="1"/>
    <xf numFmtId="0" fontId="208" fillId="60" borderId="44" xfId="906" applyFont="1" applyFill="1" applyBorder="1" applyAlignment="1">
      <alignment horizontal="center" vertical="center"/>
    </xf>
    <xf numFmtId="0" fontId="224" fillId="5" borderId="0" xfId="906" applyFont="1" applyFill="1" applyBorder="1" applyAlignment="1">
      <alignment horizontal="center" vertical="center"/>
    </xf>
    <xf numFmtId="203" fontId="224" fillId="5" borderId="0" xfId="906" applyNumberFormat="1" applyFont="1" applyFill="1" applyAlignment="1">
      <alignment horizontal="right"/>
    </xf>
    <xf numFmtId="9" fontId="225" fillId="5" borderId="0" xfId="906" applyNumberFormat="1" applyFont="1" applyFill="1" applyBorder="1" applyAlignment="1">
      <alignment horizontal="left" vertical="center"/>
    </xf>
    <xf numFmtId="0" fontId="225" fillId="5" borderId="0" xfId="906" applyFont="1" applyFill="1" applyBorder="1" applyAlignment="1">
      <alignment vertical="center"/>
    </xf>
    <xf numFmtId="0" fontId="224" fillId="5" borderId="0" xfId="906" applyFont="1" applyFill="1" applyAlignment="1">
      <alignment horizontal="center"/>
    </xf>
    <xf numFmtId="0" fontId="224" fillId="5" borderId="0" xfId="906" applyFont="1" applyFill="1" applyAlignment="1">
      <alignment horizontal="left"/>
    </xf>
    <xf numFmtId="0" fontId="224" fillId="5" borderId="0" xfId="906" applyFont="1" applyFill="1"/>
    <xf numFmtId="0" fontId="29" fillId="0" borderId="0" xfId="0" applyFont="1" applyAlignment="1">
      <alignment horizontal="center"/>
    </xf>
    <xf numFmtId="344" fontId="226" fillId="0" borderId="0" xfId="906" applyNumberFormat="1" applyFont="1"/>
    <xf numFmtId="342" fontId="30" fillId="0" borderId="51" xfId="0" applyNumberFormat="1" applyFont="1" applyBorder="1"/>
    <xf numFmtId="342" fontId="30" fillId="0" borderId="46" xfId="0" applyNumberFormat="1" applyFont="1" applyBorder="1"/>
    <xf numFmtId="342" fontId="227" fillId="0" borderId="0" xfId="906" applyNumberFormat="1" applyFont="1"/>
    <xf numFmtId="342" fontId="204" fillId="0" borderId="0" xfId="906" applyNumberFormat="1" applyFont="1" applyBorder="1" applyAlignment="1">
      <alignment horizontal="right"/>
    </xf>
    <xf numFmtId="351" fontId="201" fillId="0" borderId="0" xfId="906" applyNumberFormat="1" applyFont="1" applyBorder="1" applyAlignment="1">
      <alignment horizontal="right"/>
    </xf>
    <xf numFmtId="0" fontId="201" fillId="0" borderId="11" xfId="906" applyFont="1" applyBorder="1" applyAlignment="1">
      <alignment vertical="center"/>
    </xf>
    <xf numFmtId="0" fontId="201" fillId="0" borderId="10" xfId="906" applyFont="1" applyBorder="1" applyAlignment="1">
      <alignment vertical="center"/>
    </xf>
    <xf numFmtId="342" fontId="201" fillId="0" borderId="10" xfId="908" applyNumberFormat="1" applyFont="1" applyBorder="1" applyAlignment="1">
      <alignment horizontal="center" vertical="center"/>
    </xf>
    <xf numFmtId="342" fontId="201" fillId="0" borderId="12" xfId="908" applyNumberFormat="1" applyFont="1" applyBorder="1" applyAlignment="1">
      <alignment horizontal="center" vertical="center"/>
    </xf>
    <xf numFmtId="342" fontId="201" fillId="0" borderId="10" xfId="906" applyNumberFormat="1" applyFont="1" applyBorder="1" applyAlignment="1">
      <alignment horizontal="center" vertical="center"/>
    </xf>
    <xf numFmtId="344" fontId="30" fillId="0" borderId="0" xfId="0" applyNumberFormat="1" applyFont="1" applyBorder="1"/>
    <xf numFmtId="0" fontId="0" fillId="5" borderId="0" xfId="0" applyFill="1"/>
    <xf numFmtId="9" fontId="205" fillId="5" borderId="0" xfId="906" applyNumberFormat="1" applyFont="1" applyFill="1" applyBorder="1" applyAlignment="1">
      <alignment horizontal="left" vertical="center"/>
    </xf>
    <xf numFmtId="0" fontId="26" fillId="5" borderId="0" xfId="0" applyFont="1" applyFill="1" applyBorder="1" applyAlignment="1">
      <alignment horizontal="center"/>
    </xf>
    <xf numFmtId="0" fontId="9" fillId="5" borderId="0" xfId="0" applyFont="1" applyFill="1"/>
    <xf numFmtId="0" fontId="227" fillId="5" borderId="0" xfId="0" applyFont="1" applyFill="1"/>
    <xf numFmtId="0" fontId="227" fillId="0" borderId="0" xfId="0" applyFont="1"/>
    <xf numFmtId="344" fontId="226" fillId="0" borderId="0" xfId="0" applyNumberFormat="1" applyFont="1"/>
    <xf numFmtId="0" fontId="0" fillId="0" borderId="0" xfId="0" applyBorder="1"/>
    <xf numFmtId="0" fontId="15" fillId="5" borderId="0" xfId="0" applyFont="1" applyFill="1" applyAlignment="1">
      <alignment horizontal="center"/>
    </xf>
    <xf numFmtId="0" fontId="36" fillId="63" borderId="45" xfId="0" applyFont="1" applyFill="1" applyBorder="1" applyAlignment="1">
      <alignment horizontal="center"/>
    </xf>
    <xf numFmtId="0" fontId="34" fillId="59" borderId="12" xfId="906" applyFont="1" applyFill="1" applyBorder="1" applyAlignment="1">
      <alignment vertical="center"/>
    </xf>
    <xf numFmtId="0" fontId="34" fillId="59" borderId="2" xfId="906" applyFont="1" applyFill="1" applyBorder="1" applyAlignment="1">
      <alignment vertical="center"/>
    </xf>
    <xf numFmtId="3" fontId="34" fillId="59" borderId="6" xfId="906" applyNumberFormat="1" applyFont="1" applyFill="1" applyBorder="1" applyAlignment="1">
      <alignment horizontal="left" vertical="center"/>
    </xf>
    <xf numFmtId="9" fontId="228" fillId="5" borderId="0" xfId="906" applyNumberFormat="1" applyFont="1" applyFill="1" applyBorder="1" applyAlignment="1">
      <alignment horizontal="left" vertical="center"/>
    </xf>
    <xf numFmtId="3" fontId="34" fillId="5" borderId="0" xfId="906" applyNumberFormat="1" applyFont="1" applyFill="1" applyBorder="1" applyAlignment="1">
      <alignment horizontal="left" vertical="center"/>
    </xf>
    <xf numFmtId="0" fontId="9" fillId="0" borderId="11" xfId="0" applyFont="1" applyBorder="1"/>
    <xf numFmtId="0" fontId="0" fillId="0" borderId="10" xfId="0" applyBorder="1"/>
    <xf numFmtId="0" fontId="0" fillId="5" borderId="10" xfId="0" applyFill="1" applyBorder="1"/>
    <xf numFmtId="344" fontId="226" fillId="0" borderId="10" xfId="0" applyNumberFormat="1" applyFont="1" applyBorder="1"/>
    <xf numFmtId="0" fontId="0" fillId="0" borderId="47" xfId="0" applyBorder="1"/>
    <xf numFmtId="0" fontId="9" fillId="0" borderId="0" xfId="0" applyFont="1" applyBorder="1"/>
    <xf numFmtId="0" fontId="9" fillId="5" borderId="0" xfId="0" applyFont="1" applyFill="1" applyBorder="1"/>
    <xf numFmtId="344" fontId="226" fillId="0" borderId="0" xfId="0" applyNumberFormat="1" applyFont="1" applyBorder="1"/>
    <xf numFmtId="344" fontId="30" fillId="0" borderId="2" xfId="0" applyNumberFormat="1" applyFont="1" applyBorder="1"/>
    <xf numFmtId="0" fontId="0" fillId="5" borderId="0" xfId="0" applyFill="1" applyBorder="1"/>
    <xf numFmtId="0" fontId="9" fillId="0" borderId="47" xfId="0" applyFont="1" applyBorder="1"/>
    <xf numFmtId="342" fontId="226" fillId="0" borderId="0" xfId="0" applyNumberFormat="1" applyFont="1" applyBorder="1"/>
    <xf numFmtId="0" fontId="30" fillId="0" borderId="6" xfId="0" applyFont="1" applyBorder="1"/>
    <xf numFmtId="0" fontId="30" fillId="0" borderId="49" xfId="0" applyFont="1" applyBorder="1"/>
    <xf numFmtId="0" fontId="30" fillId="5" borderId="49" xfId="0" applyFont="1" applyFill="1" applyBorder="1"/>
    <xf numFmtId="342" fontId="214" fillId="0" borderId="49" xfId="0" applyNumberFormat="1" applyFont="1" applyFill="1" applyBorder="1"/>
    <xf numFmtId="342" fontId="214" fillId="0" borderId="50" xfId="0" applyNumberFormat="1" applyFont="1" applyFill="1" applyBorder="1"/>
    <xf numFmtId="344" fontId="214" fillId="0" borderId="0" xfId="0" applyNumberFormat="1" applyFont="1" applyBorder="1"/>
    <xf numFmtId="344" fontId="214" fillId="0" borderId="2" xfId="0" applyNumberFormat="1" applyFont="1" applyBorder="1"/>
    <xf numFmtId="344" fontId="214" fillId="0" borderId="0" xfId="0" applyNumberFormat="1" applyFont="1" applyFill="1" applyBorder="1"/>
    <xf numFmtId="344" fontId="214" fillId="0" borderId="2" xfId="0" applyNumberFormat="1" applyFont="1" applyFill="1" applyBorder="1"/>
    <xf numFmtId="342" fontId="214" fillId="0" borderId="0" xfId="0" applyNumberFormat="1" applyFont="1" applyBorder="1"/>
    <xf numFmtId="342" fontId="214" fillId="0" borderId="2" xfId="0" applyNumberFormat="1" applyFont="1" applyBorder="1"/>
    <xf numFmtId="14" fontId="34" fillId="5" borderId="53" xfId="906" applyNumberFormat="1" applyFont="1" applyFill="1" applyBorder="1"/>
    <xf numFmtId="342" fontId="34" fillId="5" borderId="53" xfId="906" applyNumberFormat="1" applyFont="1" applyFill="1" applyBorder="1"/>
    <xf numFmtId="0" fontId="206" fillId="0" borderId="0" xfId="906" applyFont="1" applyBorder="1"/>
    <xf numFmtId="0" fontId="202" fillId="11" borderId="10" xfId="906" applyFont="1" applyFill="1" applyBorder="1" applyAlignment="1">
      <alignment horizontal="right" vertical="center"/>
    </xf>
    <xf numFmtId="0" fontId="202" fillId="11" borderId="44" xfId="906" applyFont="1" applyFill="1" applyBorder="1" applyAlignment="1">
      <alignment horizontal="centerContinuous" vertical="center"/>
    </xf>
    <xf numFmtId="0" fontId="202" fillId="11" borderId="46" xfId="906" applyFont="1" applyFill="1" applyBorder="1" applyAlignment="1">
      <alignment horizontal="centerContinuous" vertical="center"/>
    </xf>
    <xf numFmtId="0" fontId="202" fillId="11" borderId="49" xfId="906" applyFont="1" applyFill="1" applyBorder="1" applyAlignment="1">
      <alignment horizontal="center" vertical="center"/>
    </xf>
    <xf numFmtId="0" fontId="202" fillId="11" borderId="50" xfId="906" applyFont="1" applyFill="1" applyBorder="1" applyAlignment="1">
      <alignment horizontal="center" vertical="center"/>
    </xf>
    <xf numFmtId="342" fontId="36" fillId="0" borderId="0" xfId="0" applyNumberFormat="1" applyFont="1"/>
    <xf numFmtId="0" fontId="27" fillId="0" borderId="0" xfId="906" applyNumberFormat="1" applyFont="1" applyBorder="1"/>
    <xf numFmtId="0" fontId="229" fillId="0" borderId="0" xfId="906" applyFont="1" applyBorder="1"/>
    <xf numFmtId="0" fontId="2" fillId="0" borderId="0" xfId="906" applyFont="1" applyBorder="1"/>
    <xf numFmtId="179" fontId="2" fillId="5" borderId="0" xfId="906" applyNumberFormat="1" applyFont="1" applyFill="1" applyBorder="1" applyAlignment="1">
      <alignment horizontal="left" vertical="center"/>
    </xf>
    <xf numFmtId="0" fontId="222" fillId="5" borderId="0" xfId="906" applyFont="1" applyFill="1" applyBorder="1" applyAlignment="1">
      <alignment vertical="center"/>
    </xf>
    <xf numFmtId="9" fontId="222" fillId="5" borderId="0" xfId="907" applyFont="1" applyFill="1" applyBorder="1" applyAlignment="1">
      <alignment vertical="center"/>
    </xf>
    <xf numFmtId="0" fontId="2" fillId="5" borderId="0" xfId="906" applyFont="1" applyFill="1" applyBorder="1" applyAlignment="1">
      <alignment vertical="center"/>
    </xf>
    <xf numFmtId="0" fontId="27" fillId="0" borderId="0" xfId="906" applyFont="1" applyBorder="1"/>
    <xf numFmtId="165" fontId="2" fillId="5" borderId="0" xfId="906" applyNumberFormat="1" applyFont="1" applyFill="1" applyBorder="1" applyAlignment="1">
      <alignment horizontal="left" vertical="center"/>
    </xf>
    <xf numFmtId="3" fontId="222" fillId="5" borderId="0" xfId="906" applyNumberFormat="1" applyFont="1" applyFill="1" applyBorder="1" applyAlignment="1">
      <alignment vertical="center"/>
    </xf>
    <xf numFmtId="3" fontId="2" fillId="5" borderId="0" xfId="906" applyNumberFormat="1" applyFont="1" applyFill="1" applyBorder="1" applyAlignment="1">
      <alignment vertical="center"/>
    </xf>
    <xf numFmtId="179" fontId="2" fillId="5" borderId="0" xfId="906" applyNumberFormat="1" applyFont="1" applyFill="1" applyBorder="1" applyAlignment="1">
      <alignment vertical="center"/>
    </xf>
    <xf numFmtId="0" fontId="27" fillId="5" borderId="0" xfId="906" applyFont="1" applyFill="1" applyBorder="1" applyAlignment="1">
      <alignment horizontal="right" vertical="center"/>
    </xf>
    <xf numFmtId="0" fontId="27" fillId="5" borderId="49" xfId="906" applyFont="1" applyFill="1" applyBorder="1" applyAlignment="1">
      <alignment horizontal="centerContinuous" vertical="center"/>
    </xf>
    <xf numFmtId="0" fontId="27" fillId="5" borderId="0" xfId="906" applyFont="1" applyFill="1" applyBorder="1" applyAlignment="1">
      <alignment horizontal="centerContinuous" vertical="center"/>
    </xf>
    <xf numFmtId="165" fontId="2" fillId="5" borderId="0" xfId="906" applyNumberFormat="1" applyFont="1" applyFill="1" applyBorder="1" applyAlignment="1">
      <alignment vertical="center"/>
    </xf>
    <xf numFmtId="0" fontId="27" fillId="0" borderId="53" xfId="0" applyFont="1" applyBorder="1"/>
    <xf numFmtId="0" fontId="27" fillId="0" borderId="53" xfId="906" applyFont="1" applyBorder="1" applyAlignment="1">
      <alignment vertical="center"/>
    </xf>
    <xf numFmtId="0" fontId="27" fillId="5" borderId="53" xfId="906" applyFont="1" applyFill="1" applyBorder="1" applyAlignment="1">
      <alignment horizontal="center" vertical="center"/>
    </xf>
    <xf numFmtId="0" fontId="2" fillId="5" borderId="0" xfId="0" applyFont="1" applyFill="1"/>
    <xf numFmtId="342" fontId="2" fillId="5" borderId="0" xfId="906" applyNumberFormat="1" applyFont="1" applyFill="1" applyBorder="1" applyAlignment="1">
      <alignment horizontal="right" vertical="center"/>
    </xf>
    <xf numFmtId="0" fontId="2" fillId="0" borderId="49" xfId="0" applyFont="1" applyBorder="1"/>
    <xf numFmtId="0" fontId="230" fillId="0" borderId="0" xfId="906" applyFont="1" applyBorder="1" applyAlignment="1">
      <alignment horizontal="left" indent="1"/>
    </xf>
    <xf numFmtId="342" fontId="27" fillId="5" borderId="0" xfId="906" applyNumberFormat="1" applyFont="1" applyFill="1" applyBorder="1" applyAlignment="1">
      <alignment horizontal="right" vertical="center"/>
    </xf>
    <xf numFmtId="0" fontId="2" fillId="0" borderId="0" xfId="0" applyFont="1"/>
    <xf numFmtId="203" fontId="2" fillId="0" borderId="0" xfId="906" applyNumberFormat="1" applyFont="1" applyFill="1" applyAlignment="1">
      <alignment horizontal="right"/>
    </xf>
    <xf numFmtId="0" fontId="2" fillId="0" borderId="0" xfId="0" applyFont="1" applyBorder="1"/>
    <xf numFmtId="342" fontId="2" fillId="0" borderId="0" xfId="906" applyNumberFormat="1" applyFont="1" applyBorder="1" applyAlignment="1">
      <alignment horizontal="right"/>
    </xf>
    <xf numFmtId="343" fontId="2" fillId="0" borderId="0" xfId="906" applyNumberFormat="1" applyFont="1" applyBorder="1" applyAlignment="1">
      <alignment horizontal="right"/>
    </xf>
    <xf numFmtId="0" fontId="2" fillId="0" borderId="0" xfId="906" applyFont="1" applyBorder="1" applyAlignment="1">
      <alignment horizontal="right"/>
    </xf>
    <xf numFmtId="0" fontId="2" fillId="0" borderId="0" xfId="906" applyFont="1" applyBorder="1" applyAlignment="1">
      <alignment vertical="center"/>
    </xf>
    <xf numFmtId="342" fontId="230" fillId="0" borderId="0" xfId="906" applyNumberFormat="1" applyFont="1" applyBorder="1" applyAlignment="1">
      <alignment horizontal="right"/>
    </xf>
    <xf numFmtId="351" fontId="2" fillId="0" borderId="0" xfId="906" applyNumberFormat="1" applyFont="1" applyBorder="1" applyAlignment="1">
      <alignment horizontal="right"/>
    </xf>
    <xf numFmtId="344" fontId="230" fillId="0" borderId="0" xfId="906" applyNumberFormat="1" applyFont="1" applyBorder="1" applyAlignment="1">
      <alignment horizontal="right"/>
    </xf>
    <xf numFmtId="344" fontId="230" fillId="0" borderId="0" xfId="906" applyNumberFormat="1" applyFont="1" applyAlignment="1">
      <alignment horizontal="right"/>
    </xf>
    <xf numFmtId="0" fontId="2" fillId="0" borderId="0" xfId="906" applyFont="1"/>
    <xf numFmtId="345" fontId="2" fillId="0" borderId="0" xfId="906" applyNumberFormat="1" applyFont="1" applyBorder="1" applyAlignment="1">
      <alignment horizontal="right"/>
    </xf>
    <xf numFmtId="203" fontId="2" fillId="0" borderId="0" xfId="906" applyNumberFormat="1" applyFont="1" applyFill="1" applyBorder="1" applyAlignment="1">
      <alignment horizontal="left"/>
    </xf>
    <xf numFmtId="203" fontId="2" fillId="0" borderId="0" xfId="906" applyNumberFormat="1" applyFont="1" applyFill="1" applyAlignment="1">
      <alignment horizontal="right" vertical="center"/>
    </xf>
    <xf numFmtId="0" fontId="27" fillId="5" borderId="53" xfId="906" applyFont="1" applyFill="1" applyBorder="1" applyAlignment="1">
      <alignment horizontal="right" vertical="center"/>
    </xf>
    <xf numFmtId="0" fontId="2" fillId="5" borderId="49" xfId="906" applyFont="1" applyFill="1" applyBorder="1" applyAlignment="1">
      <alignment vertical="center"/>
    </xf>
    <xf numFmtId="342" fontId="2" fillId="5" borderId="49" xfId="906" applyNumberFormat="1" applyFont="1" applyFill="1" applyBorder="1" applyAlignment="1">
      <alignment horizontal="right" vertical="center"/>
    </xf>
    <xf numFmtId="0" fontId="201" fillId="5" borderId="49" xfId="906" applyFont="1" applyFill="1" applyBorder="1" applyAlignment="1">
      <alignment vertical="center"/>
    </xf>
    <xf numFmtId="203" fontId="2" fillId="0" borderId="49" xfId="906" applyNumberFormat="1" applyFont="1" applyFill="1" applyBorder="1" applyAlignment="1">
      <alignment horizontal="right"/>
    </xf>
    <xf numFmtId="203" fontId="201" fillId="0" borderId="49" xfId="906" applyNumberFormat="1" applyFont="1" applyFill="1" applyBorder="1" applyAlignment="1">
      <alignment horizontal="right"/>
    </xf>
    <xf numFmtId="0" fontId="27" fillId="0" borderId="0" xfId="0" applyFont="1"/>
    <xf numFmtId="343" fontId="232" fillId="5" borderId="0" xfId="906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203" fontId="2" fillId="0" borderId="0" xfId="906" applyNumberFormat="1" applyFont="1" applyFill="1" applyAlignment="1">
      <alignment horizontal="left"/>
    </xf>
    <xf numFmtId="343" fontId="2" fillId="5" borderId="0" xfId="906" applyNumberFormat="1" applyFont="1" applyFill="1" applyBorder="1" applyAlignment="1">
      <alignment horizontal="center" vertical="center"/>
    </xf>
    <xf numFmtId="345" fontId="231" fillId="5" borderId="49" xfId="906" applyNumberFormat="1" applyFont="1" applyFill="1" applyBorder="1" applyAlignment="1">
      <alignment horizontal="center" vertical="center"/>
    </xf>
    <xf numFmtId="343" fontId="27" fillId="5" borderId="0" xfId="906" applyNumberFormat="1" applyFont="1" applyFill="1" applyBorder="1" applyAlignment="1">
      <alignment horizontal="center" vertical="center"/>
    </xf>
    <xf numFmtId="344" fontId="230" fillId="5" borderId="0" xfId="906" applyNumberFormat="1" applyFont="1" applyFill="1" applyBorder="1" applyAlignment="1">
      <alignment horizontal="center" vertical="center"/>
    </xf>
    <xf numFmtId="342" fontId="2" fillId="5" borderId="0" xfId="906" applyNumberFormat="1" applyFont="1" applyFill="1" applyBorder="1" applyAlignment="1">
      <alignment horizontal="center" vertical="center"/>
    </xf>
    <xf numFmtId="344" fontId="231" fillId="5" borderId="49" xfId="906" applyNumberFormat="1" applyFont="1" applyFill="1" applyBorder="1" applyAlignment="1">
      <alignment horizontal="center" vertical="center"/>
    </xf>
    <xf numFmtId="203" fontId="2" fillId="0" borderId="0" xfId="906" applyNumberFormat="1" applyFont="1" applyFill="1" applyAlignment="1">
      <alignment horizontal="center"/>
    </xf>
    <xf numFmtId="203" fontId="2" fillId="0" borderId="0" xfId="906" applyNumberFormat="1" applyFont="1" applyFill="1" applyAlignment="1">
      <alignment horizontal="center" vertical="center"/>
    </xf>
    <xf numFmtId="203" fontId="2" fillId="0" borderId="49" xfId="906" applyNumberFormat="1" applyFont="1" applyFill="1" applyBorder="1" applyAlignment="1">
      <alignment horizontal="left"/>
    </xf>
    <xf numFmtId="203" fontId="2" fillId="0" borderId="49" xfId="906" applyNumberFormat="1" applyFont="1" applyFill="1" applyBorder="1" applyAlignment="1">
      <alignment horizontal="center"/>
    </xf>
    <xf numFmtId="0" fontId="229" fillId="0" borderId="53" xfId="906" applyFont="1" applyBorder="1"/>
    <xf numFmtId="0" fontId="2" fillId="0" borderId="53" xfId="906" applyFont="1" applyBorder="1"/>
    <xf numFmtId="0" fontId="27" fillId="0" borderId="53" xfId="906" applyNumberFormat="1" applyFont="1" applyBorder="1"/>
    <xf numFmtId="0" fontId="202" fillId="5" borderId="10" xfId="906" applyFont="1" applyFill="1" applyBorder="1" applyAlignment="1">
      <alignment horizontal="center" vertical="center"/>
    </xf>
    <xf numFmtId="0" fontId="202" fillId="5" borderId="22" xfId="906" applyFont="1" applyFill="1" applyBorder="1" applyAlignment="1">
      <alignment horizontal="center" vertical="center"/>
    </xf>
    <xf numFmtId="0" fontId="202" fillId="5" borderId="49" xfId="906" applyFont="1" applyFill="1" applyBorder="1" applyAlignment="1">
      <alignment horizontal="center" vertical="center"/>
    </xf>
    <xf numFmtId="15" fontId="202" fillId="5" borderId="15" xfId="906" applyNumberFormat="1" applyFont="1" applyFill="1" applyBorder="1" applyAlignment="1">
      <alignment horizontal="center" vertical="center"/>
    </xf>
    <xf numFmtId="9" fontId="202" fillId="5" borderId="11" xfId="906" applyNumberFormat="1" applyFont="1" applyFill="1" applyBorder="1" applyAlignment="1">
      <alignment horizontal="left" vertical="center"/>
    </xf>
    <xf numFmtId="9" fontId="233" fillId="5" borderId="0" xfId="906" applyNumberFormat="1" applyFont="1" applyFill="1" applyBorder="1" applyAlignment="1">
      <alignment horizontal="left" vertical="center"/>
    </xf>
    <xf numFmtId="0" fontId="234" fillId="59" borderId="10" xfId="906" applyFont="1" applyFill="1" applyBorder="1" applyAlignment="1">
      <alignment vertical="center"/>
    </xf>
    <xf numFmtId="165" fontId="234" fillId="59" borderId="10" xfId="906" applyNumberFormat="1" applyFont="1" applyFill="1" applyBorder="1" applyAlignment="1">
      <alignment vertical="center"/>
    </xf>
    <xf numFmtId="165" fontId="234" fillId="59" borderId="12" xfId="906" applyNumberFormat="1" applyFont="1" applyFill="1" applyBorder="1" applyAlignment="1">
      <alignment vertical="center"/>
    </xf>
    <xf numFmtId="0" fontId="233" fillId="5" borderId="0" xfId="906" applyFont="1" applyFill="1" applyBorder="1" applyAlignment="1">
      <alignment horizontal="center" vertical="center"/>
    </xf>
    <xf numFmtId="0" fontId="233" fillId="5" borderId="0" xfId="906" applyFont="1" applyFill="1" applyBorder="1" applyAlignment="1">
      <alignment vertical="center"/>
    </xf>
    <xf numFmtId="0" fontId="234" fillId="59" borderId="0" xfId="906" applyFont="1" applyFill="1" applyBorder="1" applyAlignment="1">
      <alignment vertical="center"/>
    </xf>
    <xf numFmtId="9" fontId="234" fillId="59" borderId="0" xfId="907" applyFont="1" applyFill="1" applyBorder="1" applyAlignment="1">
      <alignment vertical="center"/>
    </xf>
    <xf numFmtId="9" fontId="234" fillId="59" borderId="2" xfId="907" applyFont="1" applyFill="1" applyBorder="1" applyAlignment="1">
      <alignment vertical="center"/>
    </xf>
    <xf numFmtId="9" fontId="235" fillId="59" borderId="11" xfId="906" applyNumberFormat="1" applyFont="1" applyFill="1" applyBorder="1" applyAlignment="1">
      <alignment horizontal="center" vertical="center"/>
    </xf>
    <xf numFmtId="9" fontId="236" fillId="59" borderId="47" xfId="906" applyNumberFormat="1" applyFont="1" applyFill="1" applyBorder="1" applyAlignment="1">
      <alignment horizontal="center" vertical="center"/>
    </xf>
    <xf numFmtId="203" fontId="2" fillId="5" borderId="0" xfId="906" applyNumberFormat="1" applyFont="1" applyFill="1" applyBorder="1" applyAlignment="1">
      <alignment horizontal="right"/>
    </xf>
    <xf numFmtId="348" fontId="204" fillId="5" borderId="0" xfId="906" applyNumberFormat="1" applyFont="1" applyFill="1" applyBorder="1" applyAlignment="1">
      <alignment horizontal="center" vertical="center"/>
    </xf>
    <xf numFmtId="0" fontId="201" fillId="5" borderId="49" xfId="906" applyFont="1" applyFill="1" applyBorder="1" applyAlignment="1">
      <alignment horizontal="center" vertical="center"/>
    </xf>
    <xf numFmtId="15" fontId="201" fillId="5" borderId="10" xfId="906" applyNumberFormat="1" applyFont="1" applyFill="1" applyBorder="1" applyAlignment="1">
      <alignment horizontal="center" vertical="center"/>
    </xf>
    <xf numFmtId="343" fontId="36" fillId="0" borderId="0" xfId="906" applyNumberFormat="1" applyFont="1"/>
    <xf numFmtId="343" fontId="202" fillId="0" borderId="0" xfId="906" applyNumberFormat="1" applyFont="1" applyBorder="1"/>
    <xf numFmtId="345" fontId="202" fillId="0" borderId="0" xfId="906" applyNumberFormat="1" applyFont="1" applyBorder="1"/>
    <xf numFmtId="344" fontId="216" fillId="0" borderId="0" xfId="906" applyNumberFormat="1" applyFont="1" applyBorder="1"/>
    <xf numFmtId="0" fontId="202" fillId="0" borderId="0" xfId="906" applyFont="1" applyBorder="1" applyAlignment="1">
      <alignment horizontal="center"/>
    </xf>
    <xf numFmtId="343" fontId="237" fillId="63" borderId="45" xfId="906" applyNumberFormat="1" applyFont="1" applyFill="1" applyBorder="1" applyAlignment="1">
      <alignment horizontal="center"/>
    </xf>
    <xf numFmtId="0" fontId="238" fillId="60" borderId="44" xfId="906" applyFont="1" applyFill="1" applyBorder="1" applyAlignment="1">
      <alignment horizontal="center" vertical="center"/>
    </xf>
    <xf numFmtId="344" fontId="204" fillId="0" borderId="0" xfId="906" applyNumberFormat="1" applyFont="1" applyBorder="1"/>
    <xf numFmtId="0" fontId="199" fillId="4" borderId="54" xfId="906" applyFont="1" applyFill="1" applyBorder="1" applyAlignment="1">
      <alignment vertical="center"/>
    </xf>
    <xf numFmtId="0" fontId="200" fillId="4" borderId="52" xfId="906" applyFont="1" applyFill="1" applyBorder="1" applyAlignment="1">
      <alignment vertical="center"/>
    </xf>
    <xf numFmtId="16" fontId="200" fillId="4" borderId="55" xfId="906" applyNumberFormat="1" applyFont="1" applyFill="1" applyBorder="1" applyAlignment="1">
      <alignment vertical="center"/>
    </xf>
    <xf numFmtId="0" fontId="199" fillId="4" borderId="52" xfId="906" applyFont="1" applyFill="1" applyBorder="1" applyAlignment="1">
      <alignment vertical="center"/>
    </xf>
    <xf numFmtId="0" fontId="199" fillId="4" borderId="52" xfId="906" applyFont="1" applyFill="1" applyBorder="1" applyAlignment="1">
      <alignment horizontal="center" vertical="center"/>
    </xf>
    <xf numFmtId="0" fontId="199" fillId="4" borderId="55" xfId="906" applyFont="1" applyFill="1" applyBorder="1" applyAlignment="1">
      <alignment horizontal="center" vertical="center"/>
    </xf>
    <xf numFmtId="0" fontId="200" fillId="0" borderId="47" xfId="906" applyFont="1" applyBorder="1" applyAlignment="1">
      <alignment vertical="center"/>
    </xf>
    <xf numFmtId="0" fontId="200" fillId="0" borderId="0" xfId="906" applyFont="1" applyBorder="1" applyAlignment="1">
      <alignment vertical="center"/>
    </xf>
    <xf numFmtId="43" fontId="239" fillId="0" borderId="2" xfId="908" applyNumberFormat="1" applyFont="1" applyBorder="1" applyAlignment="1">
      <alignment vertical="center"/>
    </xf>
    <xf numFmtId="0" fontId="200" fillId="5" borderId="0" xfId="906" applyFont="1" applyFill="1" applyBorder="1" applyAlignment="1">
      <alignment horizontal="left" vertical="center"/>
    </xf>
    <xf numFmtId="343" fontId="200" fillId="5" borderId="0" xfId="906" applyNumberFormat="1" applyFont="1" applyFill="1" applyBorder="1" applyAlignment="1">
      <alignment horizontal="right" vertical="center"/>
    </xf>
    <xf numFmtId="343" fontId="200" fillId="5" borderId="2" xfId="906" applyNumberFormat="1" applyFont="1" applyFill="1" applyBorder="1" applyAlignment="1">
      <alignment horizontal="right" vertical="center"/>
    </xf>
    <xf numFmtId="0" fontId="200" fillId="0" borderId="48" xfId="906" applyFont="1" applyBorder="1" applyAlignment="1">
      <alignment vertical="center"/>
    </xf>
    <xf numFmtId="0" fontId="200" fillId="0" borderId="49" xfId="906" applyFont="1" applyBorder="1" applyAlignment="1">
      <alignment vertical="center"/>
    </xf>
    <xf numFmtId="169" fontId="33" fillId="0" borderId="50" xfId="908" applyNumberFormat="1" applyFont="1" applyBorder="1" applyAlignment="1">
      <alignment vertical="center"/>
    </xf>
    <xf numFmtId="0" fontId="199" fillId="5" borderId="0" xfId="906" applyFont="1" applyFill="1" applyBorder="1" applyAlignment="1">
      <alignment horizontal="left" vertical="center"/>
    </xf>
    <xf numFmtId="345" fontId="199" fillId="0" borderId="53" xfId="906" applyNumberFormat="1" applyFont="1" applyBorder="1" applyAlignment="1">
      <alignment horizontal="right"/>
    </xf>
    <xf numFmtId="345" fontId="199" fillId="0" borderId="56" xfId="906" applyNumberFormat="1" applyFont="1" applyBorder="1" applyAlignment="1">
      <alignment horizontal="right"/>
    </xf>
    <xf numFmtId="169" fontId="33" fillId="0" borderId="2" xfId="908" applyNumberFormat="1" applyFont="1" applyBorder="1" applyAlignment="1">
      <alignment vertical="center"/>
    </xf>
    <xf numFmtId="349" fontId="200" fillId="5" borderId="0" xfId="906" applyNumberFormat="1" applyFont="1" applyFill="1" applyBorder="1" applyAlignment="1">
      <alignment horizontal="right" vertical="center"/>
    </xf>
    <xf numFmtId="349" fontId="200" fillId="5" borderId="2" xfId="906" applyNumberFormat="1" applyFont="1" applyFill="1" applyBorder="1" applyAlignment="1">
      <alignment horizontal="right" vertical="center"/>
    </xf>
    <xf numFmtId="169" fontId="240" fillId="0" borderId="50" xfId="908" applyNumberFormat="1" applyFont="1" applyBorder="1" applyAlignment="1">
      <alignment vertical="center"/>
    </xf>
    <xf numFmtId="345" fontId="199" fillId="0" borderId="53" xfId="906" applyNumberFormat="1" applyFont="1" applyBorder="1"/>
    <xf numFmtId="345" fontId="199" fillId="0" borderId="56" xfId="906" applyNumberFormat="1" applyFont="1" applyBorder="1"/>
    <xf numFmtId="0" fontId="199" fillId="0" borderId="51" xfId="906" applyFont="1" applyBorder="1" applyAlignment="1">
      <alignment vertical="center"/>
    </xf>
    <xf numFmtId="0" fontId="199" fillId="0" borderId="44" xfId="906" applyFont="1" applyBorder="1" applyAlignment="1">
      <alignment vertical="center"/>
    </xf>
    <xf numFmtId="169" fontId="199" fillId="0" borderId="46" xfId="908" applyNumberFormat="1" applyFont="1" applyBorder="1" applyAlignment="1">
      <alignment vertical="center"/>
    </xf>
    <xf numFmtId="0" fontId="241" fillId="0" borderId="48" xfId="906" applyFont="1" applyBorder="1" applyAlignment="1">
      <alignment vertical="center"/>
    </xf>
    <xf numFmtId="203" fontId="241" fillId="0" borderId="49" xfId="906" applyNumberFormat="1" applyFont="1" applyFill="1" applyBorder="1" applyAlignment="1">
      <alignment horizontal="right"/>
    </xf>
    <xf numFmtId="344" fontId="241" fillId="0" borderId="50" xfId="906" applyNumberFormat="1" applyFont="1" applyFill="1" applyBorder="1" applyAlignment="1">
      <alignment horizontal="right"/>
    </xf>
    <xf numFmtId="0" fontId="199" fillId="5" borderId="49" xfId="906" applyFont="1" applyFill="1" applyBorder="1" applyAlignment="1">
      <alignment horizontal="left" vertical="center"/>
    </xf>
    <xf numFmtId="344" fontId="242" fillId="0" borderId="49" xfId="906" applyNumberFormat="1" applyFont="1" applyBorder="1"/>
    <xf numFmtId="344" fontId="242" fillId="0" borderId="50" xfId="906" applyNumberFormat="1" applyFont="1" applyBorder="1"/>
    <xf numFmtId="0" fontId="243" fillId="5" borderId="0" xfId="0" applyFont="1" applyFill="1" applyBorder="1" applyAlignment="1"/>
    <xf numFmtId="0" fontId="244" fillId="0" borderId="0" xfId="0" applyFont="1" applyAlignment="1">
      <alignment horizontal="left" vertical="center" indent="4"/>
    </xf>
    <xf numFmtId="0" fontId="1" fillId="5" borderId="0" xfId="0" applyFont="1" applyFill="1"/>
    <xf numFmtId="344" fontId="204" fillId="4" borderId="0" xfId="906" applyNumberFormat="1" applyFont="1" applyFill="1" applyBorder="1" applyAlignment="1">
      <alignment horizontal="right" vertical="center"/>
    </xf>
    <xf numFmtId="344" fontId="204" fillId="4" borderId="0" xfId="906" applyNumberFormat="1" applyFont="1" applyFill="1" applyBorder="1" applyAlignment="1">
      <alignment vertical="center"/>
    </xf>
    <xf numFmtId="7" fontId="201" fillId="0" borderId="10" xfId="906" applyNumberFormat="1" applyFont="1" applyBorder="1" applyAlignment="1">
      <alignment vertical="center"/>
    </xf>
    <xf numFmtId="7" fontId="201" fillId="0" borderId="12" xfId="906" applyNumberFormat="1" applyFont="1" applyBorder="1" applyAlignment="1">
      <alignment vertical="center"/>
    </xf>
    <xf numFmtId="0" fontId="204" fillId="0" borderId="6" xfId="906" applyFont="1" applyBorder="1" applyAlignment="1">
      <alignment horizontal="left" vertical="center" indent="1"/>
    </xf>
    <xf numFmtId="0" fontId="201" fillId="0" borderId="49" xfId="906" applyFont="1" applyBorder="1"/>
    <xf numFmtId="344" fontId="204" fillId="0" borderId="49" xfId="906" applyNumberFormat="1" applyFont="1" applyBorder="1"/>
    <xf numFmtId="344" fontId="204" fillId="0" borderId="50" xfId="906" applyNumberFormat="1" applyFont="1" applyBorder="1"/>
    <xf numFmtId="0" fontId="211" fillId="11" borderId="15" xfId="906" applyFont="1" applyFill="1" applyBorder="1" applyAlignment="1">
      <alignment horizontal="center" vertical="center"/>
    </xf>
    <xf numFmtId="0" fontId="211" fillId="11" borderId="22" xfId="906" applyFont="1" applyFill="1" applyBorder="1" applyAlignment="1">
      <alignment horizontal="center" vertical="center"/>
    </xf>
  </cellXfs>
  <cellStyles count="913">
    <cellStyle name="$ 0 decimal" xfId="49" xr:uid="{00000000-0005-0000-0000-000000000000}"/>
    <cellStyle name="$ 1 decimal" xfId="50" xr:uid="{00000000-0005-0000-0000-000001000000}"/>
    <cellStyle name="$ 2 decimals" xfId="51" xr:uid="{00000000-0005-0000-0000-000002000000}"/>
    <cellStyle name="%" xfId="52" xr:uid="{00000000-0005-0000-0000-000003000000}"/>
    <cellStyle name="% [2]" xfId="53" xr:uid="{00000000-0005-0000-0000-000004000000}"/>
    <cellStyle name="%single" xfId="54" xr:uid="{00000000-0005-0000-0000-000005000000}"/>
    <cellStyle name="******************************************" xfId="55" xr:uid="{00000000-0005-0000-0000-000006000000}"/>
    <cellStyle name="****************************************** 2" xfId="45" xr:uid="{00000000-0005-0000-0000-000007000000}"/>
    <cellStyle name="****************************************** 3" xfId="56" xr:uid="{00000000-0005-0000-0000-000008000000}"/>
    <cellStyle name="^February 1992" xfId="57" xr:uid="{00000000-0005-0000-0000-000009000000}"/>
    <cellStyle name="_%(SignOnly)" xfId="58" xr:uid="{00000000-0005-0000-0000-00000A000000}"/>
    <cellStyle name="_%(SignSpaceOnly)" xfId="59" xr:uid="{00000000-0005-0000-0000-00000B000000}"/>
    <cellStyle name="_10Q Format" xfId="60" xr:uid="{00000000-0005-0000-0000-00000C000000}"/>
    <cellStyle name="_13_AFS OCI" xfId="61" xr:uid="{00000000-0005-0000-0000-00000D000000}"/>
    <cellStyle name="_2_PR Format" xfId="62" xr:uid="{00000000-0005-0000-0000-00000E000000}"/>
    <cellStyle name="_2006" xfId="63" xr:uid="{00000000-0005-0000-0000-00000F000000}"/>
    <cellStyle name="_2007" xfId="64" xr:uid="{00000000-0005-0000-0000-000010000000}"/>
    <cellStyle name="_2008" xfId="65" xr:uid="{00000000-0005-0000-0000-000011000000}"/>
    <cellStyle name="_2009" xfId="66" xr:uid="{00000000-0005-0000-0000-000012000000}"/>
    <cellStyle name="_Affinia-Model" xfId="67" xr:uid="{00000000-0005-0000-0000-000013000000}"/>
    <cellStyle name="_Allstate" xfId="68" xr:uid="{00000000-0005-0000-0000-000014000000}"/>
    <cellStyle name="_Balance Sheet" xfId="69" xr:uid="{00000000-0005-0000-0000-000015000000}"/>
    <cellStyle name="_BS Management Segment " xfId="70" xr:uid="{00000000-0005-0000-0000-000016000000}"/>
    <cellStyle name="_Charts &amp; Graphs" xfId="71" xr:uid="{00000000-0005-0000-0000-000017000000}"/>
    <cellStyle name="_Comma" xfId="72" xr:uid="{00000000-0005-0000-0000-000018000000}"/>
    <cellStyle name="_Comma_10Q Format" xfId="73" xr:uid="{00000000-0005-0000-0000-000019000000}"/>
    <cellStyle name="_Comma_2006" xfId="74" xr:uid="{00000000-0005-0000-0000-00001A000000}"/>
    <cellStyle name="_Comma_2007" xfId="75" xr:uid="{00000000-0005-0000-0000-00001B000000}"/>
    <cellStyle name="_Comma_2008" xfId="76" xr:uid="{00000000-0005-0000-0000-00001C000000}"/>
    <cellStyle name="_Comma_2009" xfId="77" xr:uid="{00000000-0005-0000-0000-00001D000000}"/>
    <cellStyle name="_Comma_BS Management Segment " xfId="78" xr:uid="{00000000-0005-0000-0000-00001E000000}"/>
    <cellStyle name="_Comma_Final Segment" xfId="79" xr:uid="{00000000-0005-0000-0000-00001F000000}"/>
    <cellStyle name="_Comma_MD&amp;A Support File" xfId="80" xr:uid="{00000000-0005-0000-0000-000020000000}"/>
    <cellStyle name="_Comma_PR 10Q Format" xfId="81" xr:uid="{00000000-0005-0000-0000-000021000000}"/>
    <cellStyle name="_Comma_PR Format" xfId="82" xr:uid="{00000000-0005-0000-0000-000022000000}"/>
    <cellStyle name="_Comma_Segment" xfId="83" xr:uid="{00000000-0005-0000-0000-000023000000}"/>
    <cellStyle name="_Comma_Trading &amp; Investing Segment" xfId="84" xr:uid="{00000000-0005-0000-0000-000024000000}"/>
    <cellStyle name="_Comparative Income Stmt" xfId="85" xr:uid="{00000000-0005-0000-0000-000025000000}"/>
    <cellStyle name="_Corp Metrics Support" xfId="86" xr:uid="{00000000-0005-0000-0000-000026000000}"/>
    <cellStyle name="_Currency" xfId="87" xr:uid="{00000000-0005-0000-0000-000027000000}"/>
    <cellStyle name="_Currency_10Q Format" xfId="88" xr:uid="{00000000-0005-0000-0000-000028000000}"/>
    <cellStyle name="_Currency_2006" xfId="89" xr:uid="{00000000-0005-0000-0000-000029000000}"/>
    <cellStyle name="_Currency_2007" xfId="90" xr:uid="{00000000-0005-0000-0000-00002A000000}"/>
    <cellStyle name="_Currency_2008" xfId="91" xr:uid="{00000000-0005-0000-0000-00002B000000}"/>
    <cellStyle name="_Currency_2009" xfId="92" xr:uid="{00000000-0005-0000-0000-00002C000000}"/>
    <cellStyle name="_Currency_BS Management Segment " xfId="93" xr:uid="{00000000-0005-0000-0000-00002D000000}"/>
    <cellStyle name="_Currency_Credit Bank 032105" xfId="94" xr:uid="{00000000-0005-0000-0000-00002E000000}"/>
    <cellStyle name="_Currency_Deposit Summary 083106" xfId="95" xr:uid="{00000000-0005-0000-0000-00002F000000}"/>
    <cellStyle name="_Currency_Final Model 040705" xfId="96" xr:uid="{00000000-0005-0000-0000-000030000000}"/>
    <cellStyle name="_Currency_Final Segment" xfId="97" xr:uid="{00000000-0005-0000-0000-000031000000}"/>
    <cellStyle name="_Currency_MD&amp;A Support File" xfId="98" xr:uid="{00000000-0005-0000-0000-000032000000}"/>
    <cellStyle name="_Currency_PR 10Q Format" xfId="99" xr:uid="{00000000-0005-0000-0000-000033000000}"/>
    <cellStyle name="_Currency_PR Format" xfId="100" xr:uid="{00000000-0005-0000-0000-000034000000}"/>
    <cellStyle name="_Currency_Segment" xfId="101" xr:uid="{00000000-0005-0000-0000-000035000000}"/>
    <cellStyle name="_Currency_Trading &amp; Investing Segment" xfId="102" xr:uid="{00000000-0005-0000-0000-000036000000}"/>
    <cellStyle name="_Currency_UMB deposit data" xfId="103" xr:uid="{00000000-0005-0000-0000-000037000000}"/>
    <cellStyle name="_CurrencySpace" xfId="104" xr:uid="{00000000-0005-0000-0000-000038000000}"/>
    <cellStyle name="_CurrencySpace_10Q Format" xfId="105" xr:uid="{00000000-0005-0000-0000-000039000000}"/>
    <cellStyle name="_CurrencySpace_2006" xfId="106" xr:uid="{00000000-0005-0000-0000-00003A000000}"/>
    <cellStyle name="_CurrencySpace_2007" xfId="107" xr:uid="{00000000-0005-0000-0000-00003B000000}"/>
    <cellStyle name="_CurrencySpace_2008" xfId="108" xr:uid="{00000000-0005-0000-0000-00003C000000}"/>
    <cellStyle name="_CurrencySpace_2009" xfId="109" xr:uid="{00000000-0005-0000-0000-00003D000000}"/>
    <cellStyle name="_CurrencySpace_BS Management Segment " xfId="110" xr:uid="{00000000-0005-0000-0000-00003E000000}"/>
    <cellStyle name="_CurrencySpace_Credit Bank 032105" xfId="111" xr:uid="{00000000-0005-0000-0000-00003F000000}"/>
    <cellStyle name="_CurrencySpace_Deposit Summary 083106" xfId="112" xr:uid="{00000000-0005-0000-0000-000040000000}"/>
    <cellStyle name="_CurrencySpace_Final Model 040705" xfId="113" xr:uid="{00000000-0005-0000-0000-000041000000}"/>
    <cellStyle name="_CurrencySpace_Final Segment" xfId="114" xr:uid="{00000000-0005-0000-0000-000042000000}"/>
    <cellStyle name="_CurrencySpace_MD&amp;A Support File" xfId="115" xr:uid="{00000000-0005-0000-0000-000043000000}"/>
    <cellStyle name="_CurrencySpace_PR 10Q Format" xfId="116" xr:uid="{00000000-0005-0000-0000-000044000000}"/>
    <cellStyle name="_CurrencySpace_PR Format" xfId="117" xr:uid="{00000000-0005-0000-0000-000045000000}"/>
    <cellStyle name="_CurrencySpace_Segment" xfId="118" xr:uid="{00000000-0005-0000-0000-000046000000}"/>
    <cellStyle name="_CurrencySpace_Trading &amp; Investing Segment" xfId="119" xr:uid="{00000000-0005-0000-0000-000047000000}"/>
    <cellStyle name="_CurrencySpace_UMB deposit data" xfId="120" xr:uid="{00000000-0005-0000-0000-000048000000}"/>
    <cellStyle name="_ETF Consolidated Inc. Stmt." xfId="121" xr:uid="{00000000-0005-0000-0000-000049000000}"/>
    <cellStyle name="_Euro" xfId="122" xr:uid="{00000000-0005-0000-0000-00004A000000}"/>
    <cellStyle name="_Footnote" xfId="123" xr:uid="{00000000-0005-0000-0000-00004B000000}"/>
    <cellStyle name="_GWW-Inch-ML" xfId="124" xr:uid="{00000000-0005-0000-0000-00004C000000}"/>
    <cellStyle name="_HANDOUT" xfId="125" xr:uid="{00000000-0005-0000-0000-00004D000000}"/>
    <cellStyle name="_Heading" xfId="126" xr:uid="{00000000-0005-0000-0000-00004E000000}"/>
    <cellStyle name="_Heading_management fee calc.071604" xfId="127" xr:uid="{00000000-0005-0000-0000-00004F000000}"/>
    <cellStyle name="_Heading_prestemp" xfId="128" xr:uid="{00000000-0005-0000-0000-000050000000}"/>
    <cellStyle name="_Highlight" xfId="129" xr:uid="{00000000-0005-0000-0000-000051000000}"/>
    <cellStyle name="_Income Statement" xfId="130" xr:uid="{00000000-0005-0000-0000-000052000000}"/>
    <cellStyle name="_IncomeStatementQuarterlyHistory_FINAL-new presentation" xfId="131" xr:uid="{00000000-0005-0000-0000-000053000000}"/>
    <cellStyle name="_Institutional Segment " xfId="132" xr:uid="{00000000-0005-0000-0000-000054000000}"/>
    <cellStyle name="_KPM History Q1 2006 - Q2 2008" xfId="133" xr:uid="{00000000-0005-0000-0000-000055000000}"/>
    <cellStyle name="_KPM History Q1 2006 - Q3 2008" xfId="134" xr:uid="{00000000-0005-0000-0000-000056000000}"/>
    <cellStyle name="_MBS rating" xfId="135" xr:uid="{00000000-0005-0000-0000-000057000000}"/>
    <cellStyle name="_Monthly Metrics" xfId="136" xr:uid="{00000000-0005-0000-0000-000058000000}"/>
    <cellStyle name="_Mortgage Business Review 04.2005" xfId="137" xr:uid="{00000000-0005-0000-0000-000059000000}"/>
    <cellStyle name="_Multiple" xfId="138" xr:uid="{00000000-0005-0000-0000-00005A000000}"/>
    <cellStyle name="_Multiple_10Q Format" xfId="139" xr:uid="{00000000-0005-0000-0000-00005B000000}"/>
    <cellStyle name="_Multiple_2006" xfId="140" xr:uid="{00000000-0005-0000-0000-00005C000000}"/>
    <cellStyle name="_Multiple_2007" xfId="141" xr:uid="{00000000-0005-0000-0000-00005D000000}"/>
    <cellStyle name="_Multiple_2008" xfId="142" xr:uid="{00000000-0005-0000-0000-00005E000000}"/>
    <cellStyle name="_Multiple_2009" xfId="143" xr:uid="{00000000-0005-0000-0000-00005F000000}"/>
    <cellStyle name="_Multiple_BS Management Segment " xfId="144" xr:uid="{00000000-0005-0000-0000-000060000000}"/>
    <cellStyle name="_Multiple_Final Segment" xfId="145" xr:uid="{00000000-0005-0000-0000-000061000000}"/>
    <cellStyle name="_Multiple_MD&amp;A Support File" xfId="146" xr:uid="{00000000-0005-0000-0000-000062000000}"/>
    <cellStyle name="_Multiple_PR 10Q Format" xfId="147" xr:uid="{00000000-0005-0000-0000-000063000000}"/>
    <cellStyle name="_Multiple_PR Format" xfId="148" xr:uid="{00000000-0005-0000-0000-000064000000}"/>
    <cellStyle name="_Multiple_Reconciliation" xfId="149" xr:uid="{00000000-0005-0000-0000-000065000000}"/>
    <cellStyle name="_Multiple_Segment" xfId="150" xr:uid="{00000000-0005-0000-0000-000066000000}"/>
    <cellStyle name="_Multiple_Trading &amp; Investing Segment" xfId="151" xr:uid="{00000000-0005-0000-0000-000067000000}"/>
    <cellStyle name="_MultipleSpace" xfId="152" xr:uid="{00000000-0005-0000-0000-000068000000}"/>
    <cellStyle name="_MultipleSpace_10Q Format" xfId="153" xr:uid="{00000000-0005-0000-0000-000069000000}"/>
    <cellStyle name="_MultipleSpace_2006" xfId="154" xr:uid="{00000000-0005-0000-0000-00006A000000}"/>
    <cellStyle name="_MultipleSpace_2007" xfId="155" xr:uid="{00000000-0005-0000-0000-00006B000000}"/>
    <cellStyle name="_MultipleSpace_2008" xfId="156" xr:uid="{00000000-0005-0000-0000-00006C000000}"/>
    <cellStyle name="_MultipleSpace_2009" xfId="157" xr:uid="{00000000-0005-0000-0000-00006D000000}"/>
    <cellStyle name="_MultipleSpace_BS Management Segment " xfId="158" xr:uid="{00000000-0005-0000-0000-00006E000000}"/>
    <cellStyle name="_MultipleSpace_Credit Bank 032105" xfId="159" xr:uid="{00000000-0005-0000-0000-00006F000000}"/>
    <cellStyle name="_MultipleSpace_Deposit Summary 083106" xfId="160" xr:uid="{00000000-0005-0000-0000-000070000000}"/>
    <cellStyle name="_MultipleSpace_Final Model 040705" xfId="161" xr:uid="{00000000-0005-0000-0000-000071000000}"/>
    <cellStyle name="_MultipleSpace_Final Segment" xfId="162" xr:uid="{00000000-0005-0000-0000-000072000000}"/>
    <cellStyle name="_MultipleSpace_MD&amp;A Support File" xfId="163" xr:uid="{00000000-0005-0000-0000-000073000000}"/>
    <cellStyle name="_MultipleSpace_PR 10Q Format" xfId="164" xr:uid="{00000000-0005-0000-0000-000074000000}"/>
    <cellStyle name="_MultipleSpace_PR Format" xfId="165" xr:uid="{00000000-0005-0000-0000-000075000000}"/>
    <cellStyle name="_MultipleSpace_Segment" xfId="166" xr:uid="{00000000-0005-0000-0000-000076000000}"/>
    <cellStyle name="_MultipleSpace_Trading &amp; Investing Segment" xfId="167" xr:uid="{00000000-0005-0000-0000-000077000000}"/>
    <cellStyle name="_MultipleSpace_UMB deposit data" xfId="168" xr:uid="{00000000-0005-0000-0000-000078000000}"/>
    <cellStyle name="_Percent" xfId="169" xr:uid="{00000000-0005-0000-0000-000079000000}"/>
    <cellStyle name="_PercentSpace" xfId="170" xr:uid="{00000000-0005-0000-0000-00007A000000}"/>
    <cellStyle name="_PR Format" xfId="171" xr:uid="{00000000-0005-0000-0000-00007B000000}"/>
    <cellStyle name="_PR Format - CIS" xfId="172" xr:uid="{00000000-0005-0000-0000-00007C000000}"/>
    <cellStyle name="_Q109 Earnings Release" xfId="173" xr:uid="{00000000-0005-0000-0000-00007D000000}"/>
    <cellStyle name="_Q209 Earnings Release_wo..." xfId="174" xr:uid="{00000000-0005-0000-0000-00007E000000}"/>
    <cellStyle name="_Q408 Earnings Release_manual tax adj" xfId="175" xr:uid="{00000000-0005-0000-0000-00007F000000}"/>
    <cellStyle name="_QC Sheet" xfId="176" xr:uid="{00000000-0005-0000-0000-000080000000}"/>
    <cellStyle name="_REIT Cheat Sheet for Sales LIVE_8.3.12" xfId="177" xr:uid="{00000000-0005-0000-0000-000081000000}"/>
    <cellStyle name="_REIT Cheat Sheet for Sales LIVE_8.9.12" xfId="178" xr:uid="{00000000-0005-0000-0000-000082000000}"/>
    <cellStyle name="_Retail Metrics Support" xfId="179" xr:uid="{00000000-0005-0000-0000-000083000000}"/>
    <cellStyle name="_Retail Segment" xfId="180" xr:uid="{00000000-0005-0000-0000-000084000000}"/>
    <cellStyle name="_Revised Capital Loss Explanation" xfId="181" xr:uid="{00000000-0005-0000-0000-000085000000}"/>
    <cellStyle name="_Segment" xfId="182" xr:uid="{00000000-0005-0000-0000-000086000000}"/>
    <cellStyle name="_Segment_1" xfId="183" xr:uid="{00000000-0005-0000-0000-000087000000}"/>
    <cellStyle name="_Sheet1" xfId="184" xr:uid="{00000000-0005-0000-0000-000088000000}"/>
    <cellStyle name="_SPD_Investment" xfId="185" xr:uid="{00000000-0005-0000-0000-000089000000}"/>
    <cellStyle name="_SubHeading" xfId="186" xr:uid="{00000000-0005-0000-0000-00008A000000}"/>
    <cellStyle name="_SubHeading_management fee calc.071604" xfId="187" xr:uid="{00000000-0005-0000-0000-00008B000000}"/>
    <cellStyle name="_SubHeading_prestemp" xfId="188" xr:uid="{00000000-0005-0000-0000-00008C000000}"/>
    <cellStyle name="_T&amp;I Metrics Support" xfId="189" xr:uid="{00000000-0005-0000-0000-00008D000000}"/>
    <cellStyle name="_Table" xfId="190" xr:uid="{00000000-0005-0000-0000-00008E000000}"/>
    <cellStyle name="_Table_Delinquency Data" xfId="191" xr:uid="{00000000-0005-0000-0000-00008F000000}"/>
    <cellStyle name="_Table_Monthly Metrics" xfId="192" xr:uid="{00000000-0005-0000-0000-000090000000}"/>
    <cellStyle name="_Table_Monthly Metrics - Trading and I" xfId="193" xr:uid="{00000000-0005-0000-0000-000091000000}"/>
    <cellStyle name="_Table_Monthly Metrics_BSM Support" xfId="194" xr:uid="{00000000-0005-0000-0000-000092000000}"/>
    <cellStyle name="_Table_Reconciliation" xfId="195" xr:uid="{00000000-0005-0000-0000-000093000000}"/>
    <cellStyle name="_Table_Reconciliation_Delinquency Data" xfId="196" xr:uid="{00000000-0005-0000-0000-000094000000}"/>
    <cellStyle name="_Table_Reconciliation_Monthly Metrics" xfId="197" xr:uid="{00000000-0005-0000-0000-000095000000}"/>
    <cellStyle name="_Table_Reconciliation_Monthly Metrics - Trading and I" xfId="198" xr:uid="{00000000-0005-0000-0000-000096000000}"/>
    <cellStyle name="_Table_Reconciliation_Monthly Metrics_BSM Support" xfId="199" xr:uid="{00000000-0005-0000-0000-000097000000}"/>
    <cellStyle name="_TableHead" xfId="200" xr:uid="{00000000-0005-0000-0000-000098000000}"/>
    <cellStyle name="_TableHead_Delinquency Data" xfId="201" xr:uid="{00000000-0005-0000-0000-000099000000}"/>
    <cellStyle name="_TableHead_Monthly Metrics" xfId="202" xr:uid="{00000000-0005-0000-0000-00009A000000}"/>
    <cellStyle name="_TableHead_Monthly Metrics - Trading and I" xfId="203" xr:uid="{00000000-0005-0000-0000-00009B000000}"/>
    <cellStyle name="_TableHead_Monthly Metrics_BSM Support" xfId="204" xr:uid="{00000000-0005-0000-0000-00009C000000}"/>
    <cellStyle name="_TableRowHead" xfId="205" xr:uid="{00000000-0005-0000-0000-00009D000000}"/>
    <cellStyle name="_TableSuperHead" xfId="206" xr:uid="{00000000-0005-0000-0000-00009E000000}"/>
    <cellStyle name="_Trading &amp; Investing Segment" xfId="207" xr:uid="{00000000-0005-0000-0000-00009F000000}"/>
    <cellStyle name="£ BP" xfId="208" xr:uid="{00000000-0005-0000-0000-0000A0000000}"/>
    <cellStyle name="¥ JY" xfId="209" xr:uid="{00000000-0005-0000-0000-0000A1000000}"/>
    <cellStyle name="=C:\WINNT35\SYSTEM32\COMMAND.COM" xfId="210" xr:uid="{00000000-0005-0000-0000-0000A2000000}"/>
    <cellStyle name="W_Â" xfId="211" xr:uid="{00000000-0005-0000-0000-0000A3000000}"/>
    <cellStyle name="0" xfId="212" xr:uid="{00000000-0005-0000-0000-0000A4000000}"/>
    <cellStyle name="0%" xfId="213" xr:uid="{00000000-0005-0000-0000-0000A5000000}"/>
    <cellStyle name="0.0" xfId="214" xr:uid="{00000000-0005-0000-0000-0000A6000000}"/>
    <cellStyle name="0.0%" xfId="215" xr:uid="{00000000-0005-0000-0000-0000A7000000}"/>
    <cellStyle name="0.00" xfId="216" xr:uid="{00000000-0005-0000-0000-0000A8000000}"/>
    <cellStyle name="0.00%" xfId="217" xr:uid="{00000000-0005-0000-0000-0000A9000000}"/>
    <cellStyle name="0IsBlank" xfId="218" xr:uid="{00000000-0005-0000-0000-0000AA000000}"/>
    <cellStyle name="1" xfId="219" xr:uid="{00000000-0005-0000-0000-0000AB000000}"/>
    <cellStyle name="10Q" xfId="220" xr:uid="{00000000-0005-0000-0000-0000AC000000}"/>
    <cellStyle name="2 Decimal Places" xfId="221" xr:uid="{00000000-0005-0000-0000-0000AD000000}"/>
    <cellStyle name="20% - Accent1 2" xfId="222" xr:uid="{00000000-0005-0000-0000-0000AE000000}"/>
    <cellStyle name="20% - Accent2 2" xfId="223" xr:uid="{00000000-0005-0000-0000-0000AF000000}"/>
    <cellStyle name="20% - Accent3 2" xfId="224" xr:uid="{00000000-0005-0000-0000-0000B0000000}"/>
    <cellStyle name="20% - Accent4 2" xfId="225" xr:uid="{00000000-0005-0000-0000-0000B1000000}"/>
    <cellStyle name="20% - Accent5 2" xfId="226" xr:uid="{00000000-0005-0000-0000-0000B2000000}"/>
    <cellStyle name="20% - Accent6 2" xfId="227" xr:uid="{00000000-0005-0000-0000-0000B3000000}"/>
    <cellStyle name="3 V1.00 CORE IMAGE (5200MM3.100 08/01/97)_x000d__x000a__x000d__x000a_[windows]_x000d__x000a_;spooler=yes_x000d__x000a_load=nw" xfId="228" xr:uid="{00000000-0005-0000-0000-0000B4000000}"/>
    <cellStyle name="40% - Accent1 2" xfId="229" xr:uid="{00000000-0005-0000-0000-0000B5000000}"/>
    <cellStyle name="40% - Accent2 2" xfId="230" xr:uid="{00000000-0005-0000-0000-0000B6000000}"/>
    <cellStyle name="40% - Accent3 2" xfId="231" xr:uid="{00000000-0005-0000-0000-0000B7000000}"/>
    <cellStyle name="40% - Accent4 2" xfId="232" xr:uid="{00000000-0005-0000-0000-0000B8000000}"/>
    <cellStyle name="40% - Accent5 2" xfId="233" xr:uid="{00000000-0005-0000-0000-0000B9000000}"/>
    <cellStyle name="40% - Accent6 2" xfId="234" xr:uid="{00000000-0005-0000-0000-0000BA000000}"/>
    <cellStyle name="60% - Accent1 2" xfId="235" xr:uid="{00000000-0005-0000-0000-0000BB000000}"/>
    <cellStyle name="60% - Accent2 2" xfId="236" xr:uid="{00000000-0005-0000-0000-0000BC000000}"/>
    <cellStyle name="60% - Accent3 2" xfId="237" xr:uid="{00000000-0005-0000-0000-0000BD000000}"/>
    <cellStyle name="60% - Accent4 2" xfId="238" xr:uid="{00000000-0005-0000-0000-0000BE000000}"/>
    <cellStyle name="60% - Accent5 2" xfId="239" xr:uid="{00000000-0005-0000-0000-0000BF000000}"/>
    <cellStyle name="60% - Accent6 2" xfId="240" xr:uid="{00000000-0005-0000-0000-0000C0000000}"/>
    <cellStyle name="752131" xfId="241" xr:uid="{00000000-0005-0000-0000-0000C1000000}"/>
    <cellStyle name="A_Block Space" xfId="242" xr:uid="{00000000-0005-0000-0000-0000C2000000}"/>
    <cellStyle name="A_BlueLine" xfId="243" xr:uid="{00000000-0005-0000-0000-0000C3000000}"/>
    <cellStyle name="A_Do not Change" xfId="244" xr:uid="{00000000-0005-0000-0000-0000C4000000}"/>
    <cellStyle name="A_Estimate" xfId="245" xr:uid="{00000000-0005-0000-0000-0000C5000000}"/>
    <cellStyle name="A_Memo" xfId="246" xr:uid="{00000000-0005-0000-0000-0000C6000000}"/>
    <cellStyle name="A_Normal" xfId="247" xr:uid="{00000000-0005-0000-0000-0000C7000000}"/>
    <cellStyle name="A_Normal Forecast" xfId="248" xr:uid="{00000000-0005-0000-0000-0000C8000000}"/>
    <cellStyle name="A_Normal Historical" xfId="249" xr:uid="{00000000-0005-0000-0000-0000C9000000}"/>
    <cellStyle name="A_Rate_Data" xfId="250" xr:uid="{00000000-0005-0000-0000-0000CA000000}"/>
    <cellStyle name="A_Rate_Data Historical" xfId="251" xr:uid="{00000000-0005-0000-0000-0000CB000000}"/>
    <cellStyle name="A_Rate_Title" xfId="252" xr:uid="{00000000-0005-0000-0000-0000CC000000}"/>
    <cellStyle name="A_Simple Title" xfId="253" xr:uid="{00000000-0005-0000-0000-0000CD000000}"/>
    <cellStyle name="A_Sum" xfId="254" xr:uid="{00000000-0005-0000-0000-0000CE000000}"/>
    <cellStyle name="A_SUM_Row Major" xfId="255" xr:uid="{00000000-0005-0000-0000-0000CF000000}"/>
    <cellStyle name="A_SUM_Row Minor" xfId="256" xr:uid="{00000000-0005-0000-0000-0000D0000000}"/>
    <cellStyle name="A_Title" xfId="257" xr:uid="{00000000-0005-0000-0000-0000D1000000}"/>
    <cellStyle name="A_YearHeadings" xfId="258" xr:uid="{00000000-0005-0000-0000-0000D2000000}"/>
    <cellStyle name="Accent1 2" xfId="259" xr:uid="{00000000-0005-0000-0000-0000D3000000}"/>
    <cellStyle name="Accent2 2" xfId="260" xr:uid="{00000000-0005-0000-0000-0000D4000000}"/>
    <cellStyle name="Accent3 2" xfId="261" xr:uid="{00000000-0005-0000-0000-0000D5000000}"/>
    <cellStyle name="Accent4 2" xfId="262" xr:uid="{00000000-0005-0000-0000-0000D6000000}"/>
    <cellStyle name="Accent5 2" xfId="263" xr:uid="{00000000-0005-0000-0000-0000D7000000}"/>
    <cellStyle name="Accent6 2" xfId="264" xr:uid="{00000000-0005-0000-0000-0000D8000000}"/>
    <cellStyle name="Accy [0]" xfId="265" xr:uid="{00000000-0005-0000-0000-0000D9000000}"/>
    <cellStyle name="Accy [1]" xfId="266" xr:uid="{00000000-0005-0000-0000-0000DA000000}"/>
    <cellStyle name="Accy [2]" xfId="267" xr:uid="{00000000-0005-0000-0000-0000DB000000}"/>
    <cellStyle name="Accy$ [0]" xfId="268" xr:uid="{00000000-0005-0000-0000-0000DC000000}"/>
    <cellStyle name="Accy$ [1]" xfId="269" xr:uid="{00000000-0005-0000-0000-0000DD000000}"/>
    <cellStyle name="Accy$ [2]" xfId="270" xr:uid="{00000000-0005-0000-0000-0000DE000000}"/>
    <cellStyle name="AFE" xfId="25" xr:uid="{00000000-0005-0000-0000-0000DF000000}"/>
    <cellStyle name="Analyst" xfId="271" xr:uid="{00000000-0005-0000-0000-0000E0000000}"/>
    <cellStyle name="args.style" xfId="272" xr:uid="{00000000-0005-0000-0000-0000E1000000}"/>
    <cellStyle name="Arial 10" xfId="273" xr:uid="{00000000-0005-0000-0000-0000E2000000}"/>
    <cellStyle name="Arial 12" xfId="274" xr:uid="{00000000-0005-0000-0000-0000E3000000}"/>
    <cellStyle name="Arial6Bold" xfId="26" xr:uid="{00000000-0005-0000-0000-0000E4000000}"/>
    <cellStyle name="Arial8Bold" xfId="27" xr:uid="{00000000-0005-0000-0000-0000E5000000}"/>
    <cellStyle name="Arial8Italic" xfId="28" xr:uid="{00000000-0005-0000-0000-0000E6000000}"/>
    <cellStyle name="ArialNormal" xfId="29" xr:uid="{00000000-0005-0000-0000-0000E7000000}"/>
    <cellStyle name="ÄÞ¸¶ [0]_´Ü°èº° ±¸Ãà¾È" xfId="275" xr:uid="{00000000-0005-0000-0000-0000E8000000}"/>
    <cellStyle name="ÄÞ¸¶_´Ü°èº° ±¸Ãà¾È" xfId="276" xr:uid="{00000000-0005-0000-0000-0000E9000000}"/>
    <cellStyle name="Availability" xfId="277" xr:uid="{00000000-0005-0000-0000-0000EA000000}"/>
    <cellStyle name="Bad 2" xfId="278" xr:uid="{00000000-0005-0000-0000-0000EB000000}"/>
    <cellStyle name="BalanceSheet" xfId="279" xr:uid="{00000000-0005-0000-0000-0000EC000000}"/>
    <cellStyle name="Blue" xfId="280" xr:uid="{00000000-0005-0000-0000-0000ED000000}"/>
    <cellStyle name="Bold/Border" xfId="281" xr:uid="{00000000-0005-0000-0000-0000EE000000}"/>
    <cellStyle name="BoldLineDescription" xfId="282" xr:uid="{00000000-0005-0000-0000-0000EF000000}"/>
    <cellStyle name="BoldUnderline" xfId="283" xr:uid="{00000000-0005-0000-0000-0000F0000000}"/>
    <cellStyle name="border" xfId="284" xr:uid="{00000000-0005-0000-0000-0000F1000000}"/>
    <cellStyle name="Border - Style1" xfId="285" xr:uid="{00000000-0005-0000-0000-0000F2000000}"/>
    <cellStyle name="Border - Style2" xfId="286" xr:uid="{00000000-0005-0000-0000-0000F3000000}"/>
    <cellStyle name="border_Delinquency Data" xfId="287" xr:uid="{00000000-0005-0000-0000-0000F4000000}"/>
    <cellStyle name="Bottom Edge" xfId="288" xr:uid="{00000000-0005-0000-0000-0000F5000000}"/>
    <cellStyle name="bp--" xfId="289" xr:uid="{00000000-0005-0000-0000-0000F6000000}"/>
    <cellStyle name="brad" xfId="290" xr:uid="{00000000-0005-0000-0000-0000F7000000}"/>
    <cellStyle name="British Pound" xfId="291" xr:uid="{00000000-0005-0000-0000-0000F8000000}"/>
    <cellStyle name="Bullet" xfId="292" xr:uid="{00000000-0005-0000-0000-0000F9000000}"/>
    <cellStyle name="bvshr$" xfId="293" xr:uid="{00000000-0005-0000-0000-0000FA000000}"/>
    <cellStyle name="c" xfId="294" xr:uid="{00000000-0005-0000-0000-0000FB000000}"/>
    <cellStyle name="C_Blue - Style3" xfId="295" xr:uid="{00000000-0005-0000-0000-0000FC000000}"/>
    <cellStyle name="C_Brow - Style4" xfId="296" xr:uid="{00000000-0005-0000-0000-0000FD000000}"/>
    <cellStyle name="C_Red - Style5" xfId="297" xr:uid="{00000000-0005-0000-0000-0000FE000000}"/>
    <cellStyle name="Ç¥ÁØ_´Ü°èº° ±¸Ãà¾È" xfId="298" xr:uid="{00000000-0005-0000-0000-0000FF000000}"/>
    <cellStyle name="CAD" xfId="299" xr:uid="{00000000-0005-0000-0000-000000010000}"/>
    <cellStyle name="Calc Currency (0)" xfId="300" xr:uid="{00000000-0005-0000-0000-000001010000}"/>
    <cellStyle name="Calc Currency (2)" xfId="301" xr:uid="{00000000-0005-0000-0000-000002010000}"/>
    <cellStyle name="Calc Percent (0)" xfId="302" xr:uid="{00000000-0005-0000-0000-000003010000}"/>
    <cellStyle name="Calc Percent (1)" xfId="303" xr:uid="{00000000-0005-0000-0000-000004010000}"/>
    <cellStyle name="Calc Percent (2)" xfId="304" xr:uid="{00000000-0005-0000-0000-000005010000}"/>
    <cellStyle name="Calc Units (0)" xfId="305" xr:uid="{00000000-0005-0000-0000-000006010000}"/>
    <cellStyle name="Calc Units (1)" xfId="306" xr:uid="{00000000-0005-0000-0000-000007010000}"/>
    <cellStyle name="Calc Units (2)" xfId="307" xr:uid="{00000000-0005-0000-0000-000008010000}"/>
    <cellStyle name="Calculation 2" xfId="308" xr:uid="{00000000-0005-0000-0000-000009010000}"/>
    <cellStyle name="Calculations" xfId="309" xr:uid="{00000000-0005-0000-0000-00000A010000}"/>
    <cellStyle name="caps 0.00" xfId="310" xr:uid="{00000000-0005-0000-0000-00000B010000}"/>
    <cellStyle name="caps$ 0.0%" xfId="311" xr:uid="{00000000-0005-0000-0000-00000C010000}"/>
    <cellStyle name="capsdate" xfId="312" xr:uid="{00000000-0005-0000-0000-00000D010000}"/>
    <cellStyle name="capsdate dmy" xfId="313" xr:uid="{00000000-0005-0000-0000-00000E010000}"/>
    <cellStyle name="capsdate_AVB_Wire" xfId="314" xr:uid="{00000000-0005-0000-0000-00000F010000}"/>
    <cellStyle name="Case" xfId="315" xr:uid="{00000000-0005-0000-0000-000010010000}"/>
    <cellStyle name="CashFlow" xfId="316" xr:uid="{00000000-0005-0000-0000-000011010000}"/>
    <cellStyle name="category" xfId="317" xr:uid="{00000000-0005-0000-0000-000012010000}"/>
    <cellStyle name="CComma" xfId="318" xr:uid="{00000000-0005-0000-0000-000013010000}"/>
    <cellStyle name="CComma (0)" xfId="319" xr:uid="{00000000-0005-0000-0000-000014010000}"/>
    <cellStyle name="CComma_DDM_new" xfId="320" xr:uid="{00000000-0005-0000-0000-000015010000}"/>
    <cellStyle name="CCurrency (0)" xfId="321" xr:uid="{00000000-0005-0000-0000-000016010000}"/>
    <cellStyle name="Centered Heading" xfId="322" xr:uid="{00000000-0005-0000-0000-000017010000}"/>
    <cellStyle name="Cents" xfId="323" xr:uid="{00000000-0005-0000-0000-000018010000}"/>
    <cellStyle name="CFnozeros" xfId="324" xr:uid="{00000000-0005-0000-0000-000019010000}"/>
    <cellStyle name="CFtotal$" xfId="325" xr:uid="{00000000-0005-0000-0000-00001A010000}"/>
    <cellStyle name="Change" xfId="326" xr:uid="{00000000-0005-0000-0000-00001B010000}"/>
    <cellStyle name="Changeable" xfId="327" xr:uid="{00000000-0005-0000-0000-00001C010000}"/>
    <cellStyle name="Check Cell 2" xfId="328" xr:uid="{00000000-0005-0000-0000-00001D010000}"/>
    <cellStyle name="Co. Names" xfId="329" xr:uid="{00000000-0005-0000-0000-00001E010000}"/>
    <cellStyle name="Code" xfId="330" xr:uid="{00000000-0005-0000-0000-00001F010000}"/>
    <cellStyle name="Code Section" xfId="331" xr:uid="{00000000-0005-0000-0000-000020010000}"/>
    <cellStyle name="Colhead_right" xfId="332" xr:uid="{00000000-0005-0000-0000-000021010000}"/>
    <cellStyle name="ColHeading" xfId="333" xr:uid="{00000000-0005-0000-0000-000022010000}"/>
    <cellStyle name="ColumnAttributeAbovePrompt" xfId="334" xr:uid="{00000000-0005-0000-0000-000023010000}"/>
    <cellStyle name="ColumnAttributePrompt" xfId="335" xr:uid="{00000000-0005-0000-0000-000024010000}"/>
    <cellStyle name="ColumnAttributeValue" xfId="336" xr:uid="{00000000-0005-0000-0000-000025010000}"/>
    <cellStyle name="ColumnHeadingPrompt" xfId="337" xr:uid="{00000000-0005-0000-0000-000026010000}"/>
    <cellStyle name="ColumnHeadingValue" xfId="338" xr:uid="{00000000-0005-0000-0000-000027010000}"/>
    <cellStyle name="Comma  - Style1" xfId="339" xr:uid="{00000000-0005-0000-0000-000029010000}"/>
    <cellStyle name="Comma  - Style2" xfId="340" xr:uid="{00000000-0005-0000-0000-00002A010000}"/>
    <cellStyle name="Comma  - Style3" xfId="341" xr:uid="{00000000-0005-0000-0000-00002B010000}"/>
    <cellStyle name="Comma  - Style4" xfId="342" xr:uid="{00000000-0005-0000-0000-00002C010000}"/>
    <cellStyle name="Comma  - Style5" xfId="343" xr:uid="{00000000-0005-0000-0000-00002D010000}"/>
    <cellStyle name="Comma  - Style6" xfId="344" xr:uid="{00000000-0005-0000-0000-00002E010000}"/>
    <cellStyle name="Comma  - Style7" xfId="345" xr:uid="{00000000-0005-0000-0000-00002F010000}"/>
    <cellStyle name="Comma  - Style8" xfId="346" xr:uid="{00000000-0005-0000-0000-000030010000}"/>
    <cellStyle name="comma (1)" xfId="347" xr:uid="{00000000-0005-0000-0000-000031010000}"/>
    <cellStyle name="Comma [00]" xfId="348" xr:uid="{00000000-0005-0000-0000-000032010000}"/>
    <cellStyle name="Comma [1]" xfId="349" xr:uid="{00000000-0005-0000-0000-000033010000}"/>
    <cellStyle name="Comma 0" xfId="350" xr:uid="{00000000-0005-0000-0000-000034010000}"/>
    <cellStyle name="Comma 10" xfId="351" xr:uid="{00000000-0005-0000-0000-000035010000}"/>
    <cellStyle name="Comma 11" xfId="905" xr:uid="{00000000-0005-0000-0000-000036010000}"/>
    <cellStyle name="Comma 12" xfId="908" xr:uid="{00000000-0005-0000-0000-000037010000}"/>
    <cellStyle name="Comma 13" xfId="352" xr:uid="{00000000-0005-0000-0000-000038010000}"/>
    <cellStyle name="Comma 2" xfId="1" xr:uid="{00000000-0005-0000-0000-000039010000}"/>
    <cellStyle name="Comma 2 2" xfId="353" xr:uid="{00000000-0005-0000-0000-00003A010000}"/>
    <cellStyle name="Comma 2 2 2" xfId="2" xr:uid="{00000000-0005-0000-0000-00003B010000}"/>
    <cellStyle name="Comma 2 2 2 2" xfId="354" xr:uid="{00000000-0005-0000-0000-00003C010000}"/>
    <cellStyle name="Comma 2 2 3" xfId="355" xr:uid="{00000000-0005-0000-0000-00003D010000}"/>
    <cellStyle name="Comma 3" xfId="3" xr:uid="{00000000-0005-0000-0000-00003E010000}"/>
    <cellStyle name="Comma 3 2" xfId="4" xr:uid="{00000000-0005-0000-0000-00003F010000}"/>
    <cellStyle name="Comma 3 3" xfId="5" xr:uid="{00000000-0005-0000-0000-000040010000}"/>
    <cellStyle name="Comma 3 4" xfId="46" xr:uid="{00000000-0005-0000-0000-000041010000}"/>
    <cellStyle name="Comma 3*" xfId="356" xr:uid="{00000000-0005-0000-0000-000042010000}"/>
    <cellStyle name="Comma 30" xfId="357" xr:uid="{00000000-0005-0000-0000-000043010000}"/>
    <cellStyle name="Comma 30 2" xfId="358" xr:uid="{00000000-0005-0000-0000-000044010000}"/>
    <cellStyle name="Comma 33" xfId="359" xr:uid="{00000000-0005-0000-0000-000045010000}"/>
    <cellStyle name="Comma 35" xfId="360" xr:uid="{00000000-0005-0000-0000-000046010000}"/>
    <cellStyle name="Comma 35 2" xfId="361" xr:uid="{00000000-0005-0000-0000-000047010000}"/>
    <cellStyle name="Comma 38" xfId="362" xr:uid="{00000000-0005-0000-0000-000048010000}"/>
    <cellStyle name="Comma 4" xfId="6" xr:uid="{00000000-0005-0000-0000-000049010000}"/>
    <cellStyle name="Comma 4 2" xfId="7" xr:uid="{00000000-0005-0000-0000-00004A010000}"/>
    <cellStyle name="Comma 5" xfId="22" xr:uid="{00000000-0005-0000-0000-00004B010000}"/>
    <cellStyle name="Comma 6" xfId="42" xr:uid="{00000000-0005-0000-0000-00004C010000}"/>
    <cellStyle name="Comma 7" xfId="48" xr:uid="{00000000-0005-0000-0000-00004D010000}"/>
    <cellStyle name="Comma 8" xfId="363" xr:uid="{00000000-0005-0000-0000-00004E010000}"/>
    <cellStyle name="Comma 9" xfId="364" xr:uid="{00000000-0005-0000-0000-00004F010000}"/>
    <cellStyle name="Comma Cents" xfId="365" xr:uid="{00000000-0005-0000-0000-000050010000}"/>
    <cellStyle name="comma zerodec" xfId="366" xr:uid="{00000000-0005-0000-0000-000051010000}"/>
    <cellStyle name="Comma[2]" xfId="367" xr:uid="{00000000-0005-0000-0000-000052010000}"/>
    <cellStyle name="Comma0" xfId="368" xr:uid="{00000000-0005-0000-0000-000053010000}"/>
    <cellStyle name="Comma0 - Style1" xfId="369" xr:uid="{00000000-0005-0000-0000-000054010000}"/>
    <cellStyle name="Comma0 - Style2" xfId="370" xr:uid="{00000000-0005-0000-0000-000055010000}"/>
    <cellStyle name="Comma0 - Style3" xfId="371" xr:uid="{00000000-0005-0000-0000-000056010000}"/>
    <cellStyle name="Comma0_2006 Budget Deck v10" xfId="372" xr:uid="{00000000-0005-0000-0000-000057010000}"/>
    <cellStyle name="Comma1" xfId="373" xr:uid="{00000000-0005-0000-0000-000058010000}"/>
    <cellStyle name="Company" xfId="374" xr:uid="{00000000-0005-0000-0000-000059010000}"/>
    <cellStyle name="CompanyName" xfId="375" xr:uid="{00000000-0005-0000-0000-00005A010000}"/>
    <cellStyle name="Copied" xfId="376" xr:uid="{00000000-0005-0000-0000-00005B010000}"/>
    <cellStyle name="COST1" xfId="377" xr:uid="{00000000-0005-0000-0000-00005C010000}"/>
    <cellStyle name="CurRatio" xfId="378" xr:uid="{00000000-0005-0000-0000-00005D010000}"/>
    <cellStyle name="Curren - Style2" xfId="379" xr:uid="{00000000-0005-0000-0000-00005E010000}"/>
    <cellStyle name="Curren - Style7" xfId="380" xr:uid="{00000000-0005-0000-0000-00005F010000}"/>
    <cellStyle name="Curren - Style8" xfId="381" xr:uid="{00000000-0005-0000-0000-000060010000}"/>
    <cellStyle name="Currency--" xfId="382" xr:uid="{00000000-0005-0000-0000-000062010000}"/>
    <cellStyle name="Currency $" xfId="383" xr:uid="{00000000-0005-0000-0000-000063010000}"/>
    <cellStyle name="Currency (1)" xfId="384" xr:uid="{00000000-0005-0000-0000-000064010000}"/>
    <cellStyle name="Currency [0ೝ_ALE2" xfId="385" xr:uid="{00000000-0005-0000-0000-000065010000}"/>
    <cellStyle name="Currency [00]" xfId="386" xr:uid="{00000000-0005-0000-0000-000066010000}"/>
    <cellStyle name="Currency [1]" xfId="387" xr:uid="{00000000-0005-0000-0000-000067010000}"/>
    <cellStyle name="Currency [2]" xfId="388" xr:uid="{00000000-0005-0000-0000-000068010000}"/>
    <cellStyle name="Currency 0" xfId="389" xr:uid="{00000000-0005-0000-0000-000069010000}"/>
    <cellStyle name="Currency 10" xfId="390" xr:uid="{00000000-0005-0000-0000-00006A010000}"/>
    <cellStyle name="Currency 11" xfId="911" xr:uid="{00000000-0005-0000-0000-00006B010000}"/>
    <cellStyle name="Currency 2" xfId="24" xr:uid="{00000000-0005-0000-0000-00006C010000}"/>
    <cellStyle name="Currency 2 2" xfId="391" xr:uid="{00000000-0005-0000-0000-00006D010000}"/>
    <cellStyle name="Currency 28" xfId="392" xr:uid="{00000000-0005-0000-0000-00006E010000}"/>
    <cellStyle name="Currency 28 2" xfId="393" xr:uid="{00000000-0005-0000-0000-00006F010000}"/>
    <cellStyle name="Currency 3" xfId="44" xr:uid="{00000000-0005-0000-0000-000070010000}"/>
    <cellStyle name="Currency 3 2" xfId="47" xr:uid="{00000000-0005-0000-0000-000071010000}"/>
    <cellStyle name="Currency 3 33" xfId="394" xr:uid="{00000000-0005-0000-0000-000072010000}"/>
    <cellStyle name="Currency 30" xfId="395" xr:uid="{00000000-0005-0000-0000-000073010000}"/>
    <cellStyle name="Currency 32" xfId="396" xr:uid="{00000000-0005-0000-0000-000074010000}"/>
    <cellStyle name="Currency 4" xfId="397" xr:uid="{00000000-0005-0000-0000-000075010000}"/>
    <cellStyle name="Currency 5" xfId="398" xr:uid="{00000000-0005-0000-0000-000076010000}"/>
    <cellStyle name="Currency 6" xfId="399" xr:uid="{00000000-0005-0000-0000-000077010000}"/>
    <cellStyle name="Currency 7" xfId="400" xr:uid="{00000000-0005-0000-0000-000078010000}"/>
    <cellStyle name="Currency 8" xfId="401" xr:uid="{00000000-0005-0000-0000-000079010000}"/>
    <cellStyle name="Currency 9" xfId="402" xr:uid="{00000000-0005-0000-0000-00007A010000}"/>
    <cellStyle name="Currency(1)" xfId="403" xr:uid="{00000000-0005-0000-0000-00007B010000}"/>
    <cellStyle name="Currency[2]" xfId="404" xr:uid="{00000000-0005-0000-0000-00007C010000}"/>
    <cellStyle name="Currency--_ARM Roof_Val v7" xfId="405" xr:uid="{00000000-0005-0000-0000-00007D010000}"/>
    <cellStyle name="Currency0" xfId="406" xr:uid="{00000000-0005-0000-0000-00007E010000}"/>
    <cellStyle name="Currency1" xfId="407" xr:uid="{00000000-0005-0000-0000-00007F010000}"/>
    <cellStyle name="Currency2" xfId="408" xr:uid="{00000000-0005-0000-0000-000080010000}"/>
    <cellStyle name="CUS.Work.Area" xfId="409" xr:uid="{00000000-0005-0000-0000-000081010000}"/>
    <cellStyle name="custeq" xfId="410" xr:uid="{00000000-0005-0000-0000-000082010000}"/>
    <cellStyle name="custom" xfId="411" xr:uid="{00000000-0005-0000-0000-000083010000}"/>
    <cellStyle name="CustomStyle1" xfId="412" xr:uid="{00000000-0005-0000-0000-000084010000}"/>
    <cellStyle name="CustomStyle10" xfId="413" xr:uid="{00000000-0005-0000-0000-000085010000}"/>
    <cellStyle name="CustomStyle11" xfId="414" xr:uid="{00000000-0005-0000-0000-000086010000}"/>
    <cellStyle name="CustomStyle12" xfId="415" xr:uid="{00000000-0005-0000-0000-000087010000}"/>
    <cellStyle name="CustomStyle13" xfId="416" xr:uid="{00000000-0005-0000-0000-000088010000}"/>
    <cellStyle name="CustomStyle14" xfId="417" xr:uid="{00000000-0005-0000-0000-000089010000}"/>
    <cellStyle name="CustomStyle15" xfId="418" xr:uid="{00000000-0005-0000-0000-00008A010000}"/>
    <cellStyle name="CustomStyle16" xfId="419" xr:uid="{00000000-0005-0000-0000-00008B010000}"/>
    <cellStyle name="CustomStyle17" xfId="420" xr:uid="{00000000-0005-0000-0000-00008C010000}"/>
    <cellStyle name="CustomStyle18" xfId="421" xr:uid="{00000000-0005-0000-0000-00008D010000}"/>
    <cellStyle name="CustomStyle19" xfId="422" xr:uid="{00000000-0005-0000-0000-00008E010000}"/>
    <cellStyle name="CustomStyle2" xfId="423" xr:uid="{00000000-0005-0000-0000-00008F010000}"/>
    <cellStyle name="CustomStyle20" xfId="424" xr:uid="{00000000-0005-0000-0000-000090010000}"/>
    <cellStyle name="CustomStyle21" xfId="425" xr:uid="{00000000-0005-0000-0000-000091010000}"/>
    <cellStyle name="CustomStyle22" xfId="426" xr:uid="{00000000-0005-0000-0000-000092010000}"/>
    <cellStyle name="CustomStyle23" xfId="427" xr:uid="{00000000-0005-0000-0000-000093010000}"/>
    <cellStyle name="CustomStyle24" xfId="428" xr:uid="{00000000-0005-0000-0000-000094010000}"/>
    <cellStyle name="CustomStyle25" xfId="429" xr:uid="{00000000-0005-0000-0000-000095010000}"/>
    <cellStyle name="CustomStyle26" xfId="430" xr:uid="{00000000-0005-0000-0000-000096010000}"/>
    <cellStyle name="CustomStyle27" xfId="431" xr:uid="{00000000-0005-0000-0000-000097010000}"/>
    <cellStyle name="CustomStyle28" xfId="432" xr:uid="{00000000-0005-0000-0000-000098010000}"/>
    <cellStyle name="CustomStyle29" xfId="433" xr:uid="{00000000-0005-0000-0000-000099010000}"/>
    <cellStyle name="CustomStyle3" xfId="434" xr:uid="{00000000-0005-0000-0000-00009A010000}"/>
    <cellStyle name="CustomStyle30" xfId="435" xr:uid="{00000000-0005-0000-0000-00009B010000}"/>
    <cellStyle name="CustomStyle31" xfId="436" xr:uid="{00000000-0005-0000-0000-00009C010000}"/>
    <cellStyle name="CustomStyle32" xfId="437" xr:uid="{00000000-0005-0000-0000-00009D010000}"/>
    <cellStyle name="CustomStyle33" xfId="438" xr:uid="{00000000-0005-0000-0000-00009E010000}"/>
    <cellStyle name="CustomStyle34" xfId="439" xr:uid="{00000000-0005-0000-0000-00009F010000}"/>
    <cellStyle name="CustomStyle35" xfId="440" xr:uid="{00000000-0005-0000-0000-0000A0010000}"/>
    <cellStyle name="CustomStyle36" xfId="441" xr:uid="{00000000-0005-0000-0000-0000A1010000}"/>
    <cellStyle name="CustomStyle37" xfId="442" xr:uid="{00000000-0005-0000-0000-0000A2010000}"/>
    <cellStyle name="CustomStyle38" xfId="443" xr:uid="{00000000-0005-0000-0000-0000A3010000}"/>
    <cellStyle name="CustomStyle39" xfId="444" xr:uid="{00000000-0005-0000-0000-0000A4010000}"/>
    <cellStyle name="CustomStyle4" xfId="445" xr:uid="{00000000-0005-0000-0000-0000A5010000}"/>
    <cellStyle name="CustomStyle40" xfId="446" xr:uid="{00000000-0005-0000-0000-0000A6010000}"/>
    <cellStyle name="CustomStyle41" xfId="447" xr:uid="{00000000-0005-0000-0000-0000A7010000}"/>
    <cellStyle name="CustomStyle42" xfId="448" xr:uid="{00000000-0005-0000-0000-0000A8010000}"/>
    <cellStyle name="CustomStyle43" xfId="449" xr:uid="{00000000-0005-0000-0000-0000A9010000}"/>
    <cellStyle name="CustomStyle44" xfId="450" xr:uid="{00000000-0005-0000-0000-0000AA010000}"/>
    <cellStyle name="CustomStyle45" xfId="451" xr:uid="{00000000-0005-0000-0000-0000AB010000}"/>
    <cellStyle name="CustomStyle46" xfId="452" xr:uid="{00000000-0005-0000-0000-0000AC010000}"/>
    <cellStyle name="CustomStyle47" xfId="453" xr:uid="{00000000-0005-0000-0000-0000AD010000}"/>
    <cellStyle name="CustomStyle48" xfId="454" xr:uid="{00000000-0005-0000-0000-0000AE010000}"/>
    <cellStyle name="CustomStyle49" xfId="455" xr:uid="{00000000-0005-0000-0000-0000AF010000}"/>
    <cellStyle name="CustomStyle5" xfId="456" xr:uid="{00000000-0005-0000-0000-0000B0010000}"/>
    <cellStyle name="CustomStyle6" xfId="457" xr:uid="{00000000-0005-0000-0000-0000B1010000}"/>
    <cellStyle name="CustomStyle7" xfId="458" xr:uid="{00000000-0005-0000-0000-0000B2010000}"/>
    <cellStyle name="CustomStyle8" xfId="459" xr:uid="{00000000-0005-0000-0000-0000B3010000}"/>
    <cellStyle name="CustomStyle9" xfId="460" xr:uid="{00000000-0005-0000-0000-0000B4010000}"/>
    <cellStyle name="C㯵rrency_㳔PC Data" xfId="461" xr:uid="{00000000-0005-0000-0000-0000B5010000}"/>
    <cellStyle name="Dash" xfId="462" xr:uid="{00000000-0005-0000-0000-0000B6010000}"/>
    <cellStyle name="Data" xfId="463" xr:uid="{00000000-0005-0000-0000-0000B7010000}"/>
    <cellStyle name="Date" xfId="464" xr:uid="{00000000-0005-0000-0000-0000B8010000}"/>
    <cellStyle name="Date [d-mmm-yy]" xfId="465" xr:uid="{00000000-0005-0000-0000-0000B9010000}"/>
    <cellStyle name="Date [mm-d-yy]" xfId="466" xr:uid="{00000000-0005-0000-0000-0000BA010000}"/>
    <cellStyle name="Date [mm-d-yyyy]" xfId="467" xr:uid="{00000000-0005-0000-0000-0000BB010000}"/>
    <cellStyle name="Date [mmm-d-yyyy]" xfId="468" xr:uid="{00000000-0005-0000-0000-0000BC010000}"/>
    <cellStyle name="Date [mmm-yy]" xfId="469" xr:uid="{00000000-0005-0000-0000-0000BD010000}"/>
    <cellStyle name="Date [mmm-yyyy]" xfId="470" xr:uid="{00000000-0005-0000-0000-0000BE010000}"/>
    <cellStyle name="Date Aligned" xfId="471" xr:uid="{00000000-0005-0000-0000-0000BF010000}"/>
    <cellStyle name="Date m/d/yy" xfId="472" xr:uid="{00000000-0005-0000-0000-0000C0010000}"/>
    <cellStyle name="date month-year" xfId="473" xr:uid="{00000000-0005-0000-0000-0000C1010000}"/>
    <cellStyle name="Date Short" xfId="474" xr:uid="{00000000-0005-0000-0000-0000C2010000}"/>
    <cellStyle name="date_04102009" xfId="475" xr:uid="{00000000-0005-0000-0000-0000C3010000}"/>
    <cellStyle name="Date2" xfId="476" xr:uid="{00000000-0005-0000-0000-0000C4010000}"/>
    <cellStyle name="Dates" xfId="477" xr:uid="{00000000-0005-0000-0000-0000C5010000}"/>
    <cellStyle name="DateYear" xfId="478" xr:uid="{00000000-0005-0000-0000-0000C6010000}"/>
    <cellStyle name="December 1994" xfId="479" xr:uid="{00000000-0005-0000-0000-0000C7010000}"/>
    <cellStyle name="Decimal" xfId="480" xr:uid="{00000000-0005-0000-0000-0000C8010000}"/>
    <cellStyle name="decimal 0" xfId="481" xr:uid="{00000000-0005-0000-0000-0000C9010000}"/>
    <cellStyle name="decimal 1" xfId="482" xr:uid="{00000000-0005-0000-0000-0000CA010000}"/>
    <cellStyle name="decimal 2" xfId="483" xr:uid="{00000000-0005-0000-0000-0000CB010000}"/>
    <cellStyle name="Dezimal [0]_7012" xfId="484" xr:uid="{00000000-0005-0000-0000-0000CC010000}"/>
    <cellStyle name="Dezimal_7012" xfId="485" xr:uid="{00000000-0005-0000-0000-0000CD010000}"/>
    <cellStyle name="dividend$" xfId="486" xr:uid="{00000000-0005-0000-0000-0000CE010000}"/>
    <cellStyle name="dividends" xfId="487" xr:uid="{00000000-0005-0000-0000-0000CF010000}"/>
    <cellStyle name="Dollar" xfId="488" xr:uid="{00000000-0005-0000-0000-0000D0010000}"/>
    <cellStyle name="DOLLAR - Style5" xfId="489" xr:uid="{00000000-0005-0000-0000-0000D1010000}"/>
    <cellStyle name="DOLLAR - Style6" xfId="490" xr:uid="{00000000-0005-0000-0000-0000D2010000}"/>
    <cellStyle name="Dollar (zero dec)" xfId="491" xr:uid="{00000000-0005-0000-0000-0000D3010000}"/>
    <cellStyle name="dollars" xfId="492" xr:uid="{00000000-0005-0000-0000-0000D4010000}"/>
    <cellStyle name="DollarWhole" xfId="493" xr:uid="{00000000-0005-0000-0000-0000D5010000}"/>
    <cellStyle name="Dotted Line" xfId="494" xr:uid="{00000000-0005-0000-0000-0000D6010000}"/>
    <cellStyle name="Double Accounting" xfId="495" xr:uid="{00000000-0005-0000-0000-0000D7010000}"/>
    <cellStyle name="Download" xfId="496" xr:uid="{00000000-0005-0000-0000-0000D8010000}"/>
    <cellStyle name="Driver" xfId="497" xr:uid="{00000000-0005-0000-0000-0000D9010000}"/>
    <cellStyle name="Enter Currency (0)" xfId="498" xr:uid="{00000000-0005-0000-0000-0000DA010000}"/>
    <cellStyle name="Enter Currency (2)" xfId="499" xr:uid="{00000000-0005-0000-0000-0000DB010000}"/>
    <cellStyle name="Enter Units (0)" xfId="500" xr:uid="{00000000-0005-0000-0000-0000DC010000}"/>
    <cellStyle name="Enter Units (1)" xfId="501" xr:uid="{00000000-0005-0000-0000-0000DD010000}"/>
    <cellStyle name="Enter Units (2)" xfId="502" xr:uid="{00000000-0005-0000-0000-0000DE010000}"/>
    <cellStyle name="Entered" xfId="503" xr:uid="{00000000-0005-0000-0000-0000DF010000}"/>
    <cellStyle name="eps$" xfId="504" xr:uid="{00000000-0005-0000-0000-0000E0010000}"/>
    <cellStyle name="ER$AS" xfId="505" xr:uid="{00000000-0005-0000-0000-0000E1010000}"/>
    <cellStyle name="ER$IS" xfId="506" xr:uid="{00000000-0005-0000-0000-0000E2010000}"/>
    <cellStyle name="ER$IS (2)" xfId="507" xr:uid="{00000000-0005-0000-0000-0000E3010000}"/>
    <cellStyle name="ER$IS_2003 OpRecon" xfId="508" xr:uid="{00000000-0005-0000-0000-0000E4010000}"/>
    <cellStyle name="ERCOM" xfId="509" xr:uid="{00000000-0005-0000-0000-0000E5010000}"/>
    <cellStyle name="erdivid" xfId="510" xr:uid="{00000000-0005-0000-0000-0000E6010000}"/>
    <cellStyle name="ereps$" xfId="511" xr:uid="{00000000-0005-0000-0000-0000E7010000}"/>
    <cellStyle name="ERIS" xfId="512" xr:uid="{00000000-0005-0000-0000-0000E8010000}"/>
    <cellStyle name="ERnozeros" xfId="513" xr:uid="{00000000-0005-0000-0000-0000E9010000}"/>
    <cellStyle name="ERtotal$" xfId="514" xr:uid="{00000000-0005-0000-0000-0000EA010000}"/>
    <cellStyle name="Euro" xfId="515" xr:uid="{00000000-0005-0000-0000-0000EB010000}"/>
    <cellStyle name="Explanatory Text 2" xfId="516" xr:uid="{00000000-0005-0000-0000-0000EC010000}"/>
    <cellStyle name="f" xfId="517" xr:uid="{00000000-0005-0000-0000-0000ED010000}"/>
    <cellStyle name="f_Delinquency Data" xfId="518" xr:uid="{00000000-0005-0000-0000-0000EE010000}"/>
    <cellStyle name="f_Monthly Metrics" xfId="519" xr:uid="{00000000-0005-0000-0000-0000EF010000}"/>
    <cellStyle name="f_Monthly Metrics - Trading and I" xfId="520" xr:uid="{00000000-0005-0000-0000-0000F0010000}"/>
    <cellStyle name="f_Monthly Metrics_BSM Support" xfId="521" xr:uid="{00000000-0005-0000-0000-0000F1010000}"/>
    <cellStyle name="first line" xfId="522" xr:uid="{00000000-0005-0000-0000-0000F2010000}"/>
    <cellStyle name="FirstNumbers" xfId="523" xr:uid="{00000000-0005-0000-0000-0000F3010000}"/>
    <cellStyle name="Fixed" xfId="524" xr:uid="{00000000-0005-0000-0000-0000F4010000}"/>
    <cellStyle name="Fixed (1)" xfId="525" xr:uid="{00000000-0005-0000-0000-0000F5010000}"/>
    <cellStyle name="Fixed [0]" xfId="526" xr:uid="{00000000-0005-0000-0000-0000F6010000}"/>
    <cellStyle name="Fixed [2]" xfId="527" xr:uid="{00000000-0005-0000-0000-0000F7010000}"/>
    <cellStyle name="Fixed_1" xfId="528" xr:uid="{00000000-0005-0000-0000-0000F8010000}"/>
    <cellStyle name="Fixed1 - Style1" xfId="529" xr:uid="{00000000-0005-0000-0000-0000F9010000}"/>
    <cellStyle name="footnote" xfId="530" xr:uid="{00000000-0005-0000-0000-0000FA010000}"/>
    <cellStyle name="fourdecplace" xfId="30" xr:uid="{00000000-0005-0000-0000-0000FB010000}"/>
    <cellStyle name="fpc - Style6" xfId="531" xr:uid="{00000000-0005-0000-0000-0000FC010000}"/>
    <cellStyle name="general" xfId="532" xr:uid="{00000000-0005-0000-0000-0000FD010000}"/>
    <cellStyle name="Global" xfId="533" xr:uid="{00000000-0005-0000-0000-0000FE010000}"/>
    <cellStyle name="Good 2" xfId="534" xr:uid="{00000000-0005-0000-0000-0000FF010000}"/>
    <cellStyle name="Grey" xfId="535" xr:uid="{00000000-0005-0000-0000-000000020000}"/>
    <cellStyle name="GrowthRate" xfId="536" xr:uid="{00000000-0005-0000-0000-000001020000}"/>
    <cellStyle name="Hard Percent" xfId="537" xr:uid="{00000000-0005-0000-0000-000002020000}"/>
    <cellStyle name="Hardcoded" xfId="538" xr:uid="{00000000-0005-0000-0000-000003020000}"/>
    <cellStyle name="Head - Style7" xfId="539" xr:uid="{00000000-0005-0000-0000-000004020000}"/>
    <cellStyle name="HEADER" xfId="540" xr:uid="{00000000-0005-0000-0000-000005020000}"/>
    <cellStyle name="Header1" xfId="541" xr:uid="{00000000-0005-0000-0000-000006020000}"/>
    <cellStyle name="Header2" xfId="542" xr:uid="{00000000-0005-0000-0000-000007020000}"/>
    <cellStyle name="Heading" xfId="543" xr:uid="{00000000-0005-0000-0000-000008020000}"/>
    <cellStyle name="Heading 1 2" xfId="544" xr:uid="{00000000-0005-0000-0000-000009020000}"/>
    <cellStyle name="Heading 2 2" xfId="545" xr:uid="{00000000-0005-0000-0000-00000A020000}"/>
    <cellStyle name="Heading 3 2" xfId="546" xr:uid="{00000000-0005-0000-0000-00000B020000}"/>
    <cellStyle name="Heading 4 2" xfId="547" xr:uid="{00000000-0005-0000-0000-00000C020000}"/>
    <cellStyle name="Heading No Underline" xfId="548" xr:uid="{00000000-0005-0000-0000-00000D020000}"/>
    <cellStyle name="HEADING1" xfId="549" xr:uid="{00000000-0005-0000-0000-00000E020000}"/>
    <cellStyle name="HEADING2" xfId="550" xr:uid="{00000000-0005-0000-0000-00000F020000}"/>
    <cellStyle name="Hed Side" xfId="551" xr:uid="{00000000-0005-0000-0000-000010020000}"/>
    <cellStyle name="Hed Top" xfId="552" xr:uid="{00000000-0005-0000-0000-000011020000}"/>
    <cellStyle name="helv narrow 8" xfId="553" xr:uid="{00000000-0005-0000-0000-000012020000}"/>
    <cellStyle name="helvetica" xfId="554" xr:uid="{00000000-0005-0000-0000-000013020000}"/>
    <cellStyle name="Hidden" xfId="555" xr:uid="{00000000-0005-0000-0000-000014020000}"/>
    <cellStyle name="Hyperlink" xfId="909" builtinId="8"/>
    <cellStyle name="IDD" xfId="556" xr:uid="{00000000-0005-0000-0000-000016020000}"/>
    <cellStyle name="IncomeStatement" xfId="557" xr:uid="{00000000-0005-0000-0000-000017020000}"/>
    <cellStyle name="Industry" xfId="558" xr:uid="{00000000-0005-0000-0000-000018020000}"/>
    <cellStyle name="Input [yellow]" xfId="559" xr:uid="{00000000-0005-0000-0000-000019020000}"/>
    <cellStyle name="Input 10" xfId="560" xr:uid="{00000000-0005-0000-0000-00001A020000}"/>
    <cellStyle name="Input 2" xfId="561" xr:uid="{00000000-0005-0000-0000-00001B020000}"/>
    <cellStyle name="Input 3" xfId="562" xr:uid="{00000000-0005-0000-0000-00001C020000}"/>
    <cellStyle name="Input 4" xfId="563" xr:uid="{00000000-0005-0000-0000-00001D020000}"/>
    <cellStyle name="Input 5" xfId="564" xr:uid="{00000000-0005-0000-0000-00001E020000}"/>
    <cellStyle name="Input 6" xfId="565" xr:uid="{00000000-0005-0000-0000-00001F020000}"/>
    <cellStyle name="Input 7" xfId="566" xr:uid="{00000000-0005-0000-0000-000020020000}"/>
    <cellStyle name="Input 8" xfId="567" xr:uid="{00000000-0005-0000-0000-000021020000}"/>
    <cellStyle name="Input 9" xfId="568" xr:uid="{00000000-0005-0000-0000-000022020000}"/>
    <cellStyle name="Input Cells" xfId="569" xr:uid="{00000000-0005-0000-0000-000023020000}"/>
    <cellStyle name="Input Currency" xfId="570" xr:uid="{00000000-0005-0000-0000-000024020000}"/>
    <cellStyle name="Input Currency 2" xfId="571" xr:uid="{00000000-0005-0000-0000-000025020000}"/>
    <cellStyle name="Input Date" xfId="572" xr:uid="{00000000-0005-0000-0000-000026020000}"/>
    <cellStyle name="Input Fixed [0]" xfId="573" xr:uid="{00000000-0005-0000-0000-000027020000}"/>
    <cellStyle name="Input Multiple" xfId="574" xr:uid="{00000000-0005-0000-0000-000028020000}"/>
    <cellStyle name="Input Normal" xfId="575" xr:uid="{00000000-0005-0000-0000-000029020000}"/>
    <cellStyle name="Input Percent" xfId="576" xr:uid="{00000000-0005-0000-0000-00002A020000}"/>
    <cellStyle name="Input Percent [2]" xfId="577" xr:uid="{00000000-0005-0000-0000-00002B020000}"/>
    <cellStyle name="Input Percent_Trading " xfId="578" xr:uid="{00000000-0005-0000-0000-00002C020000}"/>
    <cellStyle name="Input Titles" xfId="579" xr:uid="{00000000-0005-0000-0000-00002D020000}"/>
    <cellStyle name="InputBlueFont_Valuation " xfId="580" xr:uid="{00000000-0005-0000-0000-00002E020000}"/>
    <cellStyle name="InputCurrency" xfId="581" xr:uid="{00000000-0005-0000-0000-00002F020000}"/>
    <cellStyle name="InputCurrency2" xfId="582" xr:uid="{00000000-0005-0000-0000-000030020000}"/>
    <cellStyle name="InputMultiple1" xfId="583" xr:uid="{00000000-0005-0000-0000-000031020000}"/>
    <cellStyle name="InputPercent1" xfId="584" xr:uid="{00000000-0005-0000-0000-000032020000}"/>
    <cellStyle name="Integer" xfId="585" xr:uid="{00000000-0005-0000-0000-000033020000}"/>
    <cellStyle name="IS Summary" xfId="586" xr:uid="{00000000-0005-0000-0000-000034020000}"/>
    <cellStyle name="Italic" xfId="587" xr:uid="{00000000-0005-0000-0000-000035020000}"/>
    <cellStyle name="Item" xfId="588" xr:uid="{00000000-0005-0000-0000-000036020000}"/>
    <cellStyle name="ItemTypeClass" xfId="589" xr:uid="{00000000-0005-0000-0000-000037020000}"/>
    <cellStyle name="Komma_Invoice voorbladen Binck" xfId="590" xr:uid="{00000000-0005-0000-0000-000038020000}"/>
    <cellStyle name="KP_Normal" xfId="591" xr:uid="{00000000-0005-0000-0000-000039020000}"/>
    <cellStyle name="last line" xfId="592" xr:uid="{00000000-0005-0000-0000-00003A020000}"/>
    <cellStyle name="LEVERS69" xfId="31" xr:uid="{00000000-0005-0000-0000-00003B020000}"/>
    <cellStyle name="LineItemPrompt" xfId="593" xr:uid="{00000000-0005-0000-0000-00003C020000}"/>
    <cellStyle name="LineItemValue" xfId="594" xr:uid="{00000000-0005-0000-0000-00003D020000}"/>
    <cellStyle name="LineNum w/ Border" xfId="595" xr:uid="{00000000-0005-0000-0000-00003E020000}"/>
    <cellStyle name="LineNumbers" xfId="596" xr:uid="{00000000-0005-0000-0000-00003F020000}"/>
    <cellStyle name="LineNumbersFirstColumn" xfId="597" xr:uid="{00000000-0005-0000-0000-000040020000}"/>
    <cellStyle name="Link Currency (0)" xfId="598" xr:uid="{00000000-0005-0000-0000-000041020000}"/>
    <cellStyle name="Link Currency (2)" xfId="599" xr:uid="{00000000-0005-0000-0000-000042020000}"/>
    <cellStyle name="Link Units (0)" xfId="600" xr:uid="{00000000-0005-0000-0000-000043020000}"/>
    <cellStyle name="Link Units (1)" xfId="601" xr:uid="{00000000-0005-0000-0000-000044020000}"/>
    <cellStyle name="Link Units (2)" xfId="602" xr:uid="{00000000-0005-0000-0000-000045020000}"/>
    <cellStyle name="Linked Cell 2" xfId="603" xr:uid="{00000000-0005-0000-0000-000046020000}"/>
    <cellStyle name="Linked Cells" xfId="604" xr:uid="{00000000-0005-0000-0000-000047020000}"/>
    <cellStyle name="Linked-Sheet" xfId="605" xr:uid="{00000000-0005-0000-0000-000048020000}"/>
    <cellStyle name="Linked-WB" xfId="606" xr:uid="{00000000-0005-0000-0000-000049020000}"/>
    <cellStyle name="m/d/yy" xfId="607" xr:uid="{00000000-0005-0000-0000-00004A020000}"/>
    <cellStyle name="Magic" xfId="608" xr:uid="{00000000-0005-0000-0000-00004B020000}"/>
    <cellStyle name="Margins" xfId="609" xr:uid="{00000000-0005-0000-0000-00004C020000}"/>
    <cellStyle name="Middle" xfId="610" xr:uid="{00000000-0005-0000-0000-00004D020000}"/>
    <cellStyle name="Mifrog" xfId="611" xr:uid="{00000000-0005-0000-0000-00004E020000}"/>
    <cellStyle name="Milliers [0]_!!!GO" xfId="612" xr:uid="{00000000-0005-0000-0000-00004F020000}"/>
    <cellStyle name="Milliers_!!!GO" xfId="613" xr:uid="{00000000-0005-0000-0000-000050020000}"/>
    <cellStyle name="Millions" xfId="614" xr:uid="{00000000-0005-0000-0000-000051020000}"/>
    <cellStyle name="mkt.dat" xfId="615" xr:uid="{00000000-0005-0000-0000-000052020000}"/>
    <cellStyle name="Model" xfId="616" xr:uid="{00000000-0005-0000-0000-000053020000}"/>
    <cellStyle name="Models" xfId="617" xr:uid="{00000000-0005-0000-0000-000054020000}"/>
    <cellStyle name="Monétaire [0]_!!!GO" xfId="618" xr:uid="{00000000-0005-0000-0000-000055020000}"/>
    <cellStyle name="Monétaire_!!!GO" xfId="619" xr:uid="{00000000-0005-0000-0000-000056020000}"/>
    <cellStyle name="Multiple" xfId="620" xr:uid="{00000000-0005-0000-0000-000057020000}"/>
    <cellStyle name="Multiple1" xfId="621" xr:uid="{00000000-0005-0000-0000-000058020000}"/>
    <cellStyle name="NA is zero" xfId="622" xr:uid="{00000000-0005-0000-0000-000059020000}"/>
    <cellStyle name="Neutral 2" xfId="623" xr:uid="{00000000-0005-0000-0000-00005A020000}"/>
    <cellStyle name="New Times Roman" xfId="624" xr:uid="{00000000-0005-0000-0000-00005B020000}"/>
    <cellStyle name="No Border" xfId="625" xr:uid="{00000000-0005-0000-0000-00005C020000}"/>
    <cellStyle name="no dec" xfId="626" xr:uid="{00000000-0005-0000-0000-00005D020000}"/>
    <cellStyle name="NOI" xfId="627" xr:uid="{00000000-0005-0000-0000-00005E020000}"/>
    <cellStyle name="Normal" xfId="0" builtinId="0"/>
    <cellStyle name="Normal--" xfId="628" xr:uid="{00000000-0005-0000-0000-000060020000}"/>
    <cellStyle name="Normal - Style1" xfId="629" xr:uid="{00000000-0005-0000-0000-000061020000}"/>
    <cellStyle name="Normal - Style8" xfId="630" xr:uid="{00000000-0005-0000-0000-000062020000}"/>
    <cellStyle name="Normal [0]" xfId="631" xr:uid="{00000000-0005-0000-0000-000063020000}"/>
    <cellStyle name="Normal [1]" xfId="632" xr:uid="{00000000-0005-0000-0000-000064020000}"/>
    <cellStyle name="Normal [2]" xfId="633" xr:uid="{00000000-0005-0000-0000-000065020000}"/>
    <cellStyle name="Normal [3]" xfId="634" xr:uid="{00000000-0005-0000-0000-000066020000}"/>
    <cellStyle name="Normal 10" xfId="635" xr:uid="{00000000-0005-0000-0000-000067020000}"/>
    <cellStyle name="Normal 11" xfId="904" xr:uid="{00000000-0005-0000-0000-000068020000}"/>
    <cellStyle name="Normal 12" xfId="906" xr:uid="{00000000-0005-0000-0000-000069020000}"/>
    <cellStyle name="Normal 13" xfId="910" xr:uid="{00000000-0005-0000-0000-00006A020000}"/>
    <cellStyle name="Normal 2" xfId="17" xr:uid="{00000000-0005-0000-0000-00006B020000}"/>
    <cellStyle name="Normal 2 2" xfId="8" xr:uid="{00000000-0005-0000-0000-00006C020000}"/>
    <cellStyle name="Normal 2 58" xfId="636" xr:uid="{00000000-0005-0000-0000-00006D020000}"/>
    <cellStyle name="Normal 3" xfId="9" xr:uid="{00000000-0005-0000-0000-00006E020000}"/>
    <cellStyle name="Normal 38 38" xfId="637" xr:uid="{00000000-0005-0000-0000-00006F020000}"/>
    <cellStyle name="Normal 4" xfId="19" xr:uid="{00000000-0005-0000-0000-000070020000}"/>
    <cellStyle name="Normal 5" xfId="21" xr:uid="{00000000-0005-0000-0000-000071020000}"/>
    <cellStyle name="Normal 6" xfId="41" xr:uid="{00000000-0005-0000-0000-000072020000}"/>
    <cellStyle name="Normal 7" xfId="638" xr:uid="{00000000-0005-0000-0000-000073020000}"/>
    <cellStyle name="Normal 8" xfId="639" xr:uid="{00000000-0005-0000-0000-000074020000}"/>
    <cellStyle name="Normal 9" xfId="640" xr:uid="{00000000-0005-0000-0000-000075020000}"/>
    <cellStyle name="Normal Bold" xfId="641" xr:uid="{00000000-0005-0000-0000-000076020000}"/>
    <cellStyle name="Normal Pct" xfId="642" xr:uid="{00000000-0005-0000-0000-000077020000}"/>
    <cellStyle name="Normal--_ARM Roof_Val v7" xfId="643" xr:uid="{00000000-0005-0000-0000-000079020000}"/>
    <cellStyle name="Normal2" xfId="644" xr:uid="{00000000-0005-0000-0000-00007B020000}"/>
    <cellStyle name="NormalBold" xfId="645" xr:uid="{00000000-0005-0000-0000-00007C020000}"/>
    <cellStyle name="NormalMultiple" xfId="646" xr:uid="{00000000-0005-0000-0000-00007D020000}"/>
    <cellStyle name="Normalx" xfId="647" xr:uid="{00000000-0005-0000-0000-00007E020000}"/>
    <cellStyle name="NormalxShadow" xfId="648" xr:uid="{00000000-0005-0000-0000-00007F020000}"/>
    <cellStyle name="Note 2" xfId="649" xr:uid="{00000000-0005-0000-0000-000080020000}"/>
    <cellStyle name="nozeros" xfId="650" xr:uid="{00000000-0005-0000-0000-000081020000}"/>
    <cellStyle name="nozeros(1)" xfId="651" xr:uid="{00000000-0005-0000-0000-000082020000}"/>
    <cellStyle name="nozeros(2)" xfId="652" xr:uid="{00000000-0005-0000-0000-000083020000}"/>
    <cellStyle name="nozeros_2003 OpRecon" xfId="653" xr:uid="{00000000-0005-0000-0000-000084020000}"/>
    <cellStyle name="NPPESalesPct" xfId="654" xr:uid="{00000000-0005-0000-0000-000085020000}"/>
    <cellStyle name="num,nodecpts" xfId="655" xr:uid="{00000000-0005-0000-0000-000086020000}"/>
    <cellStyle name="Number" xfId="656" xr:uid="{00000000-0005-0000-0000-000087020000}"/>
    <cellStyle name="Numbers" xfId="657" xr:uid="{00000000-0005-0000-0000-000088020000}"/>
    <cellStyle name="Numbers - Bold" xfId="658" xr:uid="{00000000-0005-0000-0000-000089020000}"/>
    <cellStyle name="Numbers_ATMN7" xfId="659" xr:uid="{00000000-0005-0000-0000-00008A020000}"/>
    <cellStyle name="nVision" xfId="660" xr:uid="{00000000-0005-0000-0000-00008B020000}"/>
    <cellStyle name="NWI%S" xfId="661" xr:uid="{00000000-0005-0000-0000-00008C020000}"/>
    <cellStyle name="Œ…‹æØ‚è [0.00]_!!!GO" xfId="662" xr:uid="{00000000-0005-0000-0000-00008D020000}"/>
    <cellStyle name="Œ…‹æØ‚è_!!!GO" xfId="663" xr:uid="{00000000-0005-0000-0000-00008E020000}"/>
    <cellStyle name="OSW_TableText" xfId="664" xr:uid="{00000000-0005-0000-0000-00008F020000}"/>
    <cellStyle name="outh America" xfId="665" xr:uid="{00000000-0005-0000-0000-000090020000}"/>
    <cellStyle name="Output 2" xfId="666" xr:uid="{00000000-0005-0000-0000-000091020000}"/>
    <cellStyle name="Output Amounts" xfId="667" xr:uid="{00000000-0005-0000-0000-000092020000}"/>
    <cellStyle name="Output Column Headings" xfId="668" xr:uid="{00000000-0005-0000-0000-000093020000}"/>
    <cellStyle name="Output Line Items" xfId="669" xr:uid="{00000000-0005-0000-0000-000094020000}"/>
    <cellStyle name="Output Report Heading" xfId="670" xr:uid="{00000000-0005-0000-0000-000095020000}"/>
    <cellStyle name="Output Report Title" xfId="671" xr:uid="{00000000-0005-0000-0000-000096020000}"/>
    <cellStyle name="OutputPlain" xfId="672" xr:uid="{00000000-0005-0000-0000-000097020000}"/>
    <cellStyle name="Page Number" xfId="673" xr:uid="{00000000-0005-0000-0000-000098020000}"/>
    <cellStyle name="pc1" xfId="674" xr:uid="{00000000-0005-0000-0000-000099020000}"/>
    <cellStyle name="Pec (2dec,fs)" xfId="675" xr:uid="{00000000-0005-0000-0000-00009A020000}"/>
    <cellStyle name="per.style" xfId="676" xr:uid="{00000000-0005-0000-0000-00009B020000}"/>
    <cellStyle name="Percent (0)" xfId="677" xr:uid="{00000000-0005-0000-0000-00009D020000}"/>
    <cellStyle name="Percent [0]" xfId="678" xr:uid="{00000000-0005-0000-0000-00009E020000}"/>
    <cellStyle name="Percent [00]" xfId="679" xr:uid="{00000000-0005-0000-0000-00009F020000}"/>
    <cellStyle name="Percent [1]" xfId="680" xr:uid="{00000000-0005-0000-0000-0000A0020000}"/>
    <cellStyle name="Percent [1] --" xfId="681" xr:uid="{00000000-0005-0000-0000-0000A1020000}"/>
    <cellStyle name="Percent [1]_~6435875" xfId="682" xr:uid="{00000000-0005-0000-0000-0000A2020000}"/>
    <cellStyle name="Percent [2]" xfId="683" xr:uid="{00000000-0005-0000-0000-0000A3020000}"/>
    <cellStyle name="Percent [3]" xfId="684" xr:uid="{00000000-0005-0000-0000-0000A4020000}"/>
    <cellStyle name="Percent [3]--" xfId="685" xr:uid="{00000000-0005-0000-0000-0000A5020000}"/>
    <cellStyle name="Percent [3]_ARM Roof_Val v7" xfId="686" xr:uid="{00000000-0005-0000-0000-0000A6020000}"/>
    <cellStyle name="Percent [3]--_ARM Roof_Val v7" xfId="687" xr:uid="{00000000-0005-0000-0000-0000A7020000}"/>
    <cellStyle name="percent 1 decimal" xfId="688" xr:uid="{00000000-0005-0000-0000-0000A8020000}"/>
    <cellStyle name="Percent 10" xfId="912" xr:uid="{00000000-0005-0000-0000-0000A9020000}"/>
    <cellStyle name="Percent 2" xfId="10" xr:uid="{00000000-0005-0000-0000-0000AA020000}"/>
    <cellStyle name="Percent 2 2" xfId="11" xr:uid="{00000000-0005-0000-0000-0000AB020000}"/>
    <cellStyle name="Percent 2 3" xfId="12" xr:uid="{00000000-0005-0000-0000-0000AC020000}"/>
    <cellStyle name="Percent 2 4" xfId="18" xr:uid="{00000000-0005-0000-0000-0000AD020000}"/>
    <cellStyle name="percent 2 decimal" xfId="689" xr:uid="{00000000-0005-0000-0000-0000AE020000}"/>
    <cellStyle name="Percent 23" xfId="690" xr:uid="{00000000-0005-0000-0000-0000AF020000}"/>
    <cellStyle name="Percent 3" xfId="13" xr:uid="{00000000-0005-0000-0000-0000B0020000}"/>
    <cellStyle name="Percent 3 3" xfId="14" xr:uid="{00000000-0005-0000-0000-0000B1020000}"/>
    <cellStyle name="Percent 4" xfId="15" xr:uid="{00000000-0005-0000-0000-0000B2020000}"/>
    <cellStyle name="Percent 5" xfId="16" xr:uid="{00000000-0005-0000-0000-0000B3020000}"/>
    <cellStyle name="Percent 6" xfId="20" xr:uid="{00000000-0005-0000-0000-0000B4020000}"/>
    <cellStyle name="Percent 7" xfId="23" xr:uid="{00000000-0005-0000-0000-0000B5020000}"/>
    <cellStyle name="Percent 8" xfId="43" xr:uid="{00000000-0005-0000-0000-0000B6020000}"/>
    <cellStyle name="Percent 9" xfId="907" xr:uid="{00000000-0005-0000-0000-0000B7020000}"/>
    <cellStyle name="Percent Comma" xfId="691" xr:uid="{00000000-0005-0000-0000-0000B8020000}"/>
    <cellStyle name="Percent M*" xfId="692" xr:uid="{00000000-0005-0000-0000-0000B9020000}"/>
    <cellStyle name="percent no decimal" xfId="693" xr:uid="{00000000-0005-0000-0000-0000BA020000}"/>
    <cellStyle name="Percent[0]" xfId="694" xr:uid="{00000000-0005-0000-0000-0000BB020000}"/>
    <cellStyle name="Percent[2]" xfId="695" xr:uid="{00000000-0005-0000-0000-0000BC020000}"/>
    <cellStyle name="Percent1" xfId="696" xr:uid="{00000000-0005-0000-0000-0000BD020000}"/>
    <cellStyle name="Percent-1" xfId="697" xr:uid="{00000000-0005-0000-0000-0000BE020000}"/>
    <cellStyle name="Percent2" xfId="698" xr:uid="{00000000-0005-0000-0000-0000BF020000}"/>
    <cellStyle name="Percentage" xfId="699" xr:uid="{00000000-0005-0000-0000-0000C0020000}"/>
    <cellStyle name="PercentChange" xfId="700" xr:uid="{00000000-0005-0000-0000-0000C1020000}"/>
    <cellStyle name="PercentPresentation" xfId="701" xr:uid="{00000000-0005-0000-0000-0000C2020000}"/>
    <cellStyle name="PercentSales" xfId="702" xr:uid="{00000000-0005-0000-0000-0000C3020000}"/>
    <cellStyle name="phone" xfId="703" xr:uid="{00000000-0005-0000-0000-0000C4020000}"/>
    <cellStyle name="POPS" xfId="704" xr:uid="{00000000-0005-0000-0000-0000C5020000}"/>
    <cellStyle name="PrePop Currency (0)" xfId="705" xr:uid="{00000000-0005-0000-0000-0000C6020000}"/>
    <cellStyle name="PrePop Currency (2)" xfId="706" xr:uid="{00000000-0005-0000-0000-0000C7020000}"/>
    <cellStyle name="PrePop Units (0)" xfId="707" xr:uid="{00000000-0005-0000-0000-0000C8020000}"/>
    <cellStyle name="PrePop Units (1)" xfId="708" xr:uid="{00000000-0005-0000-0000-0000C9020000}"/>
    <cellStyle name="PrePop Units (2)" xfId="709" xr:uid="{00000000-0005-0000-0000-0000CA020000}"/>
    <cellStyle name="Presentation" xfId="710" xr:uid="{00000000-0005-0000-0000-0000CB020000}"/>
    <cellStyle name="PresentationZero" xfId="711" xr:uid="{00000000-0005-0000-0000-0000CC020000}"/>
    <cellStyle name="PRICE" xfId="712" xr:uid="{00000000-0005-0000-0000-0000CD020000}"/>
    <cellStyle name="pricing" xfId="713" xr:uid="{00000000-0005-0000-0000-0000CE020000}"/>
    <cellStyle name="Proj" xfId="714" xr:uid="{00000000-0005-0000-0000-0000CF020000}"/>
    <cellStyle name="PSChar" xfId="715" xr:uid="{00000000-0005-0000-0000-0000D0020000}"/>
    <cellStyle name="PSDate" xfId="716" xr:uid="{00000000-0005-0000-0000-0000D1020000}"/>
    <cellStyle name="PSDec" xfId="717" xr:uid="{00000000-0005-0000-0000-0000D2020000}"/>
    <cellStyle name="PSHeading" xfId="718" xr:uid="{00000000-0005-0000-0000-0000D3020000}"/>
    <cellStyle name="PSInt" xfId="719" xr:uid="{00000000-0005-0000-0000-0000D4020000}"/>
    <cellStyle name="PSSpacer" xfId="720" xr:uid="{00000000-0005-0000-0000-0000D5020000}"/>
    <cellStyle name="Question" xfId="721" xr:uid="{00000000-0005-0000-0000-0000D6020000}"/>
    <cellStyle name="r" xfId="722" xr:uid="{00000000-0005-0000-0000-0000D7020000}"/>
    <cellStyle name="rate" xfId="723" xr:uid="{00000000-0005-0000-0000-0000D8020000}"/>
    <cellStyle name="Ratio" xfId="724" xr:uid="{00000000-0005-0000-0000-0000D9020000}"/>
    <cellStyle name="Ratio Comma" xfId="725" xr:uid="{00000000-0005-0000-0000-0000DA020000}"/>
    <cellStyle name="Ratio_ARM Roof_Val v7" xfId="726" xr:uid="{00000000-0005-0000-0000-0000DB020000}"/>
    <cellStyle name="Ratios" xfId="727" xr:uid="{00000000-0005-0000-0000-0000DC020000}"/>
    <cellStyle name="RatioX" xfId="728" xr:uid="{00000000-0005-0000-0000-0000DD020000}"/>
    <cellStyle name="Red font" xfId="729" xr:uid="{00000000-0005-0000-0000-0000DE020000}"/>
    <cellStyle name="REG" xfId="730" xr:uid="{00000000-0005-0000-0000-0000DF020000}"/>
    <cellStyle name="ReportTitlePrompt" xfId="731" xr:uid="{00000000-0005-0000-0000-0000E0020000}"/>
    <cellStyle name="ReportTitleValue" xfId="732" xr:uid="{00000000-0005-0000-0000-0000E1020000}"/>
    <cellStyle name="RevList" xfId="733" xr:uid="{00000000-0005-0000-0000-0000E2020000}"/>
    <cellStyle name="Right" xfId="734" xr:uid="{00000000-0005-0000-0000-0000E3020000}"/>
    <cellStyle name="Role" xfId="735" xr:uid="{00000000-0005-0000-0000-0000E4020000}"/>
    <cellStyle name="RoundingPrecision" xfId="736" xr:uid="{00000000-0005-0000-0000-0000E5020000}"/>
    <cellStyle name="RowAcctAbovePrompt" xfId="737" xr:uid="{00000000-0005-0000-0000-0000E6020000}"/>
    <cellStyle name="RowAcctSOBAbovePrompt" xfId="738" xr:uid="{00000000-0005-0000-0000-0000E7020000}"/>
    <cellStyle name="RowAcctSOBValue" xfId="739" xr:uid="{00000000-0005-0000-0000-0000E8020000}"/>
    <cellStyle name="RowAcctValue" xfId="740" xr:uid="{00000000-0005-0000-0000-0000E9020000}"/>
    <cellStyle name="RowAttrAbovePrompt" xfId="741" xr:uid="{00000000-0005-0000-0000-0000EA020000}"/>
    <cellStyle name="RowAttrValue" xfId="742" xr:uid="{00000000-0005-0000-0000-0000EB020000}"/>
    <cellStyle name="RowColSetAbovePrompt" xfId="743" xr:uid="{00000000-0005-0000-0000-0000EC020000}"/>
    <cellStyle name="RowColSetLeftPrompt" xfId="744" xr:uid="{00000000-0005-0000-0000-0000ED020000}"/>
    <cellStyle name="RowColSetValue" xfId="745" xr:uid="{00000000-0005-0000-0000-0000EE020000}"/>
    <cellStyle name="RowLeftPrompt" xfId="746" xr:uid="{00000000-0005-0000-0000-0000EF020000}"/>
    <cellStyle name="s_Valuation " xfId="747" xr:uid="{00000000-0005-0000-0000-0000F0020000}"/>
    <cellStyle name="s_Valuation _Delinquency Data" xfId="748" xr:uid="{00000000-0005-0000-0000-0000F1020000}"/>
    <cellStyle name="s_Valuation _Monthly Metrics" xfId="749" xr:uid="{00000000-0005-0000-0000-0000F2020000}"/>
    <cellStyle name="s_Valuation _Monthly Metrics - Trading and I" xfId="750" xr:uid="{00000000-0005-0000-0000-0000F3020000}"/>
    <cellStyle name="s_Valuation _Monthly Metrics_BSM Support" xfId="751" xr:uid="{00000000-0005-0000-0000-0000F4020000}"/>
    <cellStyle name="SampleUsingFormatMask" xfId="752" xr:uid="{00000000-0005-0000-0000-0000F5020000}"/>
    <cellStyle name="SampleWithNoFormatMask" xfId="753" xr:uid="{00000000-0005-0000-0000-0000F6020000}"/>
    <cellStyle name="SAPBEXaggData" xfId="754" xr:uid="{00000000-0005-0000-0000-0000F7020000}"/>
    <cellStyle name="SAPBEXaggDataEmph" xfId="755" xr:uid="{00000000-0005-0000-0000-0000F8020000}"/>
    <cellStyle name="SAPBEXaggItem" xfId="756" xr:uid="{00000000-0005-0000-0000-0000F9020000}"/>
    <cellStyle name="SAPBEXchaText" xfId="757" xr:uid="{00000000-0005-0000-0000-0000FA020000}"/>
    <cellStyle name="SAPBEXexcBad7" xfId="758" xr:uid="{00000000-0005-0000-0000-0000FB020000}"/>
    <cellStyle name="SAPBEXexcBad8" xfId="759" xr:uid="{00000000-0005-0000-0000-0000FC020000}"/>
    <cellStyle name="SAPBEXexcBad9" xfId="760" xr:uid="{00000000-0005-0000-0000-0000FD020000}"/>
    <cellStyle name="SAPBEXexcCritical4" xfId="761" xr:uid="{00000000-0005-0000-0000-0000FE020000}"/>
    <cellStyle name="SAPBEXexcCritical5" xfId="762" xr:uid="{00000000-0005-0000-0000-0000FF020000}"/>
    <cellStyle name="SAPBEXexcCritical6" xfId="763" xr:uid="{00000000-0005-0000-0000-000000030000}"/>
    <cellStyle name="SAPBEXexcGood1" xfId="764" xr:uid="{00000000-0005-0000-0000-000001030000}"/>
    <cellStyle name="SAPBEXexcGood2" xfId="765" xr:uid="{00000000-0005-0000-0000-000002030000}"/>
    <cellStyle name="SAPBEXexcGood3" xfId="766" xr:uid="{00000000-0005-0000-0000-000003030000}"/>
    <cellStyle name="SAPBEXfilterDrill" xfId="767" xr:uid="{00000000-0005-0000-0000-000004030000}"/>
    <cellStyle name="SAPBEXfilterItem" xfId="768" xr:uid="{00000000-0005-0000-0000-000005030000}"/>
    <cellStyle name="SAPBEXfilterText" xfId="769" xr:uid="{00000000-0005-0000-0000-000006030000}"/>
    <cellStyle name="SAPBEXformats" xfId="770" xr:uid="{00000000-0005-0000-0000-000007030000}"/>
    <cellStyle name="SAPBEXheaderItem" xfId="771" xr:uid="{00000000-0005-0000-0000-000008030000}"/>
    <cellStyle name="SAPBEXheaderText" xfId="772" xr:uid="{00000000-0005-0000-0000-000009030000}"/>
    <cellStyle name="SAPBEXresData" xfId="773" xr:uid="{00000000-0005-0000-0000-00000A030000}"/>
    <cellStyle name="SAPBEXresDataEmph" xfId="774" xr:uid="{00000000-0005-0000-0000-00000B030000}"/>
    <cellStyle name="SAPBEXresItem" xfId="775" xr:uid="{00000000-0005-0000-0000-00000C030000}"/>
    <cellStyle name="SAPBEXstdData" xfId="776" xr:uid="{00000000-0005-0000-0000-00000D030000}"/>
    <cellStyle name="SAPBEXstdDataEmph" xfId="777" xr:uid="{00000000-0005-0000-0000-00000E030000}"/>
    <cellStyle name="SAPBEXstdItem" xfId="778" xr:uid="{00000000-0005-0000-0000-00000F030000}"/>
    <cellStyle name="SAPBEXtitle" xfId="779" xr:uid="{00000000-0005-0000-0000-000010030000}"/>
    <cellStyle name="SAPBEXundefined" xfId="780" xr:uid="{00000000-0005-0000-0000-000011030000}"/>
    <cellStyle name="ScripFactor" xfId="781" xr:uid="{00000000-0005-0000-0000-000012030000}"/>
    <cellStyle name="Section" xfId="782" xr:uid="{00000000-0005-0000-0000-000013030000}"/>
    <cellStyle name="SectionHeading" xfId="783" xr:uid="{00000000-0005-0000-0000-000014030000}"/>
    <cellStyle name="shaded" xfId="784" xr:uid="{00000000-0005-0000-0000-000015030000}"/>
    <cellStyle name="shaded - Style3" xfId="785" xr:uid="{00000000-0005-0000-0000-000016030000}"/>
    <cellStyle name="shaded - Style7" xfId="786" xr:uid="{00000000-0005-0000-0000-000017030000}"/>
    <cellStyle name="Shares" xfId="787" xr:uid="{00000000-0005-0000-0000-000018030000}"/>
    <cellStyle name="Singl%" xfId="788" xr:uid="{00000000-0005-0000-0000-000019030000}"/>
    <cellStyle name="Single Accounting" xfId="789" xr:uid="{00000000-0005-0000-0000-00001A030000}"/>
    <cellStyle name="SPEC" xfId="790" xr:uid="{00000000-0005-0000-0000-00001B030000}"/>
    <cellStyle name="ssp " xfId="791" xr:uid="{00000000-0005-0000-0000-00001C030000}"/>
    <cellStyle name="STANDARD" xfId="792" xr:uid="{00000000-0005-0000-0000-00001D030000}"/>
    <cellStyle name="Stock Comma" xfId="793" xr:uid="{00000000-0005-0000-0000-00001E030000}"/>
    <cellStyle name="Stock Price" xfId="794" xr:uid="{00000000-0005-0000-0000-00001F030000}"/>
    <cellStyle name="Strange" xfId="795" xr:uid="{00000000-0005-0000-0000-000020030000}"/>
    <cellStyle name="Style 1" xfId="796" xr:uid="{00000000-0005-0000-0000-000021030000}"/>
    <cellStyle name="Style 2" xfId="797" xr:uid="{00000000-0005-0000-0000-000022030000}"/>
    <cellStyle name="Style 26" xfId="32" xr:uid="{00000000-0005-0000-0000-000023030000}"/>
    <cellStyle name="Style 27" xfId="798" xr:uid="{00000000-0005-0000-0000-000024030000}"/>
    <cellStyle name="Style 29" xfId="799" xr:uid="{00000000-0005-0000-0000-000025030000}"/>
    <cellStyle name="Style 3" xfId="800" xr:uid="{00000000-0005-0000-0000-000026030000}"/>
    <cellStyle name="Style 34" xfId="33" xr:uid="{00000000-0005-0000-0000-000027030000}"/>
    <cellStyle name="Style 35" xfId="34" xr:uid="{00000000-0005-0000-0000-000028030000}"/>
    <cellStyle name="Style 36" xfId="801" xr:uid="{00000000-0005-0000-0000-000029030000}"/>
    <cellStyle name="Style 4" xfId="802" xr:uid="{00000000-0005-0000-0000-00002A030000}"/>
    <cellStyle name="STYLE1" xfId="803" xr:uid="{00000000-0005-0000-0000-00002B030000}"/>
    <cellStyle name="STYLE2" xfId="804" xr:uid="{00000000-0005-0000-0000-00002C030000}"/>
    <cellStyle name="STYLE3" xfId="805" xr:uid="{00000000-0005-0000-0000-00002D030000}"/>
    <cellStyle name="STYLE4" xfId="806" xr:uid="{00000000-0005-0000-0000-00002E030000}"/>
    <cellStyle name="STYLE5" xfId="807" xr:uid="{00000000-0005-0000-0000-00002F030000}"/>
    <cellStyle name="STYLE6" xfId="808" xr:uid="{00000000-0005-0000-0000-000030030000}"/>
    <cellStyle name="STYLE7" xfId="809" xr:uid="{00000000-0005-0000-0000-000031030000}"/>
    <cellStyle name="subhead" xfId="810" xr:uid="{00000000-0005-0000-0000-000032030000}"/>
    <cellStyle name="Subtotal" xfId="811" xr:uid="{00000000-0005-0000-0000-000033030000}"/>
    <cellStyle name="SymbolBlue" xfId="35" xr:uid="{00000000-0005-0000-0000-000034030000}"/>
    <cellStyle name="Table Head" xfId="812" xr:uid="{00000000-0005-0000-0000-000035030000}"/>
    <cellStyle name="Table Head Aligned" xfId="813" xr:uid="{00000000-0005-0000-0000-000036030000}"/>
    <cellStyle name="Table Head Blue" xfId="814" xr:uid="{00000000-0005-0000-0000-000037030000}"/>
    <cellStyle name="Table Head Green" xfId="815" xr:uid="{00000000-0005-0000-0000-000038030000}"/>
    <cellStyle name="Table Head_0001SCF0(1)" xfId="816" xr:uid="{00000000-0005-0000-0000-000039030000}"/>
    <cellStyle name="Table Text" xfId="817" xr:uid="{00000000-0005-0000-0000-00003A030000}"/>
    <cellStyle name="Table Title" xfId="818" xr:uid="{00000000-0005-0000-0000-00003B030000}"/>
    <cellStyle name="Table Units" xfId="819" xr:uid="{00000000-0005-0000-0000-00003C030000}"/>
    <cellStyle name="Table_Header" xfId="820" xr:uid="{00000000-0005-0000-0000-00003D030000}"/>
    <cellStyle name="TableBody" xfId="821" xr:uid="{00000000-0005-0000-0000-00003E030000}"/>
    <cellStyle name="Table-Body" xfId="822" xr:uid="{00000000-0005-0000-0000-00003F030000}"/>
    <cellStyle name="TableBodyR" xfId="823" xr:uid="{00000000-0005-0000-0000-000040030000}"/>
    <cellStyle name="TableColHeads" xfId="824" xr:uid="{00000000-0005-0000-0000-000041030000}"/>
    <cellStyle name="Table-Headings" xfId="825" xr:uid="{00000000-0005-0000-0000-000042030000}"/>
    <cellStyle name="TableName" xfId="826" xr:uid="{00000000-0005-0000-0000-000043030000}"/>
    <cellStyle name="TABLET - Style3" xfId="827" xr:uid="{00000000-0005-0000-0000-000044030000}"/>
    <cellStyle name="Tag" xfId="828" xr:uid="{00000000-0005-0000-0000-000045030000}"/>
    <cellStyle name="Test" xfId="829" xr:uid="{00000000-0005-0000-0000-000046030000}"/>
    <cellStyle name="Test [green]" xfId="830" xr:uid="{00000000-0005-0000-0000-000047030000}"/>
    <cellStyle name="TEXT" xfId="831" xr:uid="{00000000-0005-0000-0000-000048030000}"/>
    <cellStyle name="Text Head" xfId="832" xr:uid="{00000000-0005-0000-0000-000049030000}"/>
    <cellStyle name="Text Indent A" xfId="833" xr:uid="{00000000-0005-0000-0000-00004A030000}"/>
    <cellStyle name="Text Indent B" xfId="834" xr:uid="{00000000-0005-0000-0000-00004B030000}"/>
    <cellStyle name="Text Indent C" xfId="835" xr:uid="{00000000-0005-0000-0000-00004C030000}"/>
    <cellStyle name="Text-fin statements" xfId="836" xr:uid="{00000000-0005-0000-0000-00004D030000}"/>
    <cellStyle name="TFCF" xfId="837" xr:uid="{00000000-0005-0000-0000-00004E030000}"/>
    <cellStyle name="þ´Ì_x0010__x000c__x0010__x0009_à_x000c__x0003__x0009_ß_x0007_ÜÉ_x0009__x0007__x0001__x0001_" xfId="838" xr:uid="{00000000-0005-0000-0000-00004F030000}"/>
    <cellStyle name="þ_x001d_ð7_x000c_îþ_x0017__x000d_àþV_x0001_?_x0011_#S_x0007__x0001__x0001_" xfId="839" xr:uid="{00000000-0005-0000-0000-000050030000}"/>
    <cellStyle name="THICKL - Style4" xfId="840" xr:uid="{00000000-0005-0000-0000-000051030000}"/>
    <cellStyle name="Thousands" xfId="841" xr:uid="{00000000-0005-0000-0000-000052030000}"/>
    <cellStyle name="threedecplace" xfId="36" xr:uid="{00000000-0005-0000-0000-000053030000}"/>
    <cellStyle name="Tickmark" xfId="842" xr:uid="{00000000-0005-0000-0000-000054030000}"/>
    <cellStyle name="Times [0]" xfId="843" xr:uid="{00000000-0005-0000-0000-000055030000}"/>
    <cellStyle name="Times [1]" xfId="844" xr:uid="{00000000-0005-0000-0000-000056030000}"/>
    <cellStyle name="Times [2]" xfId="845" xr:uid="{00000000-0005-0000-0000-000057030000}"/>
    <cellStyle name="Times 10" xfId="846" xr:uid="{00000000-0005-0000-0000-000058030000}"/>
    <cellStyle name="Times 12" xfId="847" xr:uid="{00000000-0005-0000-0000-000059030000}"/>
    <cellStyle name="Title - Underline" xfId="848" xr:uid="{00000000-0005-0000-0000-00005A030000}"/>
    <cellStyle name="Title 10" xfId="849" xr:uid="{00000000-0005-0000-0000-00005B030000}"/>
    <cellStyle name="Title 2" xfId="850" xr:uid="{00000000-0005-0000-0000-00005C030000}"/>
    <cellStyle name="Title 3" xfId="851" xr:uid="{00000000-0005-0000-0000-00005D030000}"/>
    <cellStyle name="Title 4" xfId="852" xr:uid="{00000000-0005-0000-0000-00005E030000}"/>
    <cellStyle name="Title 5" xfId="853" xr:uid="{00000000-0005-0000-0000-00005F030000}"/>
    <cellStyle name="Title 6" xfId="854" xr:uid="{00000000-0005-0000-0000-000060030000}"/>
    <cellStyle name="Title 7" xfId="855" xr:uid="{00000000-0005-0000-0000-000061030000}"/>
    <cellStyle name="Title 8" xfId="856" xr:uid="{00000000-0005-0000-0000-000062030000}"/>
    <cellStyle name="Title 9" xfId="857" xr:uid="{00000000-0005-0000-0000-000063030000}"/>
    <cellStyle name="title1" xfId="858" xr:uid="{00000000-0005-0000-0000-000064030000}"/>
    <cellStyle name="title2" xfId="859" xr:uid="{00000000-0005-0000-0000-000065030000}"/>
    <cellStyle name="Title-2" xfId="860" xr:uid="{00000000-0005-0000-0000-000066030000}"/>
    <cellStyle name="TitleII" xfId="861" xr:uid="{00000000-0005-0000-0000-000067030000}"/>
    <cellStyle name="Titles" xfId="862" xr:uid="{00000000-0005-0000-0000-000068030000}"/>
    <cellStyle name="Titles - Col. Headings" xfId="863" xr:uid="{00000000-0005-0000-0000-000069030000}"/>
    <cellStyle name="Titles - Other" xfId="864" xr:uid="{00000000-0005-0000-0000-00006A030000}"/>
    <cellStyle name="Top Edge" xfId="865" xr:uid="{00000000-0005-0000-0000-00006B030000}"/>
    <cellStyle name="TopCaption" xfId="866" xr:uid="{00000000-0005-0000-0000-00006C030000}"/>
    <cellStyle name="Total 2" xfId="867" xr:uid="{00000000-0005-0000-0000-00006D030000}"/>
    <cellStyle name="Total Currency" xfId="868" xr:uid="{00000000-0005-0000-0000-00006E030000}"/>
    <cellStyle name="Total Normal" xfId="869" xr:uid="{00000000-0005-0000-0000-00006F030000}"/>
    <cellStyle name="total$" xfId="870" xr:uid="{00000000-0005-0000-0000-000070030000}"/>
    <cellStyle name="TotalCurrency" xfId="871" xr:uid="{00000000-0005-0000-0000-000071030000}"/>
    <cellStyle name="TotalNumbers" xfId="872" xr:uid="{00000000-0005-0000-0000-000072030000}"/>
    <cellStyle name="twodecplace" xfId="37" xr:uid="{00000000-0005-0000-0000-000073030000}"/>
    <cellStyle name="ubordinated Debt" xfId="873" xr:uid="{00000000-0005-0000-0000-000074030000}"/>
    <cellStyle name="underline 1 decimal" xfId="874" xr:uid="{00000000-0005-0000-0000-000075030000}"/>
    <cellStyle name="underline 2 decimals" xfId="875" xr:uid="{00000000-0005-0000-0000-000076030000}"/>
    <cellStyle name="underline flush left" xfId="876" xr:uid="{00000000-0005-0000-0000-000077030000}"/>
    <cellStyle name="underline no decimals" xfId="877" xr:uid="{00000000-0005-0000-0000-000078030000}"/>
    <cellStyle name="Underline_Double" xfId="878" xr:uid="{00000000-0005-0000-0000-000079030000}"/>
    <cellStyle name="underlineHeading" xfId="879" xr:uid="{00000000-0005-0000-0000-00007A030000}"/>
    <cellStyle name="UnderlineNormal" xfId="880" xr:uid="{00000000-0005-0000-0000-00007B030000}"/>
    <cellStyle name="Upload Only" xfId="881" xr:uid="{00000000-0005-0000-0000-00007C030000}"/>
    <cellStyle name="UploadThisRowValue" xfId="882" xr:uid="{00000000-0005-0000-0000-00007D030000}"/>
    <cellStyle name="ValCht - Style1" xfId="883" xr:uid="{00000000-0005-0000-0000-00007E030000}"/>
    <cellStyle name="Validation" xfId="884" xr:uid="{00000000-0005-0000-0000-00007F030000}"/>
    <cellStyle name="Währung [0]_7012" xfId="885" xr:uid="{00000000-0005-0000-0000-000080030000}"/>
    <cellStyle name="Währung_7012" xfId="886" xr:uid="{00000000-0005-0000-0000-000081030000}"/>
    <cellStyle name="Warning" xfId="887" xr:uid="{00000000-0005-0000-0000-000082030000}"/>
    <cellStyle name="Warning Text 2" xfId="888" xr:uid="{00000000-0005-0000-0000-000083030000}"/>
    <cellStyle name="weekly" xfId="889" xr:uid="{00000000-0005-0000-0000-000084030000}"/>
    <cellStyle name="White" xfId="890" xr:uid="{00000000-0005-0000-0000-000085030000}"/>
    <cellStyle name="WhiteCells" xfId="891" xr:uid="{00000000-0005-0000-0000-000086030000}"/>
    <cellStyle name="WholeNumber" xfId="892" xr:uid="{00000000-0005-0000-0000-000087030000}"/>
    <cellStyle name="WingDing" xfId="893" xr:uid="{00000000-0005-0000-0000-000088030000}"/>
    <cellStyle name="wingdings" xfId="894" xr:uid="{00000000-0005-0000-0000-000089030000}"/>
    <cellStyle name="WingdingsBlack" xfId="38" xr:uid="{00000000-0005-0000-0000-00008A030000}"/>
    <cellStyle name="WingdingsRed" xfId="39" xr:uid="{00000000-0005-0000-0000-00008B030000}"/>
    <cellStyle name="WingdingsWhite" xfId="40" xr:uid="{00000000-0005-0000-0000-00008C030000}"/>
    <cellStyle name="wingdins" xfId="895" xr:uid="{00000000-0005-0000-0000-00008D030000}"/>
    <cellStyle name="WrappedBold" xfId="896" xr:uid="{00000000-0005-0000-0000-00008E030000}"/>
    <cellStyle name="Year" xfId="897" xr:uid="{00000000-0005-0000-0000-00008F030000}"/>
    <cellStyle name="Year&quot;E&quot;" xfId="898" xr:uid="{00000000-0005-0000-0000-000090030000}"/>
    <cellStyle name="Year&quot;PF&quot;" xfId="899" xr:uid="{00000000-0005-0000-0000-000091030000}"/>
    <cellStyle name="Year_DCF" xfId="900" xr:uid="{00000000-0005-0000-0000-000092030000}"/>
    <cellStyle name="Yen" xfId="901" xr:uid="{00000000-0005-0000-0000-000093030000}"/>
    <cellStyle name="Zero" xfId="902" xr:uid="{00000000-0005-0000-0000-000094030000}"/>
    <cellStyle name="標準_Teaser(BrightonHotel)3" xfId="903" xr:uid="{00000000-0005-0000-0000-000095030000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Free Cash Flow per Share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Charts!$A$9</c:f>
              <c:strCache>
                <c:ptCount val="1"/>
                <c:pt idx="0">
                  <c:v>Free Cash Flow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Charts!$B$8:$L$8</c:f>
              <c:numCache>
                <c:formatCode>General</c:formatCode>
                <c:ptCount val="11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</c:numCache>
            </c:numRef>
          </c:cat>
          <c:val>
            <c:numRef>
              <c:f>Charts!$B$10:$L$10</c:f>
              <c:numCache>
                <c:formatCode>"$"#,##0.00_);\("$"#,##0.00\);\–_);"–"_)</c:formatCode>
                <c:ptCount val="11"/>
                <c:pt idx="0">
                  <c:v>0.3747957604162187</c:v>
                </c:pt>
                <c:pt idx="1">
                  <c:v>0.2425527786610899</c:v>
                </c:pt>
                <c:pt idx="2">
                  <c:v>0.56313948415725257</c:v>
                </c:pt>
                <c:pt idx="3">
                  <c:v>0.44945891604983629</c:v>
                </c:pt>
                <c:pt idx="4">
                  <c:v>0.73531410070837333</c:v>
                </c:pt>
                <c:pt idx="5">
                  <c:v>0.72662961982887886</c:v>
                </c:pt>
                <c:pt idx="6">
                  <c:v>1.1272845910410758</c:v>
                </c:pt>
                <c:pt idx="7">
                  <c:v>1.3303582298514731</c:v>
                </c:pt>
                <c:pt idx="8">
                  <c:v>0.53213490418474219</c:v>
                </c:pt>
                <c:pt idx="9">
                  <c:v>1.2709289034519546</c:v>
                </c:pt>
                <c:pt idx="10">
                  <c:v>1.4185725699067904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06-45AC-B05A-707603577B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0527608"/>
        <c:axId val="380525256"/>
      </c:barChart>
      <c:catAx>
        <c:axId val="380527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525256"/>
        <c:crosses val="autoZero"/>
        <c:auto val="1"/>
        <c:lblAlgn val="ctr"/>
        <c:lblOffset val="100"/>
        <c:noMultiLvlLbl val="0"/>
      </c:catAx>
      <c:valAx>
        <c:axId val="380525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\(&quot;$&quot;#,##0.00\);\–_);&quot;–&quot;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527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250265</xdr:colOff>
      <xdr:row>17</xdr:row>
      <xdr:rowOff>10458</xdr:rowOff>
    </xdr:from>
    <xdr:to>
      <xdr:col>8</xdr:col>
      <xdr:colOff>534147</xdr:colOff>
      <xdr:row>34</xdr:row>
      <xdr:rowOff>86658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ock%20Market\S&amp;P\S&amp;P%20estimat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mplate"/>
      <sheetName val="Ranges"/>
      <sheetName val="S&amp;P estimates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bloomberg.com/news/articles/2013-01-30/jana-buys-copart-shares-on-reit-conversion-catalyst-potential" TargetMode="External"/><Relationship Id="rId1" Type="http://schemas.openxmlformats.org/officeDocument/2006/relationships/hyperlink" Target="http://www.bloomberg.com/news/articles/2002-06-09/turning-rust-into-gold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I100"/>
  <sheetViews>
    <sheetView showGridLines="0" tabSelected="1" view="pageBreakPreview" zoomScaleNormal="85" zoomScaleSheetLayoutView="100" workbookViewId="0">
      <selection activeCell="B2" sqref="B2"/>
    </sheetView>
  </sheetViews>
  <sheetFormatPr defaultColWidth="9.140625" defaultRowHeight="12.75" outlineLevelCol="1"/>
  <cols>
    <col min="1" max="2" width="2.5703125" style="31" customWidth="1"/>
    <col min="3" max="3" width="22.140625" style="31" customWidth="1"/>
    <col min="4" max="5" width="9.5703125" style="31" customWidth="1"/>
    <col min="6" max="6" width="9.7109375" style="31" customWidth="1"/>
    <col min="7" max="7" width="9.28515625" style="31" customWidth="1"/>
    <col min="8" max="8" width="33.42578125" style="31" customWidth="1"/>
    <col min="9" max="13" width="9.5703125" style="32" customWidth="1"/>
    <col min="14" max="17" width="9.5703125" style="32" hidden="1" customWidth="1" outlineLevel="1"/>
    <col min="18" max="18" width="9.5703125" style="32" customWidth="1" collapsed="1"/>
    <col min="19" max="22" width="9.5703125" style="32" hidden="1" customWidth="1" outlineLevel="1"/>
    <col min="23" max="23" width="9.5703125" style="32" customWidth="1" collapsed="1"/>
    <col min="24" max="27" width="9.5703125" style="32" hidden="1" customWidth="1" outlineLevel="1"/>
    <col min="28" max="28" width="9.140625" style="32" customWidth="1" collapsed="1"/>
    <col min="29" max="30" width="9.140625" style="32" customWidth="1"/>
    <col min="31" max="31" width="13.85546875" style="32" customWidth="1"/>
    <col min="32" max="32" width="11.42578125" style="32" customWidth="1"/>
    <col min="33" max="35" width="9.140625" style="32"/>
    <col min="36" max="36" width="10.5703125" style="32" customWidth="1"/>
    <col min="37" max="37" width="9.140625" style="32"/>
    <col min="38" max="39" width="10.5703125" style="32" customWidth="1"/>
    <col min="40" max="42" width="9.140625" style="32"/>
    <col min="43" max="43" width="4.7109375" style="32" customWidth="1"/>
    <col min="44" max="44" width="9.140625" style="32"/>
    <col min="45" max="45" width="33.140625" style="32" customWidth="1"/>
    <col min="46" max="50" width="9.140625" style="32" hidden="1" customWidth="1" outlineLevel="1"/>
    <col min="51" max="51" width="9.140625" style="32" collapsed="1"/>
    <col min="52" max="55" width="9.140625" style="32" hidden="1" customWidth="1" outlineLevel="1"/>
    <col min="56" max="56" width="9.140625" style="32" collapsed="1"/>
    <col min="57" max="60" width="9.140625" style="32" hidden="1" customWidth="1" outlineLevel="1"/>
    <col min="61" max="61" width="9.140625" style="32" collapsed="1"/>
    <col min="62" max="16384" width="9.140625" style="32"/>
  </cols>
  <sheetData>
    <row r="1" spans="1:31">
      <c r="A1" s="27"/>
      <c r="B1" s="27"/>
      <c r="C1" s="27"/>
      <c r="D1" s="27"/>
      <c r="E1" s="27"/>
      <c r="F1" s="27"/>
      <c r="G1" s="27"/>
      <c r="H1" s="27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s="10" customFormat="1" ht="15" customHeight="1" thickBot="1">
      <c r="A2" s="9"/>
      <c r="B2" s="380" t="s">
        <v>65</v>
      </c>
      <c r="C2" s="381"/>
      <c r="D2" s="381"/>
      <c r="E2" s="381"/>
      <c r="F2" s="381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20"/>
      <c r="Y2" s="320"/>
      <c r="Z2" s="320"/>
      <c r="AA2" s="320"/>
      <c r="AB2" s="382"/>
      <c r="AC2" s="12"/>
    </row>
    <row r="3" spans="1:31" s="10" customFormat="1" ht="15" customHeight="1">
      <c r="A3" s="9"/>
      <c r="B3" s="321" t="s">
        <v>41</v>
      </c>
      <c r="C3" s="322"/>
      <c r="D3" s="322"/>
      <c r="E3" s="322"/>
      <c r="F3" s="322"/>
      <c r="G3" s="320"/>
      <c r="H3" s="323"/>
      <c r="I3" s="324"/>
      <c r="J3" s="324"/>
      <c r="K3" s="324"/>
      <c r="L3" s="324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5"/>
      <c r="X3" s="325"/>
      <c r="Y3" s="325"/>
      <c r="Z3" s="325"/>
      <c r="AA3" s="325"/>
      <c r="AB3" s="326"/>
    </row>
    <row r="4" spans="1:31" s="17" customFormat="1" ht="15" customHeight="1">
      <c r="A4" s="14"/>
      <c r="B4" s="327" t="s">
        <v>42</v>
      </c>
      <c r="C4" s="322"/>
      <c r="D4" s="322"/>
      <c r="E4" s="327"/>
      <c r="F4" s="322"/>
      <c r="G4" s="322"/>
      <c r="H4" s="328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  <c r="Y4" s="329"/>
      <c r="Z4" s="329"/>
      <c r="AA4" s="329"/>
      <c r="AB4" s="330"/>
    </row>
    <row r="5" spans="1:31" s="19" customFormat="1" ht="15" customHeight="1">
      <c r="A5" s="13"/>
      <c r="B5" s="322"/>
      <c r="C5" s="322"/>
      <c r="D5" s="322"/>
      <c r="E5" s="322"/>
      <c r="F5" s="322"/>
      <c r="G5" s="322"/>
      <c r="H5" s="331"/>
      <c r="I5" s="332"/>
      <c r="J5" s="332"/>
      <c r="K5" s="332"/>
      <c r="L5" s="332"/>
      <c r="M5" s="332"/>
      <c r="N5" s="333" t="s">
        <v>66</v>
      </c>
      <c r="O5" s="333"/>
      <c r="P5" s="333"/>
      <c r="Q5" s="333"/>
      <c r="R5" s="334"/>
      <c r="S5" s="334"/>
      <c r="T5" s="334"/>
      <c r="U5" s="334"/>
      <c r="V5" s="334"/>
      <c r="W5" s="334"/>
      <c r="X5" s="334"/>
      <c r="Y5" s="331"/>
      <c r="Z5" s="331"/>
      <c r="AA5" s="331"/>
      <c r="AB5" s="331"/>
      <c r="AC5" s="202"/>
    </row>
    <row r="6" spans="1:31" s="20" customFormat="1" ht="14.1" customHeight="1">
      <c r="B6" s="335"/>
      <c r="C6" s="335"/>
      <c r="D6" s="335"/>
      <c r="E6" s="335"/>
      <c r="F6" s="335"/>
      <c r="G6" s="335"/>
      <c r="H6" s="331"/>
      <c r="I6" s="332"/>
      <c r="J6" s="332"/>
      <c r="K6" s="332"/>
      <c r="L6" s="332"/>
      <c r="M6" s="332"/>
      <c r="N6" s="332"/>
      <c r="O6" s="332"/>
      <c r="P6" s="332"/>
      <c r="Q6" s="332"/>
      <c r="R6" s="333" t="s">
        <v>66</v>
      </c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7"/>
    </row>
    <row r="7" spans="1:31" s="23" customFormat="1" ht="14.1" customHeight="1" thickBot="1">
      <c r="B7" s="336" t="s">
        <v>322</v>
      </c>
      <c r="C7" s="359"/>
      <c r="D7" s="359"/>
      <c r="E7" s="359"/>
      <c r="F7" s="359"/>
      <c r="G7" s="332"/>
      <c r="H7" s="337" t="s">
        <v>262</v>
      </c>
      <c r="I7" s="338">
        <v>2011</v>
      </c>
      <c r="J7" s="338">
        <v>2012</v>
      </c>
      <c r="K7" s="338">
        <v>2013</v>
      </c>
      <c r="L7" s="338">
        <v>2014</v>
      </c>
      <c r="M7" s="338">
        <v>2015</v>
      </c>
      <c r="N7" s="338"/>
      <c r="O7" s="338"/>
      <c r="P7" s="338"/>
      <c r="Q7" s="338"/>
      <c r="R7" s="338" t="s">
        <v>10</v>
      </c>
      <c r="S7" s="338"/>
      <c r="T7" s="338"/>
      <c r="U7" s="338"/>
      <c r="V7" s="338"/>
      <c r="W7" s="338" t="s">
        <v>11</v>
      </c>
      <c r="X7" s="338"/>
      <c r="Y7" s="338"/>
      <c r="Z7" s="338"/>
      <c r="AA7" s="338"/>
      <c r="AB7" s="338" t="s">
        <v>51</v>
      </c>
      <c r="AC7" s="24"/>
    </row>
    <row r="8" spans="1:31" s="23" customFormat="1" ht="14.1" customHeight="1">
      <c r="B8" s="446" t="s">
        <v>363</v>
      </c>
      <c r="C8" s="332"/>
      <c r="E8" s="340"/>
      <c r="F8" s="366">
        <f>G45</f>
        <v>41.3</v>
      </c>
      <c r="G8" s="332"/>
      <c r="H8" s="322" t="s">
        <v>40</v>
      </c>
      <c r="I8" s="340">
        <f>Model!J12</f>
        <v>861.34500000000003</v>
      </c>
      <c r="J8" s="340">
        <f>Model!K12</f>
        <v>924.19100000000003</v>
      </c>
      <c r="K8" s="340">
        <f>Model!L12</f>
        <v>1046.386</v>
      </c>
      <c r="L8" s="340">
        <f>Model!M12</f>
        <v>1163.489</v>
      </c>
      <c r="M8" s="340">
        <f>Model!R12</f>
        <v>1146.0790000000002</v>
      </c>
      <c r="N8" s="340"/>
      <c r="O8" s="340"/>
      <c r="P8" s="340"/>
      <c r="Q8" s="340"/>
      <c r="R8" s="340">
        <f>Model!W12</f>
        <v>1209.7272600000001</v>
      </c>
      <c r="S8" s="340"/>
      <c r="T8" s="340"/>
      <c r="U8" s="340"/>
      <c r="V8" s="340"/>
      <c r="W8" s="340">
        <f>Model!AB12</f>
        <v>1277.5311189000001</v>
      </c>
      <c r="X8" s="340"/>
      <c r="Y8" s="340"/>
      <c r="Z8" s="340"/>
      <c r="AA8" s="340"/>
      <c r="AB8" s="340">
        <f>Model!AG12</f>
        <v>1338.1255615110001</v>
      </c>
    </row>
    <row r="9" spans="1:31" s="10" customFormat="1" ht="14.1" customHeight="1">
      <c r="B9" s="341" t="s">
        <v>323</v>
      </c>
      <c r="C9" s="360"/>
      <c r="D9" s="362"/>
      <c r="E9" s="361"/>
      <c r="F9" s="361">
        <f>G46</f>
        <v>122.9</v>
      </c>
      <c r="G9" s="326"/>
      <c r="H9" s="342" t="s">
        <v>52</v>
      </c>
      <c r="I9" s="343"/>
      <c r="J9" s="343"/>
      <c r="K9" s="343"/>
      <c r="L9" s="343"/>
      <c r="M9" s="343"/>
      <c r="N9" s="343"/>
      <c r="O9" s="343"/>
      <c r="P9" s="343"/>
      <c r="Q9" s="343"/>
      <c r="R9" s="340">
        <f>Model!W33</f>
        <v>1209</v>
      </c>
      <c r="S9" s="340"/>
      <c r="T9" s="340"/>
      <c r="U9" s="340"/>
      <c r="V9" s="340"/>
      <c r="W9" s="340">
        <f>Model!AB33</f>
        <v>1274</v>
      </c>
      <c r="X9" s="340"/>
      <c r="Y9" s="340"/>
      <c r="Z9" s="340"/>
      <c r="AA9" s="340"/>
      <c r="AB9" s="340">
        <f>Model!AG33</f>
        <v>1331</v>
      </c>
      <c r="AC9" s="24"/>
    </row>
    <row r="10" spans="1:31" ht="14.1" customHeight="1">
      <c r="B10" s="344" t="s">
        <v>53</v>
      </c>
      <c r="C10" s="345"/>
      <c r="E10" s="340"/>
      <c r="F10" s="340">
        <f>G47</f>
        <v>5075.7699999999995</v>
      </c>
      <c r="G10" s="345"/>
      <c r="H10" s="322" t="s">
        <v>4</v>
      </c>
      <c r="I10" s="340">
        <f>Model!J21</f>
        <v>310.89400000000001</v>
      </c>
      <c r="J10" s="340">
        <f>Model!K21</f>
        <v>334.46699999999998</v>
      </c>
      <c r="K10" s="340">
        <f>Model!L21</f>
        <v>339.72</v>
      </c>
      <c r="L10" s="340">
        <f>Model!M21</f>
        <v>328.65600000000001</v>
      </c>
      <c r="M10" s="340">
        <f>Model!R21</f>
        <v>393.29399999999998</v>
      </c>
      <c r="N10" s="340"/>
      <c r="O10" s="340"/>
      <c r="P10" s="340"/>
      <c r="Q10" s="340"/>
      <c r="R10" s="340">
        <f>Model!W21</f>
        <v>436.22626000000025</v>
      </c>
      <c r="S10" s="340"/>
      <c r="T10" s="340"/>
      <c r="U10" s="340"/>
      <c r="V10" s="340"/>
      <c r="W10" s="340">
        <f>Model!AB21</f>
        <v>485.76999930980014</v>
      </c>
      <c r="X10" s="340"/>
      <c r="Y10" s="340"/>
      <c r="Z10" s="340"/>
      <c r="AA10" s="340"/>
      <c r="AB10" s="340">
        <f>Model!AG21</f>
        <v>522.3721529479451</v>
      </c>
      <c r="AC10" s="139"/>
      <c r="AD10" s="10"/>
    </row>
    <row r="11" spans="1:31" ht="14.1" customHeight="1">
      <c r="B11" s="341" t="s">
        <v>39</v>
      </c>
      <c r="C11" s="363"/>
      <c r="D11" s="364"/>
      <c r="E11" s="361"/>
      <c r="F11" s="361">
        <f>G48</f>
        <v>516.79100000000005</v>
      </c>
      <c r="G11" s="345"/>
      <c r="H11" s="342" t="s">
        <v>52</v>
      </c>
      <c r="I11" s="347"/>
      <c r="J11" s="347"/>
      <c r="K11" s="347"/>
      <c r="L11" s="347"/>
      <c r="M11" s="347"/>
      <c r="N11" s="347"/>
      <c r="O11" s="347"/>
      <c r="P11" s="347"/>
      <c r="Q11" s="347"/>
      <c r="R11" s="347">
        <f>Model!W35</f>
        <v>428</v>
      </c>
      <c r="S11" s="347"/>
      <c r="T11" s="347"/>
      <c r="U11" s="347"/>
      <c r="V11" s="347"/>
      <c r="W11" s="347">
        <f>Model!AB35</f>
        <v>462</v>
      </c>
      <c r="X11" s="347"/>
      <c r="Y11" s="347"/>
      <c r="Z11" s="347"/>
      <c r="AA11" s="347"/>
      <c r="AB11" s="347">
        <f>Model!AG35</f>
        <v>483</v>
      </c>
      <c r="AC11" s="140"/>
      <c r="AD11" s="10"/>
    </row>
    <row r="12" spans="1:31" ht="14.1" customHeight="1">
      <c r="B12" s="344" t="s">
        <v>54</v>
      </c>
      <c r="C12" s="345"/>
      <c r="E12" s="340"/>
      <c r="F12" s="340">
        <f>G49</f>
        <v>5592.5609999999997</v>
      </c>
      <c r="G12" s="345"/>
      <c r="H12" s="322" t="s">
        <v>3</v>
      </c>
      <c r="I12" s="348">
        <f>Model!J28</f>
        <v>1.085015170793775</v>
      </c>
      <c r="J12" s="348">
        <f>Model!K28</f>
        <v>1.3853329681032385</v>
      </c>
      <c r="K12" s="348">
        <f>Model!L28</f>
        <v>1.3871444972684757</v>
      </c>
      <c r="L12" s="348">
        <f>Model!M28</f>
        <v>1.3616017678884402</v>
      </c>
      <c r="M12" s="348">
        <f>Model!R28</f>
        <v>1.6723073996575994</v>
      </c>
      <c r="N12" s="348"/>
      <c r="O12" s="348"/>
      <c r="P12" s="348"/>
      <c r="Q12" s="348"/>
      <c r="R12" s="348">
        <f>Model!W28</f>
        <v>1.9551737749308233</v>
      </c>
      <c r="S12" s="348"/>
      <c r="T12" s="348"/>
      <c r="U12" s="348"/>
      <c r="V12" s="348"/>
      <c r="W12" s="348">
        <f>Model!AB28</f>
        <v>2.2952218516165424</v>
      </c>
      <c r="X12" s="348"/>
      <c r="Y12" s="348"/>
      <c r="Z12" s="348"/>
      <c r="AA12" s="348"/>
      <c r="AB12" s="348">
        <f>Model!AG28</f>
        <v>2.5629918469889796</v>
      </c>
      <c r="AD12" s="10"/>
    </row>
    <row r="13" spans="1:31" ht="14.1" customHeight="1">
      <c r="B13" s="346"/>
      <c r="C13" s="345"/>
      <c r="D13" s="340"/>
      <c r="E13" s="340"/>
      <c r="F13" s="340"/>
      <c r="G13" s="345"/>
      <c r="H13" s="342" t="s">
        <v>52</v>
      </c>
      <c r="I13" s="349"/>
      <c r="J13" s="349"/>
      <c r="K13" s="349"/>
      <c r="L13" s="349"/>
      <c r="M13" s="349"/>
      <c r="N13" s="349"/>
      <c r="O13" s="349"/>
      <c r="P13" s="349"/>
      <c r="Q13" s="349"/>
      <c r="R13" s="348">
        <f>Model!W36</f>
        <v>1.9268253697233373</v>
      </c>
      <c r="S13" s="348"/>
      <c r="T13" s="348"/>
      <c r="U13" s="348"/>
      <c r="V13" s="348"/>
      <c r="W13" s="348">
        <f>Model!AB36</f>
        <v>2.16</v>
      </c>
      <c r="X13" s="348"/>
      <c r="Y13" s="348"/>
      <c r="Z13" s="348"/>
      <c r="AA13" s="348"/>
      <c r="AB13" s="348">
        <f>Model!AG36</f>
        <v>2.2999999999999998</v>
      </c>
      <c r="AC13" s="139"/>
      <c r="AD13" s="10"/>
    </row>
    <row r="14" spans="1:31" ht="14.1" customHeight="1" thickBot="1">
      <c r="A14" s="27"/>
      <c r="B14" s="336" t="s">
        <v>330</v>
      </c>
      <c r="C14" s="359"/>
      <c r="D14" s="338" t="s">
        <v>57</v>
      </c>
      <c r="E14" s="338" t="s">
        <v>325</v>
      </c>
      <c r="F14" s="338" t="s">
        <v>328</v>
      </c>
      <c r="G14" s="350"/>
      <c r="H14" s="322" t="s">
        <v>55</v>
      </c>
      <c r="I14" s="347">
        <f>Model!J70</f>
        <v>172.76200000000006</v>
      </c>
      <c r="J14" s="347">
        <f>Model!K70</f>
        <v>174.84100000000001</v>
      </c>
      <c r="K14" s="347">
        <f>Model!L70</f>
        <v>69.061000000000035</v>
      </c>
      <c r="L14" s="347">
        <f>Model!M70</f>
        <v>166.78399999999999</v>
      </c>
      <c r="M14" s="347">
        <f>Model!R70</f>
        <v>186.43589999999995</v>
      </c>
      <c r="N14" s="347"/>
      <c r="O14" s="347"/>
      <c r="P14" s="347"/>
      <c r="Q14" s="347"/>
      <c r="R14" s="347">
        <f>Model!W70</f>
        <v>191.10295599236619</v>
      </c>
      <c r="S14" s="347"/>
      <c r="T14" s="347"/>
      <c r="U14" s="347"/>
      <c r="V14" s="347"/>
      <c r="W14" s="347">
        <f>Model!AB70</f>
        <v>235.00720619360624</v>
      </c>
      <c r="X14" s="347"/>
      <c r="Y14" s="347"/>
      <c r="Z14" s="347"/>
      <c r="AA14" s="347"/>
      <c r="AB14" s="347">
        <f>Model!AG70</f>
        <v>287.40136142699401</v>
      </c>
      <c r="AC14" s="140"/>
      <c r="AD14" s="10"/>
    </row>
    <row r="15" spans="1:31" ht="14.1" customHeight="1">
      <c r="B15" s="339" t="s">
        <v>326</v>
      </c>
      <c r="C15" s="332"/>
      <c r="D15" s="370">
        <f>AO34</f>
        <v>2.2952218516165424</v>
      </c>
      <c r="E15" s="370">
        <f ca="1">AP34</f>
        <v>2.4870147566620999</v>
      </c>
      <c r="F15" s="370">
        <f ca="1">AN34</f>
        <v>2.1292741952266665</v>
      </c>
      <c r="G15" s="345"/>
      <c r="H15" s="342" t="s">
        <v>311</v>
      </c>
      <c r="I15" s="351">
        <f>Model!J27</f>
        <v>153.255</v>
      </c>
      <c r="J15" s="351">
        <f>Model!K27</f>
        <v>131.42400000000001</v>
      </c>
      <c r="K15" s="351">
        <f>Model!L27</f>
        <v>129.78100000000001</v>
      </c>
      <c r="L15" s="351">
        <f>Model!M27</f>
        <v>131.22999999999999</v>
      </c>
      <c r="M15" s="351">
        <f>Model!R27</f>
        <v>131.42500000000001</v>
      </c>
      <c r="N15" s="347"/>
      <c r="O15" s="347"/>
      <c r="P15" s="347"/>
      <c r="Q15" s="347"/>
      <c r="R15" s="351">
        <f>Model!W27</f>
        <v>123.5675</v>
      </c>
      <c r="S15" s="351"/>
      <c r="T15" s="351"/>
      <c r="U15" s="351"/>
      <c r="V15" s="351"/>
      <c r="W15" s="351">
        <f>Model!AB27</f>
        <v>119.02204545454545</v>
      </c>
      <c r="X15" s="351"/>
      <c r="Y15" s="351"/>
      <c r="Z15" s="351"/>
      <c r="AA15" s="351"/>
      <c r="AB15" s="351">
        <f>Model!AG27</f>
        <v>114.85537878787878</v>
      </c>
      <c r="AD15" s="10"/>
    </row>
    <row r="16" spans="1:31" ht="14.1" customHeight="1">
      <c r="B16" s="341" t="s">
        <v>273</v>
      </c>
      <c r="C16" s="360"/>
      <c r="D16" s="371">
        <v>20</v>
      </c>
      <c r="E16" s="371">
        <v>20</v>
      </c>
      <c r="F16" s="371">
        <v>17</v>
      </c>
      <c r="G16" s="345"/>
      <c r="H16" s="322" t="s">
        <v>12</v>
      </c>
      <c r="I16" s="348">
        <f>Model!J71</f>
        <v>1.1272845910410758</v>
      </c>
      <c r="J16" s="348">
        <f>Model!K71</f>
        <v>1.3303582298514731</v>
      </c>
      <c r="K16" s="348">
        <f>Model!L71</f>
        <v>0.53213490418474219</v>
      </c>
      <c r="L16" s="348">
        <f>Model!M71</f>
        <v>1.2709289034519546</v>
      </c>
      <c r="M16" s="348">
        <f>Model!R71</f>
        <v>1.4185725699067904</v>
      </c>
      <c r="N16" s="348"/>
      <c r="O16" s="348"/>
      <c r="P16" s="348"/>
      <c r="Q16" s="348"/>
      <c r="R16" s="348">
        <f>Model!W71</f>
        <v>1.546547077446466</v>
      </c>
      <c r="S16" s="348"/>
      <c r="T16" s="348"/>
      <c r="U16" s="348"/>
      <c r="V16" s="348"/>
      <c r="W16" s="348">
        <f>Model!AB71</f>
        <v>1.9744846872368325</v>
      </c>
      <c r="X16" s="348"/>
      <c r="Y16" s="348"/>
      <c r="Z16" s="348"/>
      <c r="AA16" s="348"/>
      <c r="AB16" s="348">
        <f>Model!AG71</f>
        <v>2.5022890913779721</v>
      </c>
      <c r="AC16" s="142"/>
      <c r="AD16" s="10"/>
    </row>
    <row r="17" spans="2:30" ht="14.1" customHeight="1">
      <c r="B17" s="365" t="s">
        <v>327</v>
      </c>
      <c r="C17" s="345"/>
      <c r="D17" s="372">
        <f>D15*D16</f>
        <v>45.904437032330847</v>
      </c>
      <c r="E17" s="372">
        <f ca="1">E15*E16</f>
        <v>49.740295133242</v>
      </c>
      <c r="F17" s="372">
        <f ca="1">F15*F16</f>
        <v>36.197661318853328</v>
      </c>
      <c r="G17" s="345"/>
      <c r="H17" s="322"/>
      <c r="I17" s="352"/>
      <c r="J17" s="352"/>
      <c r="K17" s="352"/>
      <c r="L17" s="352"/>
      <c r="M17" s="352"/>
      <c r="N17" s="352"/>
      <c r="O17" s="352"/>
      <c r="P17" s="352"/>
      <c r="Q17" s="352"/>
      <c r="R17" s="352"/>
      <c r="S17" s="352"/>
      <c r="T17" s="352"/>
      <c r="U17" s="352"/>
      <c r="V17" s="352"/>
      <c r="W17" s="352"/>
      <c r="X17" s="352"/>
      <c r="Y17" s="352"/>
      <c r="Z17" s="352"/>
      <c r="AA17" s="352"/>
      <c r="AB17" s="352"/>
      <c r="AC17" s="143"/>
      <c r="AD17" s="10"/>
    </row>
    <row r="18" spans="2:30" ht="14.1" customHeight="1">
      <c r="B18" s="346" t="s">
        <v>329</v>
      </c>
      <c r="C18" s="345"/>
      <c r="D18" s="373">
        <f>D17/$F$8-1</f>
        <v>0.11148757947532317</v>
      </c>
      <c r="E18" s="373">
        <f ca="1">E17/$F$8-1</f>
        <v>0.20436549959423744</v>
      </c>
      <c r="F18" s="373">
        <f ca="1">F17/$F$8-1</f>
        <v>-0.12354330947086367</v>
      </c>
      <c r="G18" s="345"/>
      <c r="H18" s="322" t="s">
        <v>58</v>
      </c>
      <c r="I18" s="353">
        <f>Model!J57</f>
        <v>0.11446293663044282</v>
      </c>
      <c r="J18" s="353">
        <f>J8/I8-1</f>
        <v>7.2962634020049988E-2</v>
      </c>
      <c r="K18" s="353">
        <f>K8/J8-1</f>
        <v>0.13221834014830258</v>
      </c>
      <c r="L18" s="353">
        <f>L8/K8-1</f>
        <v>0.11191185661887681</v>
      </c>
      <c r="M18" s="353">
        <f>M8/L8-1</f>
        <v>-1.4963613751397653E-2</v>
      </c>
      <c r="N18" s="353"/>
      <c r="O18" s="353"/>
      <c r="P18" s="353"/>
      <c r="Q18" s="353"/>
      <c r="R18" s="353">
        <f>R8/M8-1</f>
        <v>5.553566551694944E-2</v>
      </c>
      <c r="S18" s="353"/>
      <c r="T18" s="353"/>
      <c r="U18" s="353"/>
      <c r="V18" s="353"/>
      <c r="W18" s="353">
        <f>W8/R8-1</f>
        <v>5.6048880720436012E-2</v>
      </c>
      <c r="X18" s="353"/>
      <c r="Y18" s="353"/>
      <c r="Z18" s="353"/>
      <c r="AA18" s="353"/>
      <c r="AB18" s="353">
        <f>AB8/W8-1</f>
        <v>4.7430893631126514E-2</v>
      </c>
      <c r="AC18" s="142"/>
      <c r="AD18" s="10"/>
    </row>
    <row r="19" spans="2:30" ht="14.1" customHeight="1">
      <c r="B19" s="344"/>
      <c r="C19" s="345"/>
      <c r="D19" s="374">
        <f>G56</f>
        <v>0</v>
      </c>
      <c r="E19" s="374"/>
      <c r="F19" s="374"/>
      <c r="G19" s="345"/>
      <c r="H19" s="322" t="s">
        <v>67</v>
      </c>
      <c r="I19" s="354">
        <f>Model!J42</f>
        <v>0.44836157404988719</v>
      </c>
      <c r="J19" s="354">
        <f>Model!K42</f>
        <v>0.44321574220047583</v>
      </c>
      <c r="K19" s="354">
        <f>Model!L42</f>
        <v>0.40226264495128955</v>
      </c>
      <c r="L19" s="354">
        <f>Model!M42</f>
        <v>0.40273092397091853</v>
      </c>
      <c r="M19" s="354">
        <f>Model!R42</f>
        <v>0.4217649917675832</v>
      </c>
      <c r="N19" s="354"/>
      <c r="O19" s="354"/>
      <c r="P19" s="354"/>
      <c r="Q19" s="354"/>
      <c r="R19" s="354">
        <f>Model!W42</f>
        <v>0.43163304429462895</v>
      </c>
      <c r="S19" s="354"/>
      <c r="T19" s="354"/>
      <c r="U19" s="354"/>
      <c r="V19" s="354"/>
      <c r="W19" s="354">
        <f>Model!AB42</f>
        <v>0.45460340708558539</v>
      </c>
      <c r="X19" s="354"/>
      <c r="Y19" s="354"/>
      <c r="Z19" s="354"/>
      <c r="AA19" s="354"/>
      <c r="AB19" s="354">
        <f>Model!AG42</f>
        <v>0.46734938105642354</v>
      </c>
      <c r="AD19" s="10"/>
    </row>
    <row r="20" spans="2:30" ht="14.1" customHeight="1" thickBot="1">
      <c r="B20" s="336" t="s">
        <v>324</v>
      </c>
      <c r="C20" s="359"/>
      <c r="D20" s="338" t="s">
        <v>57</v>
      </c>
      <c r="E20" s="338" t="s">
        <v>325</v>
      </c>
      <c r="F20" s="338" t="s">
        <v>328</v>
      </c>
      <c r="G20" s="345"/>
      <c r="H20" s="322" t="s">
        <v>59</v>
      </c>
      <c r="I20" s="353">
        <f>I10/I8</f>
        <v>0.3609401575443057</v>
      </c>
      <c r="J20" s="353">
        <f>J10/J8</f>
        <v>0.36190246388462988</v>
      </c>
      <c r="K20" s="353">
        <f>K10/K8</f>
        <v>0.32466030699952031</v>
      </c>
      <c r="L20" s="353">
        <f>L10/L8</f>
        <v>0.28247452275010765</v>
      </c>
      <c r="M20" s="353">
        <f>M10/M8</f>
        <v>0.34316482546142102</v>
      </c>
      <c r="N20" s="353"/>
      <c r="O20" s="353"/>
      <c r="P20" s="353"/>
      <c r="Q20" s="353"/>
      <c r="R20" s="353">
        <f>R10/R8</f>
        <v>0.36059885101704675</v>
      </c>
      <c r="S20" s="353"/>
      <c r="T20" s="353"/>
      <c r="U20" s="353"/>
      <c r="V20" s="353"/>
      <c r="W20" s="353">
        <f>W10/W8</f>
        <v>0.38024122631788837</v>
      </c>
      <c r="X20" s="353"/>
      <c r="Y20" s="353"/>
      <c r="Z20" s="353"/>
      <c r="AA20" s="353"/>
      <c r="AB20" s="353">
        <f>AB10/AB8</f>
        <v>0.39037603642971058</v>
      </c>
      <c r="AC20" s="144"/>
      <c r="AD20" s="10"/>
    </row>
    <row r="21" spans="2:30" ht="14.1" customHeight="1">
      <c r="B21" s="339" t="s">
        <v>326</v>
      </c>
      <c r="C21" s="332"/>
      <c r="D21" s="370">
        <f>AO40</f>
        <v>1.9744846872368325</v>
      </c>
      <c r="E21" s="370">
        <f ca="1">AP40</f>
        <v>2.1122073822569249</v>
      </c>
      <c r="F21" s="370">
        <f ca="1">AN40</f>
        <v>1.8583706833078895</v>
      </c>
      <c r="G21" s="345"/>
      <c r="H21" s="322"/>
      <c r="I21" s="349"/>
      <c r="J21" s="349"/>
      <c r="K21" s="349"/>
      <c r="L21" s="353"/>
      <c r="M21" s="353"/>
      <c r="N21" s="353"/>
      <c r="O21" s="353"/>
      <c r="P21" s="353"/>
      <c r="Q21" s="353"/>
      <c r="R21" s="353"/>
      <c r="S21" s="353"/>
      <c r="T21" s="353"/>
      <c r="U21" s="353"/>
      <c r="V21" s="353"/>
      <c r="W21" s="353"/>
      <c r="X21" s="353"/>
      <c r="Y21" s="353"/>
      <c r="Z21" s="353"/>
      <c r="AA21" s="353"/>
      <c r="AB21" s="355"/>
      <c r="AC21" s="144"/>
      <c r="AD21" s="10"/>
    </row>
    <row r="22" spans="2:30" ht="14.1" customHeight="1">
      <c r="B22" s="341" t="s">
        <v>273</v>
      </c>
      <c r="C22" s="360"/>
      <c r="D22" s="375">
        <v>0.04</v>
      </c>
      <c r="E22" s="375">
        <v>0.04</v>
      </c>
      <c r="F22" s="375">
        <v>0.06</v>
      </c>
      <c r="G22" s="345"/>
      <c r="H22" s="322" t="s">
        <v>5</v>
      </c>
      <c r="I22" s="349"/>
      <c r="J22" s="349"/>
      <c r="K22" s="349"/>
      <c r="L22" s="356"/>
      <c r="M22" s="356">
        <f>$G$49/M10</f>
        <v>14.21979740346916</v>
      </c>
      <c r="N22" s="356"/>
      <c r="O22" s="356"/>
      <c r="P22" s="356"/>
      <c r="Q22" s="356"/>
      <c r="R22" s="356">
        <f>$G$49/R10</f>
        <v>12.820321729370434</v>
      </c>
      <c r="S22" s="356"/>
      <c r="T22" s="356"/>
      <c r="U22" s="356"/>
      <c r="V22" s="356"/>
      <c r="W22" s="356">
        <f>$G$49/W10</f>
        <v>11.51277560974559</v>
      </c>
      <c r="X22" s="356"/>
      <c r="Y22" s="356"/>
      <c r="Z22" s="356"/>
      <c r="AA22" s="356"/>
      <c r="AB22" s="356">
        <f>$G$49/AB10</f>
        <v>10.706085629639801</v>
      </c>
      <c r="AC22" s="142"/>
      <c r="AD22" s="10"/>
    </row>
    <row r="23" spans="2:30" ht="14.1" customHeight="1">
      <c r="B23" s="365" t="s">
        <v>327</v>
      </c>
      <c r="C23" s="345"/>
      <c r="D23" s="372">
        <f>D21/D22</f>
        <v>49.362117180920812</v>
      </c>
      <c r="E23" s="372">
        <f ca="1">E21/E22</f>
        <v>52.805184556423121</v>
      </c>
      <c r="F23" s="372">
        <f ca="1">F21/F22</f>
        <v>30.972844721798158</v>
      </c>
      <c r="G23" s="345"/>
      <c r="H23" s="322" t="s">
        <v>60</v>
      </c>
      <c r="I23" s="349"/>
      <c r="J23" s="349"/>
      <c r="K23" s="349"/>
      <c r="L23" s="356"/>
      <c r="M23" s="356">
        <f>$G$45/M12</f>
        <v>24.696416465331712</v>
      </c>
      <c r="N23" s="356"/>
      <c r="O23" s="356"/>
      <c r="P23" s="356"/>
      <c r="Q23" s="356"/>
      <c r="R23" s="356">
        <f>$G$45/R12</f>
        <v>21.12344208455908</v>
      </c>
      <c r="S23" s="356"/>
      <c r="T23" s="356"/>
      <c r="U23" s="356"/>
      <c r="V23" s="356"/>
      <c r="W23" s="356">
        <f>$G$45/W12</f>
        <v>17.993903278200357</v>
      </c>
      <c r="X23" s="356"/>
      <c r="Y23" s="356"/>
      <c r="Z23" s="356"/>
      <c r="AA23" s="356"/>
      <c r="AB23" s="356">
        <f>$G$45/AB12</f>
        <v>16.11398024871578</v>
      </c>
      <c r="AD23" s="10"/>
    </row>
    <row r="24" spans="2:30" ht="14.1" customHeight="1">
      <c r="B24" s="346" t="s">
        <v>329</v>
      </c>
      <c r="C24" s="345"/>
      <c r="D24" s="373">
        <f>D23/$F$8-1</f>
        <v>0.19520864844844588</v>
      </c>
      <c r="E24" s="373">
        <f ca="1">E23/$F$8-1</f>
        <v>0.27857589724995457</v>
      </c>
      <c r="F24" s="373">
        <f ca="1">F23/$F$8-1</f>
        <v>-0.25005218591287748</v>
      </c>
      <c r="G24" s="345"/>
      <c r="H24" s="322" t="s">
        <v>68</v>
      </c>
      <c r="I24" s="349"/>
      <c r="J24" s="349"/>
      <c r="K24" s="349"/>
      <c r="L24" s="353"/>
      <c r="M24" s="353">
        <f>M16/$G$45</f>
        <v>3.4348004113965873E-2</v>
      </c>
      <c r="N24" s="353"/>
      <c r="O24" s="353"/>
      <c r="P24" s="353"/>
      <c r="Q24" s="353"/>
      <c r="R24" s="353">
        <f>R16/$G$45</f>
        <v>3.7446660470858747E-2</v>
      </c>
      <c r="S24" s="353"/>
      <c r="T24" s="353"/>
      <c r="U24" s="353"/>
      <c r="V24" s="353"/>
      <c r="W24" s="353">
        <f>W16/$G$45</f>
        <v>4.7808345937937834E-2</v>
      </c>
      <c r="X24" s="353"/>
      <c r="Y24" s="353"/>
      <c r="Z24" s="353"/>
      <c r="AA24" s="353"/>
      <c r="AB24" s="353">
        <f>AB16/$G$45</f>
        <v>6.0588113592686982E-2</v>
      </c>
      <c r="AC24" s="139"/>
    </row>
    <row r="25" spans="2:30" ht="14.1" customHeight="1">
      <c r="B25" s="345"/>
      <c r="C25" s="345"/>
      <c r="D25" s="376"/>
      <c r="E25" s="376"/>
      <c r="F25" s="376"/>
      <c r="G25" s="345"/>
      <c r="H25" s="322"/>
      <c r="I25" s="349"/>
      <c r="J25" s="349"/>
      <c r="K25" s="349"/>
      <c r="L25" s="349"/>
      <c r="M25" s="349"/>
      <c r="N25" s="349"/>
      <c r="O25" s="349"/>
      <c r="P25" s="349"/>
      <c r="Q25" s="349"/>
      <c r="R25" s="349"/>
      <c r="S25" s="349"/>
      <c r="T25" s="349"/>
      <c r="U25" s="349"/>
      <c r="V25" s="349"/>
      <c r="W25" s="349"/>
      <c r="X25" s="349"/>
      <c r="Y25" s="349"/>
      <c r="Z25" s="349"/>
      <c r="AA25" s="349"/>
      <c r="AB25" s="355"/>
      <c r="AC25" s="139"/>
    </row>
    <row r="26" spans="2:30" ht="14.1" customHeight="1" thickBot="1">
      <c r="B26" s="336" t="s">
        <v>331</v>
      </c>
      <c r="C26" s="359"/>
      <c r="D26" s="338" t="s">
        <v>57</v>
      </c>
      <c r="E26" s="338" t="s">
        <v>325</v>
      </c>
      <c r="F26" s="338" t="s">
        <v>328</v>
      </c>
      <c r="G26" s="345"/>
      <c r="H26" s="322" t="s">
        <v>39</v>
      </c>
      <c r="I26" s="347">
        <f>Model!J137</f>
        <v>301.74700000000001</v>
      </c>
      <c r="J26" s="347">
        <f>Model!K137</f>
        <v>304.00800000000004</v>
      </c>
      <c r="K26" s="347">
        <f>Model!L137</f>
        <v>325.11700000000008</v>
      </c>
      <c r="L26" s="347">
        <f>Model!M137</f>
        <v>144.233</v>
      </c>
      <c r="M26" s="347">
        <f>Model!R137</f>
        <v>189.79600000000005</v>
      </c>
      <c r="N26" s="347">
        <f>Model!O137</f>
        <v>99.19399999999996</v>
      </c>
      <c r="O26" s="347">
        <f>Model!P137</f>
        <v>0.67700000000002092</v>
      </c>
      <c r="P26" s="347">
        <f>Model!Q137</f>
        <v>207.17899999999997</v>
      </c>
      <c r="Q26" s="347">
        <f>Model!R137</f>
        <v>189.79600000000005</v>
      </c>
      <c r="R26" s="347">
        <f>Model!W137</f>
        <v>347.27904400763396</v>
      </c>
      <c r="S26" s="347">
        <f>Model!T137</f>
        <v>516.79100000000005</v>
      </c>
      <c r="T26" s="347">
        <f>Model!U137</f>
        <v>403.21785829461396</v>
      </c>
      <c r="U26" s="347">
        <f>Model!V137</f>
        <v>347.27904400763396</v>
      </c>
      <c r="V26" s="347">
        <f>Model!W137</f>
        <v>347.27904400763396</v>
      </c>
      <c r="W26" s="347">
        <f>Model!AB137</f>
        <v>309.77183781402766</v>
      </c>
      <c r="X26" s="347"/>
      <c r="Y26" s="347"/>
      <c r="Z26" s="347"/>
      <c r="AA26" s="347"/>
      <c r="AB26" s="347">
        <f>Model!AG137</f>
        <v>219.87047638703365</v>
      </c>
      <c r="AC26" s="144"/>
    </row>
    <row r="27" spans="2:30" ht="14.1" customHeight="1">
      <c r="B27" s="339" t="s">
        <v>332</v>
      </c>
      <c r="C27" s="332"/>
      <c r="D27" s="374">
        <f>AH34</f>
        <v>485.76999930980014</v>
      </c>
      <c r="E27" s="374">
        <f ca="1">AI34</f>
        <v>507.84557540900005</v>
      </c>
      <c r="F27" s="374">
        <f ca="1">AG34</f>
        <v>462.82819936010003</v>
      </c>
      <c r="G27" s="345"/>
      <c r="H27" s="322" t="s">
        <v>62</v>
      </c>
      <c r="I27" s="356">
        <f>I26/I10</f>
        <v>0.97057839649526856</v>
      </c>
      <c r="J27" s="356">
        <f t="shared" ref="J27:W27" si="0">J26/J10</f>
        <v>0.90893271981989265</v>
      </c>
      <c r="K27" s="356">
        <f t="shared" si="0"/>
        <v>0.95701460025903695</v>
      </c>
      <c r="L27" s="356">
        <f t="shared" si="0"/>
        <v>0.43885704201353393</v>
      </c>
      <c r="M27" s="356">
        <f t="shared" si="0"/>
        <v>0.48258046143597427</v>
      </c>
      <c r="N27" s="356" t="e">
        <f t="shared" si="0"/>
        <v>#DIV/0!</v>
      </c>
      <c r="O27" s="356" t="e">
        <f t="shared" si="0"/>
        <v>#DIV/0!</v>
      </c>
      <c r="P27" s="356" t="e">
        <f t="shared" si="0"/>
        <v>#DIV/0!</v>
      </c>
      <c r="Q27" s="356" t="e">
        <f t="shared" si="0"/>
        <v>#DIV/0!</v>
      </c>
      <c r="R27" s="356">
        <f t="shared" si="0"/>
        <v>0.79609843755768794</v>
      </c>
      <c r="S27" s="356" t="e">
        <f t="shared" si="0"/>
        <v>#DIV/0!</v>
      </c>
      <c r="T27" s="356" t="e">
        <f t="shared" si="0"/>
        <v>#DIV/0!</v>
      </c>
      <c r="U27" s="356" t="e">
        <f t="shared" si="0"/>
        <v>#DIV/0!</v>
      </c>
      <c r="V27" s="356" t="e">
        <f t="shared" si="0"/>
        <v>#DIV/0!</v>
      </c>
      <c r="W27" s="356">
        <f t="shared" si="0"/>
        <v>0.63769240227713297</v>
      </c>
      <c r="X27" s="356"/>
      <c r="Y27" s="356"/>
      <c r="Z27" s="356"/>
      <c r="AA27" s="356"/>
      <c r="AB27" s="356">
        <f t="shared" ref="AB27" si="1">AB26/AB10</f>
        <v>0.42090772861114584</v>
      </c>
      <c r="AC27" s="142"/>
    </row>
    <row r="28" spans="2:30" ht="14.1" customHeight="1">
      <c r="B28" s="341" t="s">
        <v>5</v>
      </c>
      <c r="C28" s="360"/>
      <c r="D28" s="371">
        <v>12</v>
      </c>
      <c r="E28" s="371">
        <v>13</v>
      </c>
      <c r="F28" s="371">
        <v>10</v>
      </c>
      <c r="G28" s="345"/>
      <c r="H28" s="357" t="s">
        <v>63</v>
      </c>
      <c r="I28" s="353">
        <f>Model!J165</f>
        <v>0.19192124382929213</v>
      </c>
      <c r="J28" s="353">
        <f>Model!K165</f>
        <v>0.21187816863393269</v>
      </c>
      <c r="K28" s="353">
        <f>Model!L165</f>
        <v>0.18363217728601816</v>
      </c>
      <c r="L28" s="353">
        <f>Model!M165</f>
        <v>0.15907250596255451</v>
      </c>
      <c r="M28" s="353">
        <f>Model!R165</f>
        <v>0.19606220032444049</v>
      </c>
      <c r="N28" s="353">
        <f>Model!S165</f>
        <v>0.19257971235226815</v>
      </c>
      <c r="O28" s="353">
        <f>Model!T165</f>
        <v>0.19348032784618502</v>
      </c>
      <c r="P28" s="353">
        <f>Model!U165</f>
        <v>0.23535568810113591</v>
      </c>
      <c r="Q28" s="353">
        <f>Model!V165</f>
        <v>0.21122084039023256</v>
      </c>
      <c r="R28" s="353">
        <f>Model!W165</f>
        <v>0.21036476461953194</v>
      </c>
      <c r="S28" s="353">
        <f>Model!X165</f>
        <v>0</v>
      </c>
      <c r="T28" s="353">
        <f>Model!Y165</f>
        <v>0</v>
      </c>
      <c r="U28" s="353">
        <f>Model!Z165</f>
        <v>0</v>
      </c>
      <c r="V28" s="353">
        <f>Model!AA165</f>
        <v>0</v>
      </c>
      <c r="W28" s="353">
        <f>Model!AB165</f>
        <v>0.22472401235921641</v>
      </c>
      <c r="X28" s="353"/>
      <c r="Y28" s="353"/>
      <c r="Z28" s="353"/>
      <c r="AA28" s="353"/>
      <c r="AB28" s="353">
        <f>Model!AG165</f>
        <v>0.23305208734153551</v>
      </c>
      <c r="AC28" s="142"/>
    </row>
    <row r="29" spans="2:30" ht="14.1" customHeight="1">
      <c r="B29" s="369" t="s">
        <v>269</v>
      </c>
      <c r="D29" s="376">
        <f>D28*D27</f>
        <v>5829.2399917176017</v>
      </c>
      <c r="E29" s="376">
        <f ca="1">E28*E27</f>
        <v>6601.9924803170006</v>
      </c>
      <c r="F29" s="376">
        <f ca="1">F28*F27</f>
        <v>4628.2819936010001</v>
      </c>
      <c r="G29" s="345"/>
      <c r="H29" s="322" t="s">
        <v>64</v>
      </c>
      <c r="I29" s="353">
        <f>Model!J166</f>
        <v>0.2489362191674267</v>
      </c>
      <c r="J29" s="353">
        <f>Model!K166</f>
        <v>0.27566487753770669</v>
      </c>
      <c r="K29" s="353">
        <f>Model!L166</f>
        <v>0.24209637814610194</v>
      </c>
      <c r="L29" s="353">
        <f>Model!M166</f>
        <v>0.21421920180353846</v>
      </c>
      <c r="M29" s="353">
        <f>Model!R166</f>
        <v>0.26241812682195564</v>
      </c>
      <c r="N29" s="353">
        <f>Model!S166</f>
        <v>0.25470900998597751</v>
      </c>
      <c r="O29" s="353">
        <f>Model!T166</f>
        <v>0.2512318418510972</v>
      </c>
      <c r="P29" s="353">
        <f>Model!U166</f>
        <v>0.30205887398376891</v>
      </c>
      <c r="Q29" s="353">
        <f>Model!V166</f>
        <v>0.271878525003103</v>
      </c>
      <c r="R29" s="353">
        <f>Model!W166</f>
        <v>0.2742745776325734</v>
      </c>
      <c r="S29" s="353">
        <f>Model!X166</f>
        <v>0</v>
      </c>
      <c r="T29" s="353">
        <f>Model!Y166</f>
        <v>0</v>
      </c>
      <c r="U29" s="353">
        <f>Model!Z166</f>
        <v>0</v>
      </c>
      <c r="V29" s="353">
        <f>Model!AA166</f>
        <v>0</v>
      </c>
      <c r="W29" s="353">
        <f>Model!AB166</f>
        <v>0.28690400415075723</v>
      </c>
      <c r="X29" s="353"/>
      <c r="Y29" s="353"/>
      <c r="Z29" s="353"/>
      <c r="AA29" s="353"/>
      <c r="AB29" s="353">
        <f>Model!AG166</f>
        <v>0.29477431385982944</v>
      </c>
    </row>
    <row r="30" spans="2:30" ht="14.1" customHeight="1">
      <c r="B30" s="378" t="s">
        <v>13</v>
      </c>
      <c r="C30" s="363"/>
      <c r="D30" s="379">
        <f>AH37</f>
        <v>309.77183781402766</v>
      </c>
      <c r="E30" s="379">
        <f ca="1">AI37</f>
        <v>450.58050793219053</v>
      </c>
      <c r="F30" s="379">
        <f ca="1">AG37</f>
        <v>219.36839433277692</v>
      </c>
      <c r="G30" s="345"/>
      <c r="H30" s="345"/>
      <c r="I30" s="355"/>
      <c r="J30" s="355"/>
      <c r="K30" s="355"/>
      <c r="L30" s="355"/>
      <c r="M30" s="355"/>
      <c r="N30" s="355"/>
      <c r="O30" s="355"/>
      <c r="P30" s="355"/>
      <c r="Q30" s="355"/>
      <c r="R30" s="355"/>
      <c r="S30" s="355"/>
      <c r="T30" s="355"/>
      <c r="U30" s="355"/>
      <c r="V30" s="355"/>
      <c r="W30" s="355"/>
      <c r="X30" s="355"/>
      <c r="Y30" s="355"/>
      <c r="Z30" s="355"/>
      <c r="AA30" s="355"/>
      <c r="AB30" s="355"/>
    </row>
    <row r="31" spans="2:30" ht="14.1" customHeight="1">
      <c r="B31" s="369" t="s">
        <v>268</v>
      </c>
      <c r="C31" s="345"/>
      <c r="D31" s="376">
        <f>D29-D30</f>
        <v>5519.4681539035737</v>
      </c>
      <c r="E31" s="376">
        <f ca="1">E29-E30</f>
        <v>6151.4119723848098</v>
      </c>
      <c r="F31" s="376">
        <f ca="1">F29-F30</f>
        <v>4408.9135992682232</v>
      </c>
      <c r="G31" s="345"/>
      <c r="H31" s="345"/>
      <c r="I31" s="355"/>
      <c r="J31" s="355"/>
      <c r="K31" s="355"/>
      <c r="L31" s="355"/>
      <c r="M31" s="355"/>
      <c r="N31" s="355"/>
      <c r="O31" s="355"/>
      <c r="P31" s="355"/>
      <c r="Q31" s="355"/>
      <c r="R31" s="355"/>
      <c r="S31" s="355"/>
      <c r="T31" s="355"/>
      <c r="U31" s="355"/>
      <c r="V31" s="355"/>
      <c r="W31" s="355"/>
      <c r="X31" s="355"/>
      <c r="Y31" s="355"/>
      <c r="Z31" s="355"/>
      <c r="AA31" s="355"/>
      <c r="AB31" s="355"/>
    </row>
    <row r="32" spans="2:30" ht="14.1" customHeight="1">
      <c r="B32" s="378" t="s">
        <v>333</v>
      </c>
      <c r="C32" s="363"/>
      <c r="D32" s="379">
        <f>AH39</f>
        <v>119.02204545454545</v>
      </c>
      <c r="E32" s="379">
        <f ca="1">AI39</f>
        <v>115.61295454545454</v>
      </c>
      <c r="F32" s="379">
        <f ca="1">AG39</f>
        <v>121.29477272727273</v>
      </c>
      <c r="G32" s="345"/>
      <c r="H32" s="345"/>
      <c r="I32" s="355"/>
      <c r="J32" s="355"/>
      <c r="K32" s="355"/>
      <c r="L32" s="355"/>
      <c r="M32" s="355"/>
      <c r="N32" s="355"/>
      <c r="O32" s="355"/>
      <c r="P32" s="355"/>
      <c r="Q32" s="355"/>
      <c r="R32" s="355"/>
      <c r="S32" s="355"/>
      <c r="T32" s="355"/>
      <c r="U32" s="355"/>
      <c r="V32" s="355"/>
      <c r="W32" s="355"/>
      <c r="X32" s="355"/>
      <c r="Y32" s="355"/>
      <c r="Z32" s="355"/>
      <c r="AA32" s="355"/>
      <c r="AB32" s="355"/>
      <c r="AC32" s="11"/>
      <c r="AD32" s="11"/>
    </row>
    <row r="33" spans="1:43" ht="15">
      <c r="B33" s="367" t="s">
        <v>327</v>
      </c>
      <c r="C33" s="345"/>
      <c r="D33" s="372">
        <f>D31/D32</f>
        <v>46.373494362533535</v>
      </c>
      <c r="E33" s="372">
        <f ca="1">E31/E32</f>
        <v>53.206943776930402</v>
      </c>
      <c r="F33" s="372">
        <f ca="1">F31/F32</f>
        <v>36.348751888768689</v>
      </c>
      <c r="G33" s="358"/>
      <c r="H33" s="399"/>
      <c r="I33" s="355"/>
      <c r="J33" s="355"/>
      <c r="K33" s="355"/>
      <c r="L33" s="355"/>
      <c r="M33" s="355"/>
      <c r="N33" s="355"/>
      <c r="O33" s="355"/>
      <c r="P33" s="355"/>
      <c r="Q33" s="355"/>
      <c r="R33" s="355"/>
      <c r="S33" s="355"/>
      <c r="T33" s="355"/>
      <c r="U33" s="355"/>
      <c r="V33" s="355"/>
      <c r="W33" s="355"/>
      <c r="X33" s="355"/>
      <c r="Y33" s="355"/>
      <c r="Z33" s="355"/>
      <c r="AA33" s="355"/>
      <c r="AB33" s="355"/>
      <c r="AC33" s="11"/>
      <c r="AD33" s="208" t="s">
        <v>56</v>
      </c>
      <c r="AE33" s="209"/>
      <c r="AF33" s="210" t="s">
        <v>271</v>
      </c>
      <c r="AG33" s="210" t="s">
        <v>257</v>
      </c>
      <c r="AH33" s="210" t="s">
        <v>57</v>
      </c>
      <c r="AI33" s="211" t="s">
        <v>256</v>
      </c>
      <c r="AJ33" s="197"/>
      <c r="AK33" s="208" t="s">
        <v>263</v>
      </c>
      <c r="AL33" s="209"/>
      <c r="AM33" s="210" t="s">
        <v>271</v>
      </c>
      <c r="AN33" s="210" t="s">
        <v>257</v>
      </c>
      <c r="AO33" s="210" t="s">
        <v>57</v>
      </c>
      <c r="AP33" s="211" t="s">
        <v>256</v>
      </c>
    </row>
    <row r="34" spans="1:43" ht="15">
      <c r="B34" s="368" t="s">
        <v>329</v>
      </c>
      <c r="C34" s="345"/>
      <c r="D34" s="373">
        <f>D33/$F$8-1</f>
        <v>0.12284489981921398</v>
      </c>
      <c r="E34" s="373">
        <f ca="1">E33/$F$8-1</f>
        <v>0.28830372341235844</v>
      </c>
      <c r="F34" s="373">
        <f ca="1">F33/$F$8-1</f>
        <v>-0.11988494216056433</v>
      </c>
      <c r="G34" s="358"/>
      <c r="H34" s="345"/>
      <c r="I34" s="355"/>
      <c r="J34" s="355"/>
      <c r="K34" s="355"/>
      <c r="L34" s="355"/>
      <c r="M34" s="355"/>
      <c r="N34" s="355"/>
      <c r="O34" s="355"/>
      <c r="P34" s="355"/>
      <c r="Q34" s="355"/>
      <c r="R34" s="355"/>
      <c r="S34" s="355"/>
      <c r="T34" s="355"/>
      <c r="U34" s="355"/>
      <c r="V34" s="355"/>
      <c r="W34" s="355"/>
      <c r="X34" s="355"/>
      <c r="Y34" s="355"/>
      <c r="Z34" s="355"/>
      <c r="AA34" s="355"/>
      <c r="AB34" s="355"/>
      <c r="AD34" s="21" t="s">
        <v>260</v>
      </c>
      <c r="AE34" s="22"/>
      <c r="AF34" s="201">
        <f ca="1">IF(scen=4,W10,AF34)</f>
        <v>425.74164050600007</v>
      </c>
      <c r="AG34" s="201">
        <f ca="1">IF(scen=3,W10,AG34)</f>
        <v>462.82819936010003</v>
      </c>
      <c r="AH34" s="201">
        <f>IF(scen=1,W10,AH34)</f>
        <v>485.76999930980014</v>
      </c>
      <c r="AI34" s="240">
        <f ca="1">IF(scen=2,W10,AI34)</f>
        <v>507.84557540900005</v>
      </c>
      <c r="AJ34" s="90"/>
      <c r="AK34" s="21" t="s">
        <v>265</v>
      </c>
      <c r="AL34" s="22"/>
      <c r="AM34" s="198">
        <f ca="1">IF(scen=4,$W$12,AM34)</f>
        <v>1.8950255231262272</v>
      </c>
      <c r="AN34" s="198">
        <f ca="1">IF(scen=3,$W$12,AN34)</f>
        <v>2.1292741952266665</v>
      </c>
      <c r="AO34" s="198">
        <f>IF(scen=1,$W$12,AO34)</f>
        <v>2.2952218516165424</v>
      </c>
      <c r="AP34" s="243">
        <f ca="1">IF(scen=2,$W$12,AP34)</f>
        <v>2.4870147566620999</v>
      </c>
    </row>
    <row r="35" spans="1:43" ht="15">
      <c r="B35" s="358"/>
      <c r="C35" s="358"/>
      <c r="D35" s="377"/>
      <c r="E35" s="377"/>
      <c r="F35" s="377"/>
      <c r="G35" s="35"/>
      <c r="AD35" s="25" t="s">
        <v>5</v>
      </c>
      <c r="AE35" s="26"/>
      <c r="AF35" s="194">
        <v>9</v>
      </c>
      <c r="AG35" s="194">
        <v>10</v>
      </c>
      <c r="AH35" s="194">
        <v>12</v>
      </c>
      <c r="AI35" s="241">
        <v>13</v>
      </c>
      <c r="AJ35" s="90"/>
      <c r="AK35" s="25" t="s">
        <v>267</v>
      </c>
      <c r="AL35" s="26"/>
      <c r="AM35" s="194">
        <v>16</v>
      </c>
      <c r="AN35" s="194">
        <v>18</v>
      </c>
      <c r="AO35" s="194">
        <v>21</v>
      </c>
      <c r="AP35" s="241">
        <v>22</v>
      </c>
    </row>
    <row r="36" spans="1:43" ht="15">
      <c r="B36" s="358"/>
      <c r="C36" s="358"/>
      <c r="D36" s="377"/>
      <c r="E36" s="377"/>
      <c r="F36" s="377"/>
      <c r="G36" s="35"/>
      <c r="AD36" s="267" t="s">
        <v>269</v>
      </c>
      <c r="AE36" s="268"/>
      <c r="AF36" s="269">
        <f ca="1">AF35*AF34</f>
        <v>3831.6747645540008</v>
      </c>
      <c r="AG36" s="269">
        <f ca="1">AG35*AG34</f>
        <v>4628.2819936010001</v>
      </c>
      <c r="AH36" s="269">
        <f>AH35*AH34</f>
        <v>5829.2399917176017</v>
      </c>
      <c r="AI36" s="270">
        <f ca="1">AI35*AI34</f>
        <v>6601.9924803170006</v>
      </c>
      <c r="AJ36" s="90"/>
      <c r="AK36" s="203" t="s">
        <v>8</v>
      </c>
      <c r="AL36" s="204"/>
      <c r="AM36" s="205">
        <f ca="1">AM35*AM34</f>
        <v>30.320408370019635</v>
      </c>
      <c r="AN36" s="205">
        <f ca="1">AN35*AN34</f>
        <v>38.326935514079999</v>
      </c>
      <c r="AO36" s="205">
        <f>AO35*AO34</f>
        <v>48.199658883947393</v>
      </c>
      <c r="AP36" s="244">
        <f ca="1">AP35*AP34</f>
        <v>54.714324646566197</v>
      </c>
    </row>
    <row r="37" spans="1:43" ht="15">
      <c r="B37" s="358"/>
      <c r="C37" s="358"/>
      <c r="D37" s="358"/>
      <c r="E37" s="358"/>
      <c r="F37" s="358"/>
      <c r="G37" s="35"/>
      <c r="AD37" s="166" t="s">
        <v>13</v>
      </c>
      <c r="AE37" s="26"/>
      <c r="AF37" s="200">
        <f ca="1">IF(scen=4,$W$26,AF37)</f>
        <v>134.59576943894797</v>
      </c>
      <c r="AG37" s="200">
        <f ca="1">IF(scen=3,$W$26,AG37)</f>
        <v>219.36839433277692</v>
      </c>
      <c r="AH37" s="200">
        <f>IF(scen=1,$W$26,AH37)</f>
        <v>309.77183781402766</v>
      </c>
      <c r="AI37" s="242">
        <f ca="1">IF(scen=2,$W$26,AI37)</f>
        <v>450.58050793219053</v>
      </c>
      <c r="AJ37" s="90"/>
      <c r="AK37" s="212" t="s">
        <v>270</v>
      </c>
      <c r="AL37" s="22"/>
      <c r="AM37" s="213">
        <f ca="1">AM36/$G$45-1</f>
        <v>-0.26584967627071099</v>
      </c>
      <c r="AN37" s="213">
        <f ca="1">AN36/$G$45-1</f>
        <v>-7.1987033557385005E-2</v>
      </c>
      <c r="AO37" s="213">
        <f>AO36/$G$45-1</f>
        <v>0.16706195844908955</v>
      </c>
      <c r="AP37" s="213">
        <f ca="1">AP36/$G$45-1</f>
        <v>0.32480204955366099</v>
      </c>
    </row>
    <row r="38" spans="1:43">
      <c r="B38" s="35"/>
      <c r="C38" s="35"/>
      <c r="D38" s="35"/>
      <c r="E38" s="35"/>
      <c r="F38" s="35"/>
      <c r="G38" s="35"/>
      <c r="AD38" s="267" t="s">
        <v>268</v>
      </c>
      <c r="AE38" s="268"/>
      <c r="AF38" s="271">
        <f ca="1">AF36-AF37</f>
        <v>3697.0789951150527</v>
      </c>
      <c r="AG38" s="271">
        <f ca="1">AG36-AG37</f>
        <v>4408.9135992682232</v>
      </c>
      <c r="AH38" s="271">
        <f>AH36-AH37</f>
        <v>5519.4681539035737</v>
      </c>
      <c r="AI38" s="240">
        <f ca="1">AI36-AI37</f>
        <v>6151.4119723848098</v>
      </c>
      <c r="AJ38" s="90"/>
    </row>
    <row r="39" spans="1:43">
      <c r="B39" s="35"/>
      <c r="C39" s="35"/>
      <c r="D39" s="35"/>
      <c r="E39" s="35"/>
      <c r="F39" s="35"/>
      <c r="G39" s="35"/>
      <c r="AD39" s="166" t="s">
        <v>61</v>
      </c>
      <c r="AE39" s="26"/>
      <c r="AF39" s="200">
        <f ca="1">IF(scen=4,$W$15,AF39)</f>
        <v>123.5675</v>
      </c>
      <c r="AG39" s="200">
        <f ca="1">IF(scen=3,$W$15,AG39)</f>
        <v>121.29477272727273</v>
      </c>
      <c r="AH39" s="200">
        <f>IF(scen=1,$W$15,AH39)</f>
        <v>119.02204545454545</v>
      </c>
      <c r="AI39" s="242">
        <f ca="1">IF(scen=2,$W$15,AI39)</f>
        <v>115.61295454545454</v>
      </c>
      <c r="AJ39" s="90"/>
      <c r="AK39" s="208" t="s">
        <v>264</v>
      </c>
      <c r="AL39" s="209"/>
      <c r="AM39" s="209" t="s">
        <v>271</v>
      </c>
      <c r="AN39" s="210" t="s">
        <v>257</v>
      </c>
      <c r="AO39" s="210" t="s">
        <v>57</v>
      </c>
      <c r="AP39" s="211" t="s">
        <v>256</v>
      </c>
    </row>
    <row r="40" spans="1:43">
      <c r="B40" s="35"/>
      <c r="C40" s="35"/>
      <c r="D40" s="35"/>
      <c r="E40" s="35"/>
      <c r="F40" s="35"/>
      <c r="G40" s="35"/>
      <c r="AJ40" s="90"/>
      <c r="AK40" s="21" t="s">
        <v>266</v>
      </c>
      <c r="AL40" s="22"/>
      <c r="AM40" s="198">
        <f ca="1">IF(scen=4,$W$16,AM40)</f>
        <v>1.7009591888537514</v>
      </c>
      <c r="AN40" s="198">
        <f ca="1">IF(scen=3,$W$16,AN40)</f>
        <v>1.8583706833078895</v>
      </c>
      <c r="AO40" s="198">
        <f>IF(scen=1,$W$16,AO40)</f>
        <v>1.9744846872368325</v>
      </c>
      <c r="AP40" s="243">
        <f ca="1">IF(scen=2,$W$16,AP40)</f>
        <v>2.1122073822569249</v>
      </c>
    </row>
    <row r="41" spans="1:43">
      <c r="B41" s="35"/>
      <c r="C41" s="35"/>
      <c r="D41" s="35"/>
      <c r="E41" s="35"/>
      <c r="F41" s="35"/>
      <c r="G41" s="35"/>
      <c r="AJ41" s="90"/>
      <c r="AK41" s="25" t="s">
        <v>68</v>
      </c>
      <c r="AL41" s="26"/>
      <c r="AM41" s="199">
        <v>0.06</v>
      </c>
      <c r="AN41" s="199">
        <v>5.5E-2</v>
      </c>
      <c r="AO41" s="199">
        <v>0.04</v>
      </c>
      <c r="AP41" s="245">
        <v>3.5000000000000003E-2</v>
      </c>
    </row>
    <row r="42" spans="1:43">
      <c r="B42" s="35"/>
      <c r="C42" s="35"/>
      <c r="D42" s="35"/>
      <c r="E42" s="35"/>
      <c r="F42" s="35"/>
      <c r="G42" s="35"/>
      <c r="AC42" s="11"/>
      <c r="AD42" s="203" t="s">
        <v>8</v>
      </c>
      <c r="AE42" s="204"/>
      <c r="AF42" s="206">
        <f ca="1">AF38/AF39</f>
        <v>29.919509540251706</v>
      </c>
      <c r="AG42" s="206">
        <f ca="1">AG38/AG39</f>
        <v>36.348751888768689</v>
      </c>
      <c r="AH42" s="206">
        <f>AH38/AH39</f>
        <v>46.373494362533535</v>
      </c>
      <c r="AI42" s="207">
        <f ca="1">AI38/AI39</f>
        <v>53.206943776930402</v>
      </c>
      <c r="AJ42" s="90"/>
      <c r="AK42" s="203" t="s">
        <v>8</v>
      </c>
      <c r="AL42" s="204"/>
      <c r="AM42" s="205">
        <f ca="1">AM40/AM41</f>
        <v>28.34931981422919</v>
      </c>
      <c r="AN42" s="205">
        <f ca="1">AN40/AN41</f>
        <v>33.788557878325264</v>
      </c>
      <c r="AO42" s="205">
        <f>AO40/AO41</f>
        <v>49.362117180920812</v>
      </c>
      <c r="AP42" s="244">
        <f ca="1">AP40/AP41</f>
        <v>60.348782350197851</v>
      </c>
      <c r="AQ42" s="11"/>
    </row>
    <row r="43" spans="1:43">
      <c r="B43" s="35"/>
      <c r="C43" s="35"/>
      <c r="D43" s="35"/>
      <c r="E43" s="35"/>
      <c r="F43" s="35"/>
      <c r="G43" s="35"/>
      <c r="AB43" s="11"/>
      <c r="AD43" s="212" t="s">
        <v>270</v>
      </c>
      <c r="AE43" s="22"/>
      <c r="AF43" s="213">
        <f ca="1">AF42/$G$45-1</f>
        <v>-0.27555666972756154</v>
      </c>
      <c r="AG43" s="213">
        <f ca="1">AG42/$G$45-1</f>
        <v>-0.11988494216056433</v>
      </c>
      <c r="AH43" s="213">
        <f>AH42/$G$45-1</f>
        <v>0.12284489981921398</v>
      </c>
      <c r="AI43" s="213">
        <f ca="1">AI42/$G$45-1</f>
        <v>0.28830372341235844</v>
      </c>
      <c r="AJ43" s="197"/>
      <c r="AK43" s="212" t="s">
        <v>270</v>
      </c>
      <c r="AL43" s="22"/>
      <c r="AM43" s="213">
        <f ca="1">AM42/$G$45-1</f>
        <v>-0.31357579142302194</v>
      </c>
      <c r="AN43" s="213">
        <f ca="1">AN42/$G$45-1</f>
        <v>-0.1818751119049572</v>
      </c>
      <c r="AO43" s="213">
        <f>AO42/$G$45-1</f>
        <v>0.19520864844844588</v>
      </c>
      <c r="AP43" s="213">
        <f ca="1">AP42/$G$45-1</f>
        <v>0.46122959685709097</v>
      </c>
      <c r="AQ43" s="11"/>
    </row>
    <row r="44" spans="1:43" ht="15.75" thickBot="1">
      <c r="A44" s="15"/>
      <c r="B44" s="411" t="s">
        <v>261</v>
      </c>
      <c r="C44" s="412"/>
      <c r="D44" s="412"/>
      <c r="E44" s="412"/>
      <c r="F44" s="412"/>
      <c r="G44" s="413">
        <v>42459</v>
      </c>
      <c r="H44" s="414" t="s">
        <v>262</v>
      </c>
      <c r="I44" s="415" t="s">
        <v>305</v>
      </c>
      <c r="J44" s="415" t="s">
        <v>10</v>
      </c>
      <c r="K44" s="415" t="s">
        <v>11</v>
      </c>
      <c r="L44" s="416" t="s">
        <v>51</v>
      </c>
      <c r="M44" s="37"/>
      <c r="N44" s="179" t="s">
        <v>10</v>
      </c>
      <c r="O44" s="179"/>
      <c r="P44" s="179"/>
      <c r="Q44" s="179"/>
      <c r="R44" s="179"/>
      <c r="S44" s="179" t="s">
        <v>11</v>
      </c>
      <c r="T44" s="179"/>
      <c r="U44" s="179"/>
      <c r="V44" s="179"/>
      <c r="W44" s="179"/>
      <c r="X44" s="179" t="s">
        <v>51</v>
      </c>
      <c r="Y44" s="20"/>
      <c r="Z44" s="20"/>
      <c r="AA44" s="20"/>
      <c r="AB44" s="20"/>
      <c r="AD44" s="22"/>
      <c r="AE44" s="22"/>
      <c r="AF44" s="22"/>
      <c r="AG44" s="196"/>
      <c r="AH44" s="196"/>
      <c r="AI44" s="196"/>
      <c r="AJ44" s="197"/>
      <c r="AK44" s="22"/>
      <c r="AL44" s="22"/>
      <c r="AM44" s="22"/>
      <c r="AN44" s="193"/>
      <c r="AO44" s="193"/>
      <c r="AP44" s="193"/>
      <c r="AQ44" s="11"/>
    </row>
    <row r="45" spans="1:43" ht="14.25">
      <c r="A45" s="18"/>
      <c r="B45" s="417" t="s">
        <v>0</v>
      </c>
      <c r="C45" s="418"/>
      <c r="D45" s="418"/>
      <c r="E45" s="418"/>
      <c r="F45" s="418"/>
      <c r="G45" s="419">
        <v>41.3</v>
      </c>
      <c r="H45" s="420" t="s">
        <v>3</v>
      </c>
      <c r="I45" s="421">
        <f>M12</f>
        <v>1.6723073996575994</v>
      </c>
      <c r="J45" s="421">
        <f>R12</f>
        <v>1.9551737749308233</v>
      </c>
      <c r="K45" s="421">
        <f>W12</f>
        <v>2.2952218516165424</v>
      </c>
      <c r="L45" s="422">
        <f>AB12</f>
        <v>2.5629918469889796</v>
      </c>
      <c r="M45" s="214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D45" s="22"/>
      <c r="AE45" s="22"/>
      <c r="AF45" s="22"/>
      <c r="AG45" s="22"/>
      <c r="AH45" s="22"/>
      <c r="AI45" s="22"/>
      <c r="AJ45" s="11"/>
      <c r="AK45" s="22"/>
      <c r="AL45" s="22"/>
      <c r="AM45" s="22"/>
      <c r="AN45" s="193"/>
      <c r="AO45" s="193"/>
      <c r="AP45" s="193"/>
      <c r="AQ45" s="11"/>
    </row>
    <row r="46" spans="1:43" ht="15.75" thickBot="1">
      <c r="A46" s="18"/>
      <c r="B46" s="423" t="s">
        <v>279</v>
      </c>
      <c r="C46" s="424"/>
      <c r="D46" s="424"/>
      <c r="E46" s="424"/>
      <c r="F46" s="424"/>
      <c r="G46" s="425">
        <f>Model!T27</f>
        <v>122.9</v>
      </c>
      <c r="H46" s="426" t="s">
        <v>273</v>
      </c>
      <c r="I46" s="427">
        <f>$G$45/I45</f>
        <v>24.696416465331712</v>
      </c>
      <c r="J46" s="427">
        <f>$G$45/J45</f>
        <v>21.12344208455908</v>
      </c>
      <c r="K46" s="427">
        <f>$G$45/K45</f>
        <v>17.993903278200357</v>
      </c>
      <c r="L46" s="428">
        <f>$G$45/L45</f>
        <v>16.11398024871578</v>
      </c>
      <c r="M46" s="144"/>
      <c r="N46" s="144">
        <f>$G$45/R12</f>
        <v>21.12344208455908</v>
      </c>
      <c r="O46" s="144"/>
      <c r="P46" s="144"/>
      <c r="Q46" s="144"/>
      <c r="R46" s="144"/>
      <c r="S46" s="144">
        <f>$G$45/W12</f>
        <v>17.993903278200357</v>
      </c>
      <c r="T46" s="144"/>
      <c r="U46" s="144"/>
      <c r="V46" s="144"/>
      <c r="W46" s="144"/>
      <c r="X46" s="144">
        <f>$G$45/AB12</f>
        <v>16.11398024871578</v>
      </c>
      <c r="Y46" s="23"/>
      <c r="Z46" s="23"/>
      <c r="AA46" s="23"/>
      <c r="AB46" s="23"/>
      <c r="AD46" s="208" t="s">
        <v>272</v>
      </c>
      <c r="AE46" s="209"/>
      <c r="AF46" s="210" t="s">
        <v>271</v>
      </c>
      <c r="AG46" s="210" t="s">
        <v>257</v>
      </c>
      <c r="AH46" s="210" t="s">
        <v>57</v>
      </c>
      <c r="AI46" s="211" t="s">
        <v>256</v>
      </c>
      <c r="AM46" s="33"/>
      <c r="AN46" s="195"/>
      <c r="AO46" s="195"/>
      <c r="AP46" s="195"/>
      <c r="AQ46" s="11"/>
    </row>
    <row r="47" spans="1:43" ht="14.25">
      <c r="A47" s="9"/>
      <c r="B47" s="417" t="s">
        <v>53</v>
      </c>
      <c r="C47" s="418"/>
      <c r="D47" s="418"/>
      <c r="E47" s="418"/>
      <c r="F47" s="418"/>
      <c r="G47" s="429">
        <f>G45*G46</f>
        <v>5075.7699999999995</v>
      </c>
      <c r="H47" s="420" t="s">
        <v>4</v>
      </c>
      <c r="I47" s="430">
        <f>M10</f>
        <v>393.29399999999998</v>
      </c>
      <c r="J47" s="430">
        <f>R10</f>
        <v>436.22626000000025</v>
      </c>
      <c r="K47" s="430">
        <f>W10</f>
        <v>485.76999930980014</v>
      </c>
      <c r="L47" s="431">
        <f>AB10</f>
        <v>522.3721529479451</v>
      </c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D47" s="267" t="s">
        <v>2</v>
      </c>
      <c r="AE47" s="268"/>
      <c r="AF47" s="449">
        <f ca="1">(AF42+AM42+AM36)/3</f>
        <v>29.529745908166845</v>
      </c>
      <c r="AG47" s="449">
        <f ca="1">(AG42+AN42+AN36)/3</f>
        <v>36.154748427057989</v>
      </c>
      <c r="AH47" s="449">
        <f>(AH42+AO42+AO36)/3</f>
        <v>47.978423475800582</v>
      </c>
      <c r="AI47" s="450">
        <f ca="1">(AI42+AP42+AP36)/3</f>
        <v>56.090016924564814</v>
      </c>
      <c r="AJ47" s="410"/>
    </row>
    <row r="48" spans="1:43" ht="15.75" thickBot="1">
      <c r="A48" s="27"/>
      <c r="B48" s="423" t="s">
        <v>13</v>
      </c>
      <c r="C48" s="424"/>
      <c r="D48" s="424"/>
      <c r="E48" s="424"/>
      <c r="F48" s="424"/>
      <c r="G48" s="432">
        <f>Model!T137</f>
        <v>516.79100000000005</v>
      </c>
      <c r="H48" s="426" t="s">
        <v>274</v>
      </c>
      <c r="I48" s="433">
        <f>$G$49/I47</f>
        <v>14.21979740346916</v>
      </c>
      <c r="J48" s="433">
        <f>$G$49/J47</f>
        <v>12.820321729370434</v>
      </c>
      <c r="K48" s="433">
        <f>$G$49/K47</f>
        <v>11.51277560974559</v>
      </c>
      <c r="L48" s="434">
        <f>$G$49/L47</f>
        <v>10.706085629639801</v>
      </c>
      <c r="AD48" s="451" t="s">
        <v>270</v>
      </c>
      <c r="AE48" s="452"/>
      <c r="AF48" s="453">
        <f ca="1">AF47/$G$45-1</f>
        <v>-0.28499404580709808</v>
      </c>
      <c r="AG48" s="453">
        <f ca="1">AG47/$G$45-1</f>
        <v>-0.12458236254096877</v>
      </c>
      <c r="AH48" s="453">
        <f>AH47/$G$45-1</f>
        <v>0.16170516890558329</v>
      </c>
      <c r="AI48" s="454">
        <f ca="1">AI47/$G$45-1</f>
        <v>0.35811178994103665</v>
      </c>
    </row>
    <row r="49" spans="1:61" ht="15">
      <c r="A49" s="27"/>
      <c r="B49" s="435" t="s">
        <v>54</v>
      </c>
      <c r="C49" s="436"/>
      <c r="D49" s="436"/>
      <c r="E49" s="436"/>
      <c r="F49" s="436"/>
      <c r="G49" s="437">
        <f>G47+G48</f>
        <v>5592.5609999999997</v>
      </c>
      <c r="H49" s="420" t="s">
        <v>352</v>
      </c>
      <c r="I49" s="421">
        <f>M16</f>
        <v>1.4185725699067904</v>
      </c>
      <c r="J49" s="421">
        <f>R16</f>
        <v>1.546547077446466</v>
      </c>
      <c r="K49" s="421">
        <f>W16</f>
        <v>1.9744846872368325</v>
      </c>
      <c r="L49" s="422">
        <f>AB16</f>
        <v>2.5022890913779721</v>
      </c>
      <c r="AF49" s="227"/>
      <c r="AG49" s="227"/>
      <c r="AH49" s="227"/>
      <c r="AI49" s="227"/>
      <c r="AJ49" s="227"/>
    </row>
    <row r="50" spans="1:61" ht="15">
      <c r="A50" s="27"/>
      <c r="B50" s="438" t="s">
        <v>203</v>
      </c>
      <c r="C50" s="439"/>
      <c r="D50" s="439"/>
      <c r="E50" s="439"/>
      <c r="F50" s="439"/>
      <c r="G50" s="440">
        <v>3.2500000000000001E-2</v>
      </c>
      <c r="H50" s="441" t="s">
        <v>275</v>
      </c>
      <c r="I50" s="442">
        <f>I49/$G$45</f>
        <v>3.4348004113965873E-2</v>
      </c>
      <c r="J50" s="442">
        <f>J49/$G$45</f>
        <v>3.7446660470858747E-2</v>
      </c>
      <c r="K50" s="442">
        <f>K49/$G$45</f>
        <v>4.7808345937937834E-2</v>
      </c>
      <c r="L50" s="443">
        <f>L49/$G$45</f>
        <v>6.0588113592686982E-2</v>
      </c>
    </row>
    <row r="51" spans="1:61">
      <c r="A51" s="27"/>
    </row>
    <row r="52" spans="1:61">
      <c r="B52" s="35"/>
      <c r="C52" s="35"/>
      <c r="D52" s="35"/>
      <c r="E52" s="35"/>
      <c r="F52" s="35"/>
      <c r="G52" s="35"/>
      <c r="H52" s="11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S52" s="455" t="s">
        <v>316</v>
      </c>
      <c r="AT52" s="314"/>
      <c r="AU52" s="314"/>
      <c r="AV52" s="314"/>
      <c r="AW52" s="314"/>
      <c r="AX52" s="314"/>
      <c r="AY52" s="315" t="s">
        <v>66</v>
      </c>
      <c r="AZ52" s="315"/>
      <c r="BA52" s="315"/>
      <c r="BB52" s="315"/>
      <c r="BC52" s="315"/>
      <c r="BD52" s="315"/>
      <c r="BE52" s="315"/>
      <c r="BF52" s="315"/>
      <c r="BG52" s="315"/>
      <c r="BH52" s="315"/>
      <c r="BI52" s="316"/>
    </row>
    <row r="53" spans="1:61">
      <c r="B53" s="35"/>
      <c r="C53" s="35"/>
      <c r="D53" s="35"/>
      <c r="E53" s="35"/>
      <c r="F53" s="35"/>
      <c r="G53" s="35"/>
      <c r="H53" s="28"/>
      <c r="I53" s="265"/>
      <c r="J53" s="265"/>
      <c r="K53" s="265"/>
      <c r="L53" s="265"/>
      <c r="M53" s="265"/>
      <c r="N53" s="139"/>
      <c r="O53" s="139"/>
      <c r="P53" s="139"/>
      <c r="Q53" s="139"/>
      <c r="R53" s="265"/>
      <c r="S53" s="265"/>
      <c r="T53" s="265"/>
      <c r="U53" s="265"/>
      <c r="V53" s="265"/>
      <c r="W53" s="265"/>
      <c r="X53" s="265"/>
      <c r="Y53" s="265"/>
      <c r="Z53" s="265"/>
      <c r="AA53" s="265"/>
      <c r="AB53" s="265"/>
      <c r="AS53" s="456"/>
      <c r="AT53" s="317">
        <v>2011</v>
      </c>
      <c r="AU53" s="317">
        <v>2012</v>
      </c>
      <c r="AV53" s="317">
        <v>2013</v>
      </c>
      <c r="AW53" s="317">
        <v>2014</v>
      </c>
      <c r="AX53" s="317">
        <v>2015</v>
      </c>
      <c r="AY53" s="317" t="s">
        <v>10</v>
      </c>
      <c r="AZ53" s="317"/>
      <c r="BA53" s="317"/>
      <c r="BB53" s="317"/>
      <c r="BC53" s="317"/>
      <c r="BD53" s="317" t="s">
        <v>11</v>
      </c>
      <c r="BE53" s="317"/>
      <c r="BF53" s="317"/>
      <c r="BG53" s="317"/>
      <c r="BH53" s="317"/>
      <c r="BI53" s="318" t="s">
        <v>51</v>
      </c>
    </row>
    <row r="54" spans="1:61">
      <c r="H54" s="11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S54" s="313" t="s">
        <v>40</v>
      </c>
      <c r="AT54" s="24">
        <f>Model!J12</f>
        <v>861.34500000000003</v>
      </c>
      <c r="AU54" s="24">
        <f>Model!K12</f>
        <v>924.19100000000003</v>
      </c>
      <c r="AV54" s="24">
        <f>Model!L12</f>
        <v>1046.386</v>
      </c>
      <c r="AW54" s="24">
        <f>Model!M12</f>
        <v>1163.489</v>
      </c>
      <c r="AX54" s="24">
        <f>Model!R12</f>
        <v>1146.0790000000002</v>
      </c>
      <c r="AY54" s="24">
        <f>Model!W12</f>
        <v>1209.7272600000001</v>
      </c>
      <c r="AZ54" s="24"/>
      <c r="BA54" s="24"/>
      <c r="BB54" s="24"/>
      <c r="BC54" s="24"/>
      <c r="BD54" s="24">
        <f>Model!AB12</f>
        <v>1277.5311189000001</v>
      </c>
      <c r="BE54" s="24"/>
      <c r="BF54" s="24"/>
      <c r="BG54" s="24"/>
      <c r="BH54" s="24"/>
      <c r="BI54" s="24">
        <f>Model!AG12</f>
        <v>1338.1255615110001</v>
      </c>
    </row>
    <row r="55" spans="1:61">
      <c r="H55" s="11"/>
      <c r="I55" s="266"/>
      <c r="J55" s="266"/>
      <c r="K55" s="266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S55" s="11" t="s">
        <v>351</v>
      </c>
      <c r="AY55" s="88">
        <f>R8</f>
        <v>1209.7272600000001</v>
      </c>
      <c r="AZ55" s="88"/>
      <c r="BA55" s="88"/>
      <c r="BB55" s="88"/>
      <c r="BC55" s="88"/>
      <c r="BD55" s="88">
        <f>W8</f>
        <v>1277.5311189000001</v>
      </c>
      <c r="BE55" s="88"/>
      <c r="BF55" s="88"/>
      <c r="BG55" s="88"/>
      <c r="BH55" s="88"/>
      <c r="BI55" s="88">
        <f>AB8</f>
        <v>1338.1255615110001</v>
      </c>
    </row>
    <row r="56" spans="1:61">
      <c r="H56" s="11"/>
      <c r="I56" s="266"/>
      <c r="J56" s="266"/>
      <c r="K56" s="266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S56" s="28" t="s">
        <v>317</v>
      </c>
      <c r="AY56" s="39">
        <f>R18</f>
        <v>5.553566551694944E-2</v>
      </c>
      <c r="AZ56" s="39"/>
      <c r="BA56" s="39"/>
      <c r="BB56" s="39"/>
      <c r="BC56" s="39"/>
      <c r="BD56" s="39">
        <f>W18</f>
        <v>5.6048880720436012E-2</v>
      </c>
      <c r="BE56" s="39"/>
      <c r="BF56" s="39"/>
      <c r="BG56" s="39"/>
      <c r="BH56" s="39"/>
      <c r="BI56" s="39">
        <f>AB18</f>
        <v>4.7430893631126514E-2</v>
      </c>
    </row>
    <row r="57" spans="1:61">
      <c r="H57" s="11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S57" s="32" t="s">
        <v>52</v>
      </c>
      <c r="AY57" s="88">
        <f>R9</f>
        <v>1209</v>
      </c>
      <c r="AZ57" s="88"/>
      <c r="BA57" s="88"/>
      <c r="BB57" s="88"/>
      <c r="BC57" s="88"/>
      <c r="BD57" s="88">
        <f>W9</f>
        <v>1274</v>
      </c>
      <c r="BI57" s="88">
        <f>AB9</f>
        <v>1331</v>
      </c>
    </row>
    <row r="58" spans="1:61">
      <c r="H58" s="11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S58" s="28" t="s">
        <v>317</v>
      </c>
      <c r="AY58" s="39">
        <f>AY56</f>
        <v>5.553566551694944E-2</v>
      </c>
      <c r="AZ58" s="39"/>
      <c r="BA58" s="39"/>
      <c r="BB58" s="39"/>
      <c r="BC58" s="39"/>
      <c r="BD58" s="39">
        <f>BD57/AY57-1</f>
        <v>5.3763440860215006E-2</v>
      </c>
      <c r="BE58" s="39"/>
      <c r="BF58" s="39"/>
      <c r="BG58" s="39"/>
      <c r="BH58" s="39"/>
      <c r="BI58" s="39">
        <f>BI57/BD57-1</f>
        <v>4.4740973312401788E-2</v>
      </c>
    </row>
    <row r="59" spans="1:61">
      <c r="H59" s="11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Y59" s="88"/>
      <c r="AZ59" s="88"/>
      <c r="BA59" s="88"/>
      <c r="BB59" s="88"/>
      <c r="BC59" s="88"/>
    </row>
    <row r="60" spans="1:61">
      <c r="H60" s="11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S60" s="313" t="s">
        <v>4</v>
      </c>
    </row>
    <row r="61" spans="1:61">
      <c r="H61" s="11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S61" s="11" t="s">
        <v>351</v>
      </c>
      <c r="AY61" s="88">
        <f t="shared" ref="AY61:BI61" si="2">R10</f>
        <v>436.22626000000025</v>
      </c>
      <c r="AZ61" s="88">
        <f t="shared" si="2"/>
        <v>0</v>
      </c>
      <c r="BA61" s="88">
        <f t="shared" si="2"/>
        <v>0</v>
      </c>
      <c r="BB61" s="88">
        <f t="shared" si="2"/>
        <v>0</v>
      </c>
      <c r="BC61" s="88">
        <f t="shared" si="2"/>
        <v>0</v>
      </c>
      <c r="BD61" s="88">
        <f t="shared" si="2"/>
        <v>485.76999930980014</v>
      </c>
      <c r="BE61" s="88">
        <f t="shared" si="2"/>
        <v>0</v>
      </c>
      <c r="BF61" s="88">
        <f t="shared" si="2"/>
        <v>0</v>
      </c>
      <c r="BG61" s="88">
        <f t="shared" si="2"/>
        <v>0</v>
      </c>
      <c r="BH61" s="88">
        <f t="shared" si="2"/>
        <v>0</v>
      </c>
      <c r="BI61" s="88">
        <f t="shared" si="2"/>
        <v>522.3721529479451</v>
      </c>
    </row>
    <row r="62" spans="1:61">
      <c r="H62" s="11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S62" s="28" t="s">
        <v>317</v>
      </c>
      <c r="AY62" s="39">
        <f>AY61/M10-1</f>
        <v>0.10916072963228585</v>
      </c>
      <c r="AZ62" s="39"/>
      <c r="BA62" s="39"/>
      <c r="BB62" s="39"/>
      <c r="BC62" s="39"/>
      <c r="BD62" s="39">
        <f>BD61/AY61-1</f>
        <v>0.11357349121944171</v>
      </c>
      <c r="BE62" s="39"/>
      <c r="BF62" s="39"/>
      <c r="BG62" s="39"/>
      <c r="BH62" s="39"/>
      <c r="BI62" s="39">
        <f>BI61/BD61-1</f>
        <v>7.5348732301604882E-2</v>
      </c>
    </row>
    <row r="63" spans="1:61">
      <c r="H63" s="11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S63" s="32" t="s">
        <v>52</v>
      </c>
      <c r="AY63" s="88">
        <f t="shared" ref="AY63:BI63" si="3">R11</f>
        <v>428</v>
      </c>
      <c r="AZ63" s="88">
        <f t="shared" si="3"/>
        <v>0</v>
      </c>
      <c r="BA63" s="88">
        <f t="shared" si="3"/>
        <v>0</v>
      </c>
      <c r="BB63" s="88">
        <f t="shared" si="3"/>
        <v>0</v>
      </c>
      <c r="BC63" s="88">
        <f t="shared" si="3"/>
        <v>0</v>
      </c>
      <c r="BD63" s="88">
        <f t="shared" si="3"/>
        <v>462</v>
      </c>
      <c r="BE63" s="88">
        <f t="shared" si="3"/>
        <v>0</v>
      </c>
      <c r="BF63" s="88">
        <f t="shared" si="3"/>
        <v>0</v>
      </c>
      <c r="BG63" s="88">
        <f t="shared" si="3"/>
        <v>0</v>
      </c>
      <c r="BH63" s="88">
        <f t="shared" si="3"/>
        <v>0</v>
      </c>
      <c r="BI63" s="88">
        <f t="shared" si="3"/>
        <v>483</v>
      </c>
    </row>
    <row r="64" spans="1:61">
      <c r="H64" s="11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S64" s="28" t="s">
        <v>317</v>
      </c>
      <c r="AY64" s="39">
        <f>AY63/M10-1</f>
        <v>8.8244417662105334E-2</v>
      </c>
      <c r="BD64" s="39">
        <f>BD63/AY63-1</f>
        <v>7.9439252336448662E-2</v>
      </c>
      <c r="BI64" s="39">
        <f>BI63/BD63-1</f>
        <v>4.5454545454545414E-2</v>
      </c>
    </row>
    <row r="65" spans="8:61">
      <c r="H65" s="11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S65" s="313"/>
    </row>
    <row r="66" spans="8:61">
      <c r="H66" s="11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S66" s="313" t="s">
        <v>3</v>
      </c>
    </row>
    <row r="67" spans="8:61">
      <c r="H67" s="11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S67" s="11" t="s">
        <v>351</v>
      </c>
      <c r="AY67" s="119">
        <f t="shared" ref="AY67:BI67" si="4">R12</f>
        <v>1.9551737749308233</v>
      </c>
      <c r="AZ67" s="119">
        <f t="shared" si="4"/>
        <v>0</v>
      </c>
      <c r="BA67" s="119">
        <f t="shared" si="4"/>
        <v>0</v>
      </c>
      <c r="BB67" s="119">
        <f t="shared" si="4"/>
        <v>0</v>
      </c>
      <c r="BC67" s="119">
        <f t="shared" si="4"/>
        <v>0</v>
      </c>
      <c r="BD67" s="119">
        <f t="shared" si="4"/>
        <v>2.2952218516165424</v>
      </c>
      <c r="BE67" s="119">
        <f t="shared" si="4"/>
        <v>0</v>
      </c>
      <c r="BF67" s="119">
        <f t="shared" si="4"/>
        <v>0</v>
      </c>
      <c r="BG67" s="119">
        <f t="shared" si="4"/>
        <v>0</v>
      </c>
      <c r="BH67" s="119">
        <f t="shared" si="4"/>
        <v>0</v>
      </c>
      <c r="BI67" s="119">
        <f t="shared" si="4"/>
        <v>2.5629918469889796</v>
      </c>
    </row>
    <row r="68" spans="8:61">
      <c r="H68" s="11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S68" s="28" t="s">
        <v>317</v>
      </c>
      <c r="AY68" s="39">
        <f>AY67/M12-1</f>
        <v>0.16914735612073484</v>
      </c>
      <c r="AZ68" s="39"/>
      <c r="BA68" s="39"/>
      <c r="BB68" s="39"/>
      <c r="BC68" s="39"/>
      <c r="BD68" s="39">
        <f>BD67/AY67-1</f>
        <v>0.17392217563768742</v>
      </c>
      <c r="BE68" s="39"/>
      <c r="BF68" s="39"/>
      <c r="BG68" s="39"/>
      <c r="BH68" s="39"/>
      <c r="BI68" s="39">
        <f>BI67/BD67-1</f>
        <v>0.11666410163524921</v>
      </c>
    </row>
    <row r="69" spans="8:61">
      <c r="H69" s="11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S69" s="32" t="s">
        <v>52</v>
      </c>
      <c r="AY69" s="119">
        <f t="shared" ref="AY69:BI69" si="5">R13</f>
        <v>1.9268253697233373</v>
      </c>
      <c r="AZ69" s="119">
        <f t="shared" si="5"/>
        <v>0</v>
      </c>
      <c r="BA69" s="119">
        <f t="shared" si="5"/>
        <v>0</v>
      </c>
      <c r="BB69" s="119">
        <f t="shared" si="5"/>
        <v>0</v>
      </c>
      <c r="BC69" s="119">
        <f t="shared" si="5"/>
        <v>0</v>
      </c>
      <c r="BD69" s="119">
        <f t="shared" si="5"/>
        <v>2.16</v>
      </c>
      <c r="BE69" s="119">
        <f t="shared" si="5"/>
        <v>0</v>
      </c>
      <c r="BF69" s="119">
        <f t="shared" si="5"/>
        <v>0</v>
      </c>
      <c r="BG69" s="119">
        <f t="shared" si="5"/>
        <v>0</v>
      </c>
      <c r="BH69" s="119">
        <f t="shared" si="5"/>
        <v>0</v>
      </c>
      <c r="BI69" s="119">
        <f t="shared" si="5"/>
        <v>2.2999999999999998</v>
      </c>
    </row>
    <row r="70" spans="8:61">
      <c r="H70" s="11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S70" s="28" t="s">
        <v>317</v>
      </c>
      <c r="AY70" s="39">
        <f>AY69/M12-1</f>
        <v>0.15219568490688351</v>
      </c>
      <c r="BD70" s="39">
        <f>BD69/AY69-1</f>
        <v>0.12101492638647526</v>
      </c>
      <c r="BI70" s="39">
        <f>BI69/BD69-1</f>
        <v>6.4814814814814659E-2</v>
      </c>
    </row>
    <row r="71" spans="8:61">
      <c r="H71" s="11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S71" s="28"/>
    </row>
    <row r="72" spans="8:61">
      <c r="H72" s="11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S72" s="28" t="s">
        <v>52</v>
      </c>
      <c r="AT72" s="29"/>
      <c r="AU72" s="29"/>
      <c r="AV72" s="29"/>
      <c r="AW72" s="29"/>
      <c r="AX72" s="29"/>
      <c r="AY72" s="24">
        <f>Model!W33</f>
        <v>1209</v>
      </c>
      <c r="AZ72" s="24"/>
      <c r="BA72" s="24"/>
      <c r="BB72" s="24"/>
      <c r="BC72" s="24"/>
      <c r="BD72" s="24">
        <f>Model!AB33</f>
        <v>1274</v>
      </c>
      <c r="BE72" s="24"/>
      <c r="BF72" s="24"/>
      <c r="BG72" s="24"/>
      <c r="BH72" s="24"/>
      <c r="BI72" s="24">
        <f>Model!AG33</f>
        <v>1331</v>
      </c>
    </row>
    <row r="73" spans="8:61">
      <c r="H73" s="11"/>
      <c r="I73" s="141"/>
      <c r="J73" s="141"/>
      <c r="K73" s="141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1"/>
      <c r="AS73" s="11" t="s">
        <v>4</v>
      </c>
      <c r="AT73" s="24">
        <f>Model!J21</f>
        <v>310.89400000000001</v>
      </c>
      <c r="AU73" s="24">
        <f>Model!K21</f>
        <v>334.46699999999998</v>
      </c>
      <c r="AV73" s="24">
        <f>Model!L21</f>
        <v>339.72</v>
      </c>
      <c r="AW73" s="24">
        <f>Model!M21</f>
        <v>328.65600000000001</v>
      </c>
      <c r="AX73" s="24">
        <f>Model!R21</f>
        <v>393.29399999999998</v>
      </c>
      <c r="AY73" s="24">
        <f>Model!W21</f>
        <v>436.22626000000025</v>
      </c>
      <c r="AZ73" s="24"/>
      <c r="BA73" s="24"/>
      <c r="BB73" s="24"/>
      <c r="BC73" s="24"/>
      <c r="BD73" s="24">
        <f>Model!AB21</f>
        <v>485.76999930980014</v>
      </c>
      <c r="BE73" s="24"/>
      <c r="BF73" s="24"/>
      <c r="BG73" s="24"/>
      <c r="BH73" s="24"/>
      <c r="BI73" s="24">
        <f>Model!AG21</f>
        <v>522.3721529479451</v>
      </c>
    </row>
    <row r="74" spans="8:61">
      <c r="H74" s="11"/>
      <c r="I74" s="141"/>
      <c r="J74" s="141"/>
      <c r="K74" s="141"/>
      <c r="L74" s="144"/>
      <c r="M74" s="144"/>
      <c r="N74" s="144"/>
      <c r="O74" s="144"/>
      <c r="P74" s="144"/>
      <c r="Q74" s="144"/>
      <c r="R74" s="144"/>
      <c r="S74" s="144"/>
      <c r="T74" s="144"/>
      <c r="U74" s="144"/>
      <c r="V74" s="144"/>
      <c r="W74" s="144"/>
      <c r="X74" s="144"/>
      <c r="Y74" s="144"/>
      <c r="Z74" s="144"/>
      <c r="AA74" s="144"/>
      <c r="AB74" s="144"/>
      <c r="AS74" s="28" t="s">
        <v>52</v>
      </c>
      <c r="AT74" s="139"/>
      <c r="AU74" s="139"/>
      <c r="AV74" s="139"/>
      <c r="AW74" s="139"/>
      <c r="AX74" s="139"/>
      <c r="AY74" s="139">
        <f>Model!W35</f>
        <v>428</v>
      </c>
      <c r="AZ74" s="139"/>
      <c r="BA74" s="139"/>
      <c r="BB74" s="139"/>
      <c r="BC74" s="139"/>
      <c r="BD74" s="139">
        <f>Model!AB35</f>
        <v>462</v>
      </c>
      <c r="BE74" s="139"/>
      <c r="BF74" s="139"/>
      <c r="BG74" s="139"/>
      <c r="BH74" s="139"/>
      <c r="BI74" s="139">
        <f>Model!AG35</f>
        <v>483</v>
      </c>
    </row>
    <row r="75" spans="8:61">
      <c r="H75" s="11"/>
      <c r="I75" s="141"/>
      <c r="J75" s="141"/>
      <c r="K75" s="141"/>
      <c r="L75" s="144"/>
      <c r="M75" s="144"/>
      <c r="N75" s="144"/>
      <c r="O75" s="144"/>
      <c r="P75" s="144"/>
      <c r="Q75" s="144"/>
      <c r="R75" s="144"/>
      <c r="S75" s="144"/>
      <c r="T75" s="144"/>
      <c r="U75" s="144"/>
      <c r="V75" s="144"/>
      <c r="W75" s="144"/>
      <c r="X75" s="144"/>
      <c r="Y75" s="144"/>
      <c r="Z75" s="144"/>
      <c r="AA75" s="144"/>
      <c r="AB75" s="144"/>
      <c r="AS75" s="11" t="s">
        <v>3</v>
      </c>
      <c r="AT75" s="140">
        <f>Model!J28</f>
        <v>1.085015170793775</v>
      </c>
      <c r="AU75" s="140">
        <f>Model!K28</f>
        <v>1.3853329681032385</v>
      </c>
      <c r="AV75" s="140">
        <f>Model!L28</f>
        <v>1.3871444972684757</v>
      </c>
      <c r="AW75" s="140">
        <f>Model!M28</f>
        <v>1.3616017678884402</v>
      </c>
      <c r="AX75" s="140">
        <f>Model!R28</f>
        <v>1.6723073996575994</v>
      </c>
      <c r="AY75" s="140">
        <f>Model!W28</f>
        <v>1.9551737749308233</v>
      </c>
      <c r="AZ75" s="140"/>
      <c r="BA75" s="140"/>
      <c r="BB75" s="140"/>
      <c r="BC75" s="140"/>
      <c r="BD75" s="140">
        <f>Model!AB28</f>
        <v>2.2952218516165424</v>
      </c>
      <c r="BE75" s="140"/>
      <c r="BF75" s="140"/>
      <c r="BG75" s="140"/>
      <c r="BH75" s="140"/>
      <c r="BI75" s="140">
        <f>Model!AG28</f>
        <v>2.5629918469889796</v>
      </c>
    </row>
    <row r="76" spans="8:61">
      <c r="H76" s="11"/>
      <c r="I76" s="141"/>
      <c r="J76" s="141"/>
      <c r="K76" s="141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S76" s="28" t="s">
        <v>52</v>
      </c>
      <c r="AT76" s="141"/>
      <c r="AU76" s="141"/>
      <c r="AV76" s="141"/>
      <c r="AW76" s="141"/>
      <c r="AX76" s="141"/>
      <c r="AY76" s="140">
        <f>Model!W36</f>
        <v>1.9268253697233373</v>
      </c>
      <c r="AZ76" s="140"/>
      <c r="BA76" s="140"/>
      <c r="BB76" s="140"/>
      <c r="BC76" s="140"/>
      <c r="BD76" s="140">
        <f>Model!AB36</f>
        <v>2.16</v>
      </c>
      <c r="BE76" s="140"/>
      <c r="BF76" s="140"/>
      <c r="BG76" s="140"/>
      <c r="BH76" s="140"/>
      <c r="BI76" s="140">
        <f>Model!AG36</f>
        <v>2.2999999999999998</v>
      </c>
    </row>
    <row r="77" spans="8:61">
      <c r="H77" s="1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  <c r="Z77" s="141"/>
      <c r="AA77" s="141"/>
      <c r="AB77" s="11"/>
      <c r="AS77" s="11" t="s">
        <v>55</v>
      </c>
      <c r="AT77" s="139">
        <f>Model!J70</f>
        <v>172.76200000000006</v>
      </c>
      <c r="AU77" s="139">
        <f>Model!K70</f>
        <v>174.84100000000001</v>
      </c>
      <c r="AV77" s="139">
        <f>Model!L70</f>
        <v>69.061000000000035</v>
      </c>
      <c r="AW77" s="139">
        <f>Model!M70</f>
        <v>166.78399999999999</v>
      </c>
      <c r="AX77" s="139">
        <f>Model!R70</f>
        <v>186.43589999999995</v>
      </c>
      <c r="AY77" s="139">
        <f>Model!W70</f>
        <v>191.10295599236619</v>
      </c>
      <c r="AZ77" s="139"/>
      <c r="BA77" s="139"/>
      <c r="BB77" s="139"/>
      <c r="BC77" s="139"/>
      <c r="BD77" s="139">
        <f>Model!AB70</f>
        <v>235.00720619360624</v>
      </c>
      <c r="BE77" s="139"/>
      <c r="BF77" s="139"/>
      <c r="BG77" s="139"/>
      <c r="BH77" s="139"/>
      <c r="BI77" s="139">
        <f>Model!AG70</f>
        <v>287.40136142699401</v>
      </c>
    </row>
    <row r="78" spans="8:61">
      <c r="H78" s="11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  <c r="AA78" s="139"/>
      <c r="AB78" s="139"/>
      <c r="AS78" s="28" t="s">
        <v>311</v>
      </c>
      <c r="AT78" s="265">
        <f>Model!J27</f>
        <v>153.255</v>
      </c>
      <c r="AU78" s="265">
        <f>Model!K27</f>
        <v>131.42400000000001</v>
      </c>
      <c r="AV78" s="265">
        <f>Model!L27</f>
        <v>129.78100000000001</v>
      </c>
      <c r="AW78" s="265">
        <f>Model!M27</f>
        <v>131.22999999999999</v>
      </c>
      <c r="AX78" s="265">
        <f>Model!R27</f>
        <v>131.42500000000001</v>
      </c>
      <c r="AY78" s="265">
        <f>Model!W27</f>
        <v>123.5675</v>
      </c>
      <c r="AZ78" s="265"/>
      <c r="BA78" s="265"/>
      <c r="BB78" s="265"/>
      <c r="BC78" s="265"/>
      <c r="BD78" s="265">
        <f>Model!AB27</f>
        <v>119.02204545454545</v>
      </c>
      <c r="BE78" s="265"/>
      <c r="BF78" s="265"/>
      <c r="BG78" s="265"/>
      <c r="BH78" s="265"/>
      <c r="BI78" s="265">
        <f>Model!AG27</f>
        <v>114.85537878787878</v>
      </c>
    </row>
    <row r="79" spans="8:61">
      <c r="H79" s="11"/>
      <c r="I79" s="144"/>
      <c r="J79" s="144"/>
      <c r="K79" s="144"/>
      <c r="L79" s="144"/>
      <c r="M79" s="144"/>
      <c r="N79" s="144"/>
      <c r="O79" s="144"/>
      <c r="P79" s="144"/>
      <c r="Q79" s="144"/>
      <c r="R79" s="144"/>
      <c r="S79" s="144"/>
      <c r="T79" s="144"/>
      <c r="U79" s="144"/>
      <c r="V79" s="144"/>
      <c r="W79" s="144"/>
      <c r="X79" s="144"/>
      <c r="Y79" s="144"/>
      <c r="Z79" s="144"/>
      <c r="AA79" s="144"/>
      <c r="AB79" s="144"/>
      <c r="AS79" s="11" t="s">
        <v>12</v>
      </c>
      <c r="AT79" s="140">
        <f>Model!J71</f>
        <v>1.1272845910410758</v>
      </c>
      <c r="AU79" s="140">
        <f>Model!K71</f>
        <v>1.3303582298514731</v>
      </c>
      <c r="AV79" s="140">
        <f>Model!L71</f>
        <v>0.53213490418474219</v>
      </c>
      <c r="AW79" s="140">
        <f>Model!M71</f>
        <v>1.2709289034519546</v>
      </c>
      <c r="AX79" s="140">
        <f>Model!R71</f>
        <v>1.4185725699067904</v>
      </c>
      <c r="AY79" s="140">
        <f>Model!W71</f>
        <v>1.546547077446466</v>
      </c>
      <c r="AZ79" s="140"/>
      <c r="BA79" s="140"/>
      <c r="BB79" s="140"/>
      <c r="BC79" s="140"/>
      <c r="BD79" s="140">
        <f>Model!AB71</f>
        <v>1.9744846872368325</v>
      </c>
      <c r="BE79" s="140"/>
      <c r="BF79" s="140"/>
      <c r="BG79" s="140"/>
      <c r="BH79" s="140"/>
      <c r="BI79" s="140">
        <f>Model!AG71</f>
        <v>2.5022890913779721</v>
      </c>
    </row>
    <row r="80" spans="8:61">
      <c r="H80" s="34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  <c r="AB80" s="142"/>
      <c r="AS80" s="11"/>
      <c r="AT80" s="266"/>
      <c r="AU80" s="266"/>
      <c r="AV80" s="266"/>
      <c r="AW80" s="266"/>
      <c r="AX80" s="266"/>
      <c r="AY80" s="266"/>
      <c r="AZ80" s="266"/>
      <c r="BA80" s="266"/>
      <c r="BB80" s="266"/>
      <c r="BC80" s="266"/>
      <c r="BD80" s="266"/>
      <c r="BE80" s="266"/>
      <c r="BF80" s="266"/>
      <c r="BG80" s="266"/>
      <c r="BH80" s="266"/>
      <c r="BI80" s="266"/>
    </row>
    <row r="81" spans="8:61">
      <c r="H81" s="11"/>
      <c r="I81" s="142"/>
      <c r="J81" s="142"/>
      <c r="K81" s="142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S81" s="11" t="s">
        <v>58</v>
      </c>
      <c r="AT81" s="142">
        <f>Model!J57</f>
        <v>0.11446293663044282</v>
      </c>
      <c r="AU81" s="142">
        <f>J8/I8-1</f>
        <v>7.2962634020049988E-2</v>
      </c>
      <c r="AV81" s="142">
        <f>K8/J8-1</f>
        <v>0.13221834014830258</v>
      </c>
      <c r="AW81" s="142">
        <f>L8/K8-1</f>
        <v>0.11191185661887681</v>
      </c>
      <c r="AX81" s="142">
        <f>M8/L8-1</f>
        <v>-1.4963613751397653E-2</v>
      </c>
      <c r="AY81" s="142">
        <f>R8/M8-1</f>
        <v>5.553566551694944E-2</v>
      </c>
      <c r="AZ81" s="142"/>
      <c r="BA81" s="142"/>
      <c r="BB81" s="142"/>
      <c r="BC81" s="142"/>
      <c r="BD81" s="142">
        <f>W8/R8-1</f>
        <v>5.6048880720436012E-2</v>
      </c>
      <c r="BE81" s="142"/>
      <c r="BF81" s="142"/>
      <c r="BG81" s="142"/>
      <c r="BH81" s="142"/>
      <c r="BI81" s="142">
        <f>AB8/W8-1</f>
        <v>4.7430893631126514E-2</v>
      </c>
    </row>
    <row r="82" spans="8:61">
      <c r="H82" s="27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S82" s="11" t="s">
        <v>67</v>
      </c>
      <c r="AT82" s="143">
        <f>Model!J42</f>
        <v>0.44836157404988719</v>
      </c>
      <c r="AU82" s="143">
        <f>Model!K42</f>
        <v>0.44321574220047583</v>
      </c>
      <c r="AV82" s="143">
        <f>Model!L42</f>
        <v>0.40226264495128955</v>
      </c>
      <c r="AW82" s="143">
        <f>Model!M42</f>
        <v>0.40273092397091853</v>
      </c>
      <c r="AX82" s="143">
        <f>Model!R42</f>
        <v>0.4217649917675832</v>
      </c>
      <c r="AY82" s="143">
        <f>Model!W42</f>
        <v>0.43163304429462895</v>
      </c>
      <c r="AZ82" s="143"/>
      <c r="BA82" s="143"/>
      <c r="BB82" s="143"/>
      <c r="BC82" s="143"/>
      <c r="BD82" s="143">
        <f>Model!AB42</f>
        <v>0.45460340708558539</v>
      </c>
      <c r="BE82" s="143"/>
      <c r="BF82" s="143"/>
      <c r="BG82" s="143"/>
      <c r="BH82" s="143"/>
      <c r="BI82" s="143">
        <f>Model!AG42</f>
        <v>0.46734938105642354</v>
      </c>
    </row>
    <row r="83" spans="8:61">
      <c r="H83" s="27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S83" s="11" t="s">
        <v>59</v>
      </c>
      <c r="AT83" s="142">
        <f>I10/I8</f>
        <v>0.3609401575443057</v>
      </c>
      <c r="AU83" s="142">
        <f>J10/J8</f>
        <v>0.36190246388462988</v>
      </c>
      <c r="AV83" s="142">
        <f>K10/K8</f>
        <v>0.32466030699952031</v>
      </c>
      <c r="AW83" s="142">
        <f>L10/L8</f>
        <v>0.28247452275010765</v>
      </c>
      <c r="AX83" s="142">
        <f>M10/M8</f>
        <v>0.34316482546142102</v>
      </c>
      <c r="AY83" s="142">
        <f>R10/R8</f>
        <v>0.36059885101704675</v>
      </c>
      <c r="AZ83" s="142"/>
      <c r="BA83" s="142"/>
      <c r="BB83" s="142"/>
      <c r="BC83" s="142"/>
      <c r="BD83" s="142">
        <f>W10/W8</f>
        <v>0.38024122631788837</v>
      </c>
      <c r="BE83" s="142"/>
      <c r="BF83" s="142"/>
      <c r="BG83" s="142"/>
      <c r="BH83" s="142"/>
      <c r="BI83" s="142">
        <f>AB10/AB8</f>
        <v>0.39037603642971058</v>
      </c>
    </row>
    <row r="84" spans="8:61">
      <c r="H84" s="27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S84" s="11"/>
      <c r="AT84" s="141"/>
      <c r="AU84" s="141"/>
      <c r="AV84" s="141"/>
      <c r="AW84" s="142"/>
      <c r="AX84" s="142"/>
      <c r="AY84" s="142"/>
      <c r="AZ84" s="142"/>
      <c r="BA84" s="142"/>
      <c r="BB84" s="142"/>
      <c r="BC84" s="142"/>
      <c r="BD84" s="142"/>
      <c r="BE84" s="142"/>
      <c r="BF84" s="142"/>
      <c r="BG84" s="142"/>
      <c r="BH84" s="142"/>
    </row>
    <row r="85" spans="8:61">
      <c r="H85" s="27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S85" s="11" t="s">
        <v>5</v>
      </c>
      <c r="AT85" s="141"/>
      <c r="AU85" s="141"/>
      <c r="AV85" s="141"/>
      <c r="AW85" s="144"/>
      <c r="AX85" s="144">
        <f>$G$49/M10</f>
        <v>14.21979740346916</v>
      </c>
      <c r="AY85" s="144">
        <f>$G$49/R10</f>
        <v>12.820321729370434</v>
      </c>
      <c r="AZ85" s="144"/>
      <c r="BA85" s="144"/>
      <c r="BB85" s="144"/>
      <c r="BC85" s="144"/>
      <c r="BD85" s="144">
        <f>$G$49/W10</f>
        <v>11.51277560974559</v>
      </c>
      <c r="BE85" s="144"/>
      <c r="BF85" s="144"/>
      <c r="BG85" s="144"/>
      <c r="BH85" s="144"/>
      <c r="BI85" s="144">
        <f>$G$49/AB10</f>
        <v>10.706085629639801</v>
      </c>
    </row>
    <row r="86" spans="8:61">
      <c r="H86" s="27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S86" s="11" t="s">
        <v>60</v>
      </c>
      <c r="AT86" s="141"/>
      <c r="AU86" s="141"/>
      <c r="AV86" s="141"/>
      <c r="AW86" s="144"/>
      <c r="AX86" s="144">
        <f>$G$45/M12</f>
        <v>24.696416465331712</v>
      </c>
      <c r="AY86" s="144">
        <f>$G$45/R12</f>
        <v>21.12344208455908</v>
      </c>
      <c r="AZ86" s="144"/>
      <c r="BA86" s="144"/>
      <c r="BB86" s="144"/>
      <c r="BC86" s="144"/>
      <c r="BD86" s="144">
        <f>$G$45/W12</f>
        <v>17.993903278200357</v>
      </c>
      <c r="BE86" s="144"/>
      <c r="BF86" s="144"/>
      <c r="BG86" s="144"/>
      <c r="BH86" s="144"/>
      <c r="BI86" s="144">
        <f>$G$45/AB12</f>
        <v>16.11398024871578</v>
      </c>
    </row>
    <row r="87" spans="8:61">
      <c r="H87" s="27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S87" s="11" t="s">
        <v>68</v>
      </c>
      <c r="AT87" s="141"/>
      <c r="AU87" s="141"/>
      <c r="AV87" s="141"/>
      <c r="AW87" s="142"/>
      <c r="AX87" s="142">
        <f>M16/$G$45</f>
        <v>3.4348004113965873E-2</v>
      </c>
      <c r="AY87" s="142">
        <f>R16/$G$45</f>
        <v>3.7446660470858747E-2</v>
      </c>
      <c r="AZ87" s="142"/>
      <c r="BA87" s="142"/>
      <c r="BB87" s="142"/>
      <c r="BC87" s="142"/>
      <c r="BD87" s="142">
        <f>W16/$G$45</f>
        <v>4.7808345937937834E-2</v>
      </c>
      <c r="BE87" s="142"/>
      <c r="BF87" s="142"/>
      <c r="BG87" s="142"/>
      <c r="BH87" s="142"/>
      <c r="BI87" s="142">
        <f>AB16/$G$45</f>
        <v>6.0588113592686982E-2</v>
      </c>
    </row>
    <row r="88" spans="8:61">
      <c r="H88" s="27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S88" s="11"/>
      <c r="AT88" s="141"/>
      <c r="AU88" s="141"/>
      <c r="AV88" s="141"/>
      <c r="AW88" s="141"/>
      <c r="AX88" s="141"/>
      <c r="AY88" s="141"/>
      <c r="AZ88" s="141"/>
      <c r="BA88" s="141"/>
      <c r="BB88" s="141"/>
      <c r="BC88" s="141"/>
      <c r="BD88" s="141"/>
      <c r="BE88" s="141"/>
      <c r="BF88" s="141"/>
      <c r="BG88" s="141"/>
      <c r="BH88" s="141"/>
    </row>
    <row r="89" spans="8:61">
      <c r="H89" s="27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S89" s="11" t="s">
        <v>39</v>
      </c>
      <c r="AT89" s="139">
        <f>Model!J137</f>
        <v>301.74700000000001</v>
      </c>
      <c r="AU89" s="139">
        <f>Model!K137</f>
        <v>304.00800000000004</v>
      </c>
      <c r="AV89" s="139">
        <f>Model!L137</f>
        <v>325.11700000000008</v>
      </c>
      <c r="AW89" s="139">
        <f>Model!M137</f>
        <v>144.233</v>
      </c>
      <c r="AX89" s="139">
        <f>Model!R137</f>
        <v>189.79600000000005</v>
      </c>
      <c r="AY89" s="139">
        <f>Model!W137</f>
        <v>347.27904400763396</v>
      </c>
      <c r="AZ89" s="139"/>
      <c r="BA89" s="139"/>
      <c r="BB89" s="139"/>
      <c r="BC89" s="139"/>
      <c r="BD89" s="139">
        <f>Model!AB137</f>
        <v>309.77183781402766</v>
      </c>
      <c r="BE89" s="139"/>
      <c r="BF89" s="139"/>
      <c r="BG89" s="139"/>
      <c r="BH89" s="139"/>
      <c r="BI89" s="139">
        <f>Model!AG137</f>
        <v>219.87047638703365</v>
      </c>
    </row>
    <row r="90" spans="8:61">
      <c r="H90" s="27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S90" s="11" t="s">
        <v>62</v>
      </c>
      <c r="AT90" s="144">
        <f>I26/I10</f>
        <v>0.97057839649526856</v>
      </c>
      <c r="AU90" s="144">
        <f>J26/J10</f>
        <v>0.90893271981989265</v>
      </c>
      <c r="AV90" s="144">
        <f>K26/K10</f>
        <v>0.95701460025903695</v>
      </c>
      <c r="AW90" s="144">
        <f>L26/L10</f>
        <v>0.43885704201353393</v>
      </c>
      <c r="AX90" s="144">
        <f>M26/M10</f>
        <v>0.48258046143597427</v>
      </c>
      <c r="AY90" s="144">
        <f>R26/R10</f>
        <v>0.79609843755768794</v>
      </c>
      <c r="AZ90" s="144"/>
      <c r="BA90" s="144"/>
      <c r="BB90" s="144"/>
      <c r="BC90" s="144"/>
      <c r="BD90" s="144">
        <f>W26/W10</f>
        <v>0.63769240227713297</v>
      </c>
      <c r="BE90" s="144"/>
      <c r="BF90" s="144"/>
      <c r="BG90" s="144"/>
      <c r="BH90" s="144"/>
      <c r="BI90" s="144">
        <f>AB26/AB10</f>
        <v>0.42090772861114584</v>
      </c>
    </row>
    <row r="91" spans="8:61">
      <c r="H91" s="27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S91" s="34" t="s">
        <v>63</v>
      </c>
      <c r="AT91" s="142">
        <f>Model!J165</f>
        <v>0.19192124382929213</v>
      </c>
      <c r="AU91" s="142">
        <f>Model!K165</f>
        <v>0.21187816863393269</v>
      </c>
      <c r="AV91" s="142">
        <f>Model!L165</f>
        <v>0.18363217728601816</v>
      </c>
      <c r="AW91" s="142">
        <f>Model!M165</f>
        <v>0.15907250596255451</v>
      </c>
      <c r="AX91" s="142">
        <f>Model!R165</f>
        <v>0.19606220032444049</v>
      </c>
      <c r="AY91" s="142">
        <f>Model!W165</f>
        <v>0.21036476461953194</v>
      </c>
      <c r="AZ91" s="142"/>
      <c r="BA91" s="142"/>
      <c r="BB91" s="142"/>
      <c r="BC91" s="142"/>
      <c r="BD91" s="142">
        <f>Model!AB165</f>
        <v>0.22472401235921641</v>
      </c>
      <c r="BE91" s="142"/>
      <c r="BF91" s="142"/>
      <c r="BG91" s="142"/>
      <c r="BH91" s="142"/>
      <c r="BI91" s="142">
        <f>Model!AG165</f>
        <v>0.23305208734153551</v>
      </c>
    </row>
    <row r="92" spans="8:61">
      <c r="H92" s="27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S92" s="11" t="s">
        <v>64</v>
      </c>
      <c r="AT92" s="142">
        <f>Model!J166</f>
        <v>0.2489362191674267</v>
      </c>
      <c r="AU92" s="142">
        <f>Model!K166</f>
        <v>0.27566487753770669</v>
      </c>
      <c r="AV92" s="142">
        <f>Model!L166</f>
        <v>0.24209637814610194</v>
      </c>
      <c r="AW92" s="142">
        <f>Model!M166</f>
        <v>0.21421920180353846</v>
      </c>
      <c r="AX92" s="142">
        <f>Model!R166</f>
        <v>0.26241812682195564</v>
      </c>
      <c r="AY92" s="142">
        <f>Model!W166</f>
        <v>0.2742745776325734</v>
      </c>
      <c r="AZ92" s="142"/>
      <c r="BA92" s="142"/>
      <c r="BB92" s="142"/>
      <c r="BC92" s="142"/>
      <c r="BD92" s="142">
        <f>Model!AB166</f>
        <v>0.28690400415075723</v>
      </c>
      <c r="BE92" s="142"/>
      <c r="BF92" s="142"/>
      <c r="BG92" s="142"/>
      <c r="BH92" s="142"/>
      <c r="BI92" s="142">
        <f>Model!AG166</f>
        <v>0.29477431385982944</v>
      </c>
    </row>
    <row r="93" spans="8:61">
      <c r="H93" s="27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8:61">
      <c r="H94" s="27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</row>
    <row r="95" spans="8:61">
      <c r="H95" s="27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</row>
    <row r="96" spans="8:61">
      <c r="H96" s="27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</row>
    <row r="97" spans="8:28">
      <c r="H97" s="27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</row>
    <row r="98" spans="8:28">
      <c r="H98" s="27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8:28">
      <c r="H99" s="27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8:28">
      <c r="H100" s="27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</row>
  </sheetData>
  <mergeCells count="1">
    <mergeCell ref="AS52:AS53"/>
  </mergeCells>
  <pageMargins left="0.7" right="0.7" top="0.75" bottom="0.75" header="0.3" footer="0.3"/>
  <pageSetup scale="69" orientation="landscape" r:id="rId1"/>
  <rowBreaks count="1" manualBreakCount="1">
    <brk id="53" max="61" man="1"/>
  </rowBreaks>
  <colBreaks count="1" manualBreakCount="1">
    <brk id="42" min="1" max="10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AO502"/>
  <sheetViews>
    <sheetView showGridLines="0" view="pageBreakPreview" zoomScaleNormal="85" zoomScaleSheetLayoutView="100" workbookViewId="0">
      <pane xSplit="2" ySplit="6" topLeftCell="C7" activePane="bottomRight" state="frozen"/>
      <selection pane="topRight"/>
      <selection pane="bottomLeft"/>
      <selection pane="bottomRight" activeCell="AL15" sqref="AL15"/>
    </sheetView>
  </sheetViews>
  <sheetFormatPr defaultColWidth="9.140625" defaultRowHeight="12.75" outlineLevelRow="1" outlineLevelCol="3"/>
  <cols>
    <col min="1" max="1" width="2.5703125" style="31" customWidth="1"/>
    <col min="2" max="2" width="36" style="32" customWidth="1"/>
    <col min="3" max="5" width="9.5703125" style="32" hidden="1" customWidth="1" outlineLevel="3"/>
    <col min="6" max="6" width="9.5703125" style="32" hidden="1" customWidth="1" outlineLevel="3" collapsed="1"/>
    <col min="7" max="7" width="9.5703125" style="32" hidden="1" customWidth="1" outlineLevel="2"/>
    <col min="8" max="8" width="9.140625" style="32" customWidth="1" collapsed="1"/>
    <col min="9" max="13" width="9.140625" style="32" customWidth="1"/>
    <col min="14" max="17" width="9.140625" style="32" hidden="1" customWidth="1" outlineLevel="1"/>
    <col min="18" max="18" width="9.140625" style="32" customWidth="1" collapsed="1"/>
    <col min="19" max="22" width="9.140625" style="32" hidden="1" customWidth="1" outlineLevel="1"/>
    <col min="23" max="23" width="9.140625" style="36" customWidth="1" collapsed="1"/>
    <col min="24" max="27" width="9.140625" style="32" hidden="1" customWidth="1" outlineLevel="1"/>
    <col min="28" max="28" width="9.140625" style="32" customWidth="1" collapsed="1"/>
    <col min="29" max="32" width="9.140625" style="32" hidden="1" customWidth="1" outlineLevel="1"/>
    <col min="33" max="33" width="9.140625" style="32" customWidth="1" collapsed="1"/>
    <col min="34" max="34" width="3.140625" style="90" customWidth="1"/>
    <col min="35" max="35" width="2.7109375" style="90" hidden="1" customWidth="1" outlineLevel="1"/>
    <col min="36" max="36" width="9.140625" style="90" collapsed="1"/>
    <col min="37" max="16384" width="9.140625" style="32"/>
  </cols>
  <sheetData>
    <row r="2" spans="1:41" s="393" customFormat="1" ht="12.95" customHeight="1">
      <c r="A2" s="388"/>
      <c r="B2" s="397" t="s">
        <v>103</v>
      </c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  <c r="N2" s="389"/>
      <c r="O2" s="389"/>
      <c r="P2" s="389"/>
      <c r="Q2" s="390"/>
      <c r="R2" s="390"/>
      <c r="S2" s="390"/>
      <c r="T2" s="390"/>
      <c r="U2" s="390"/>
      <c r="V2" s="390"/>
      <c r="W2" s="390"/>
      <c r="X2" s="390"/>
      <c r="Y2" s="390"/>
      <c r="Z2" s="390"/>
      <c r="AA2" s="390"/>
      <c r="AB2" s="390"/>
      <c r="AC2" s="390"/>
      <c r="AD2" s="390"/>
      <c r="AE2" s="390"/>
      <c r="AF2" s="390"/>
      <c r="AG2" s="391"/>
      <c r="AH2" s="392"/>
      <c r="AI2" s="392"/>
      <c r="AJ2" s="392"/>
    </row>
    <row r="3" spans="1:41" s="393" customFormat="1" ht="12.95" customHeight="1">
      <c r="A3" s="388"/>
      <c r="B3" s="398" t="s">
        <v>69</v>
      </c>
      <c r="C3" s="394"/>
      <c r="D3" s="394"/>
      <c r="E3" s="394"/>
      <c r="F3" s="394"/>
      <c r="G3" s="394"/>
      <c r="H3" s="394"/>
      <c r="I3" s="394"/>
      <c r="J3" s="394"/>
      <c r="K3" s="394"/>
      <c r="L3" s="394"/>
      <c r="M3" s="394"/>
      <c r="N3" s="394"/>
      <c r="O3" s="394"/>
      <c r="P3" s="394"/>
      <c r="Q3" s="395"/>
      <c r="R3" s="395"/>
      <c r="S3" s="395"/>
      <c r="T3" s="395"/>
      <c r="U3" s="395"/>
      <c r="V3" s="395"/>
      <c r="W3" s="395"/>
      <c r="X3" s="395"/>
      <c r="Y3" s="395"/>
      <c r="Z3" s="395"/>
      <c r="AA3" s="395"/>
      <c r="AB3" s="395"/>
      <c r="AC3" s="395"/>
      <c r="AD3" s="395"/>
      <c r="AE3" s="395"/>
      <c r="AF3" s="395"/>
      <c r="AG3" s="396"/>
      <c r="AH3" s="392"/>
      <c r="AI3" s="392"/>
      <c r="AJ3" s="392"/>
    </row>
    <row r="4" spans="1:41" s="19" customFormat="1" ht="12.95" customHeight="1">
      <c r="A4" s="13"/>
      <c r="B4" s="13"/>
      <c r="R4" s="129"/>
      <c r="T4" s="400"/>
      <c r="AH4" s="47"/>
      <c r="AI4" s="47"/>
      <c r="AJ4" s="47"/>
    </row>
    <row r="5" spans="1:41" s="23" customFormat="1" ht="12.95" customHeight="1">
      <c r="A5" s="18"/>
      <c r="B5" s="387" t="s">
        <v>334</v>
      </c>
      <c r="C5" s="386">
        <f>D5-365</f>
        <v>38199</v>
      </c>
      <c r="D5" s="386">
        <f>E5-365</f>
        <v>38564</v>
      </c>
      <c r="E5" s="386">
        <f>F5-365</f>
        <v>38929</v>
      </c>
      <c r="F5" s="386">
        <f>G5-366</f>
        <v>39294</v>
      </c>
      <c r="G5" s="386">
        <f>H5-365</f>
        <v>39660</v>
      </c>
      <c r="H5" s="386">
        <f>I5-365</f>
        <v>40025</v>
      </c>
      <c r="I5" s="386">
        <f>J5-365</f>
        <v>40390</v>
      </c>
      <c r="J5" s="386">
        <f>K5-366</f>
        <v>40755</v>
      </c>
      <c r="K5" s="386">
        <f>L5-365</f>
        <v>41121</v>
      </c>
      <c r="L5" s="386">
        <f>M5-365</f>
        <v>41486</v>
      </c>
      <c r="M5" s="386">
        <f>R5-365</f>
        <v>41851</v>
      </c>
      <c r="N5" s="402">
        <f>S5-365</f>
        <v>41943</v>
      </c>
      <c r="O5" s="402">
        <f>T5-365</f>
        <v>42035</v>
      </c>
      <c r="P5" s="402">
        <f>U5-366</f>
        <v>42124</v>
      </c>
      <c r="Q5" s="402">
        <f>V5-366</f>
        <v>42216</v>
      </c>
      <c r="R5" s="386">
        <v>42216</v>
      </c>
      <c r="S5" s="402">
        <f>T5-92</f>
        <v>42308</v>
      </c>
      <c r="T5" s="402">
        <v>42400</v>
      </c>
      <c r="U5" s="402">
        <f>T5+90</f>
        <v>42490</v>
      </c>
      <c r="V5" s="402">
        <f>U5+92</f>
        <v>42582</v>
      </c>
      <c r="W5" s="386">
        <f>R5+366</f>
        <v>42582</v>
      </c>
      <c r="X5" s="383"/>
      <c r="Y5" s="383"/>
      <c r="Z5" s="383"/>
      <c r="AA5" s="383"/>
      <c r="AB5" s="386">
        <f>W5+365</f>
        <v>42947</v>
      </c>
      <c r="AC5" s="383"/>
      <c r="AD5" s="383"/>
      <c r="AE5" s="383"/>
      <c r="AF5" s="383"/>
      <c r="AG5" s="386">
        <f>AB5+365</f>
        <v>43312</v>
      </c>
      <c r="AH5" s="37"/>
      <c r="AI5" s="37"/>
      <c r="AJ5" s="37"/>
      <c r="AK5" s="37"/>
    </row>
    <row r="6" spans="1:41" s="23" customFormat="1" ht="12.95" customHeight="1">
      <c r="A6" s="18"/>
      <c r="B6" s="48" t="s">
        <v>70</v>
      </c>
      <c r="C6" s="384">
        <f>D6-1</f>
        <v>2004</v>
      </c>
      <c r="D6" s="384">
        <f>E6-1</f>
        <v>2005</v>
      </c>
      <c r="E6" s="384">
        <f>F6-1</f>
        <v>2006</v>
      </c>
      <c r="F6" s="384">
        <f>G6-1</f>
        <v>2007</v>
      </c>
      <c r="G6" s="384">
        <v>2008</v>
      </c>
      <c r="H6" s="384">
        <v>2009</v>
      </c>
      <c r="I6" s="384">
        <v>2010</v>
      </c>
      <c r="J6" s="384">
        <v>2011</v>
      </c>
      <c r="K6" s="384">
        <v>2012</v>
      </c>
      <c r="L6" s="384">
        <v>2013</v>
      </c>
      <c r="M6" s="384">
        <v>2014</v>
      </c>
      <c r="N6" s="401" t="s">
        <v>43</v>
      </c>
      <c r="O6" s="401" t="s">
        <v>44</v>
      </c>
      <c r="P6" s="401" t="s">
        <v>45</v>
      </c>
      <c r="Q6" s="401" t="s">
        <v>46</v>
      </c>
      <c r="R6" s="384">
        <v>2015</v>
      </c>
      <c r="S6" s="401" t="s">
        <v>43</v>
      </c>
      <c r="T6" s="401" t="s">
        <v>44</v>
      </c>
      <c r="U6" s="401" t="s">
        <v>50</v>
      </c>
      <c r="V6" s="401" t="s">
        <v>47</v>
      </c>
      <c r="W6" s="384" t="s">
        <v>10</v>
      </c>
      <c r="X6" s="385" t="s">
        <v>48</v>
      </c>
      <c r="Y6" s="385" t="s">
        <v>49</v>
      </c>
      <c r="Z6" s="385" t="s">
        <v>50</v>
      </c>
      <c r="AA6" s="385" t="s">
        <v>47</v>
      </c>
      <c r="AB6" s="384" t="s">
        <v>11</v>
      </c>
      <c r="AC6" s="385" t="s">
        <v>48</v>
      </c>
      <c r="AD6" s="385" t="s">
        <v>49</v>
      </c>
      <c r="AE6" s="385" t="s">
        <v>50</v>
      </c>
      <c r="AF6" s="385" t="s">
        <v>47</v>
      </c>
      <c r="AG6" s="384" t="s">
        <v>51</v>
      </c>
      <c r="AH6" s="37"/>
      <c r="AI6" s="37"/>
      <c r="AJ6" s="49"/>
      <c r="AK6" s="37"/>
    </row>
    <row r="7" spans="1:41" s="10" customFormat="1" ht="12.95" customHeight="1">
      <c r="A7" s="9"/>
      <c r="B7" s="9"/>
      <c r="T7" s="192"/>
      <c r="AH7" s="42"/>
      <c r="AI7" s="42"/>
      <c r="AJ7" s="42"/>
    </row>
    <row r="8" spans="1:41" s="65" customFormat="1" ht="12.95" customHeight="1">
      <c r="A8" s="63"/>
      <c r="B8" s="50" t="s">
        <v>71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2"/>
      <c r="AH8" s="64"/>
      <c r="AI8" s="53">
        <v>0</v>
      </c>
      <c r="AJ8" s="63"/>
    </row>
    <row r="9" spans="1:41" s="10" customFormat="1" ht="12.95" customHeight="1">
      <c r="A9" s="9"/>
      <c r="B9" s="9"/>
      <c r="M9" s="66"/>
      <c r="N9" s="66"/>
      <c r="O9" s="66"/>
      <c r="P9" s="66"/>
      <c r="Q9" s="67"/>
      <c r="U9" s="30"/>
      <c r="V9" s="171"/>
      <c r="X9" s="66"/>
      <c r="Y9" s="66"/>
      <c r="AH9" s="42"/>
      <c r="AI9" s="54">
        <v>0</v>
      </c>
      <c r="AJ9" s="55"/>
    </row>
    <row r="10" spans="1:41" s="10" customFormat="1" ht="12.95" customHeight="1">
      <c r="A10" s="9"/>
      <c r="B10" s="9" t="s">
        <v>104</v>
      </c>
      <c r="C10" s="24"/>
      <c r="D10" s="24"/>
      <c r="E10" s="24"/>
      <c r="F10" s="24"/>
      <c r="G10" s="170">
        <v>620</v>
      </c>
      <c r="H10" s="170">
        <v>615.35299999999995</v>
      </c>
      <c r="I10" s="170">
        <v>642.13499999999999</v>
      </c>
      <c r="J10" s="170">
        <v>714.50900000000001</v>
      </c>
      <c r="K10" s="170">
        <v>766.30600000000004</v>
      </c>
      <c r="L10" s="170">
        <v>849.66700000000003</v>
      </c>
      <c r="M10" s="170">
        <v>958.41300000000001</v>
      </c>
      <c r="N10" s="170">
        <v>246.59700000000001</v>
      </c>
      <c r="O10" s="170">
        <v>238.50800000000001</v>
      </c>
      <c r="P10" s="170">
        <v>256.56400000000002</v>
      </c>
      <c r="Q10" s="172">
        <v>243.67</v>
      </c>
      <c r="R10" s="170">
        <v>985.36300000000006</v>
      </c>
      <c r="S10" s="170">
        <v>250.96700000000001</v>
      </c>
      <c r="T10" s="170">
        <v>260.39999999999998</v>
      </c>
      <c r="U10" s="24">
        <f>P10*(1+U55)</f>
        <v>277.08912000000004</v>
      </c>
      <c r="V10" s="24">
        <f>Q10*(1+V55)</f>
        <v>261.94524999999999</v>
      </c>
      <c r="W10" s="175">
        <f t="shared" ref="W10:W15" si="0">SUM(S10:V10)</f>
        <v>1050.40137</v>
      </c>
      <c r="X10" s="24"/>
      <c r="Y10" s="24"/>
      <c r="Z10" s="24"/>
      <c r="AA10" s="24"/>
      <c r="AB10" s="24">
        <f>W10*(1+AB55)</f>
        <v>1113.4254522000001</v>
      </c>
      <c r="AC10" s="24"/>
      <c r="AD10" s="24"/>
      <c r="AE10" s="24"/>
      <c r="AF10" s="24"/>
      <c r="AG10" s="24">
        <f>AB10*(1+AG55)</f>
        <v>1169.0967248100001</v>
      </c>
      <c r="AH10" s="83"/>
      <c r="AI10" s="54"/>
      <c r="AJ10" s="55"/>
    </row>
    <row r="11" spans="1:41" s="10" customFormat="1" ht="12.95" customHeight="1">
      <c r="A11" s="9"/>
      <c r="B11" s="9" t="s">
        <v>105</v>
      </c>
      <c r="C11" s="24"/>
      <c r="D11" s="24"/>
      <c r="E11" s="24"/>
      <c r="F11" s="24"/>
      <c r="G11" s="170">
        <v>165</v>
      </c>
      <c r="H11" s="170">
        <v>127.729</v>
      </c>
      <c r="I11" s="170">
        <v>130.744</v>
      </c>
      <c r="J11" s="170">
        <v>146.83600000000001</v>
      </c>
      <c r="K11" s="170">
        <v>157.88499999999999</v>
      </c>
      <c r="L11" s="170">
        <v>196.71899999999999</v>
      </c>
      <c r="M11" s="170">
        <v>205.07599999999999</v>
      </c>
      <c r="N11" s="170">
        <v>43.789000000000001</v>
      </c>
      <c r="O11" s="170">
        <v>37.75</v>
      </c>
      <c r="P11" s="170">
        <v>40.578000000000003</v>
      </c>
      <c r="Q11" s="172">
        <v>38.622</v>
      </c>
      <c r="R11" s="170">
        <v>160.71600000000001</v>
      </c>
      <c r="S11" s="170">
        <v>37.871000000000002</v>
      </c>
      <c r="T11" s="170">
        <v>39.28</v>
      </c>
      <c r="U11" s="24">
        <f>P11*(1+U56)</f>
        <v>42.201120000000003</v>
      </c>
      <c r="V11" s="24">
        <f>Q11*(1+V56)</f>
        <v>39.973769999999995</v>
      </c>
      <c r="W11" s="175">
        <f t="shared" si="0"/>
        <v>159.32589000000002</v>
      </c>
      <c r="X11" s="24"/>
      <c r="Y11" s="24"/>
      <c r="Z11" s="24"/>
      <c r="AA11" s="24"/>
      <c r="AB11" s="24">
        <f>W11*(1+AB56)</f>
        <v>164.10566670000003</v>
      </c>
      <c r="AC11" s="24"/>
      <c r="AD11" s="24"/>
      <c r="AE11" s="24"/>
      <c r="AF11" s="24"/>
      <c r="AG11" s="24">
        <f>AB11*(1+AG56)</f>
        <v>169.02883670100005</v>
      </c>
      <c r="AH11" s="83"/>
      <c r="AI11" s="54"/>
      <c r="AJ11" s="55"/>
    </row>
    <row r="12" spans="1:41" s="70" customFormat="1" ht="12.95" customHeight="1">
      <c r="A12" s="68"/>
      <c r="B12" s="62" t="s">
        <v>72</v>
      </c>
      <c r="C12" s="173">
        <v>400.79649999999998</v>
      </c>
      <c r="D12" s="173">
        <v>450.15899999999999</v>
      </c>
      <c r="E12" s="173">
        <v>528.57000000000005</v>
      </c>
      <c r="F12" s="173">
        <v>560.67999999999995</v>
      </c>
      <c r="G12" s="173">
        <f t="shared" ref="G12:S12" si="1">SUM(G10:G11)</f>
        <v>785</v>
      </c>
      <c r="H12" s="173">
        <f t="shared" si="1"/>
        <v>743.08199999999999</v>
      </c>
      <c r="I12" s="173">
        <f t="shared" si="1"/>
        <v>772.87900000000002</v>
      </c>
      <c r="J12" s="173">
        <f t="shared" si="1"/>
        <v>861.34500000000003</v>
      </c>
      <c r="K12" s="173">
        <f t="shared" si="1"/>
        <v>924.19100000000003</v>
      </c>
      <c r="L12" s="173">
        <f t="shared" si="1"/>
        <v>1046.386</v>
      </c>
      <c r="M12" s="173">
        <f t="shared" si="1"/>
        <v>1163.489</v>
      </c>
      <c r="N12" s="173">
        <f t="shared" si="1"/>
        <v>290.38600000000002</v>
      </c>
      <c r="O12" s="173">
        <f t="shared" si="1"/>
        <v>276.25800000000004</v>
      </c>
      <c r="P12" s="173">
        <v>297.14</v>
      </c>
      <c r="Q12" s="173">
        <v>282.29000000000002</v>
      </c>
      <c r="R12" s="173">
        <f t="shared" si="1"/>
        <v>1146.0790000000002</v>
      </c>
      <c r="S12" s="173">
        <f t="shared" si="1"/>
        <v>288.83800000000002</v>
      </c>
      <c r="T12" s="173">
        <f>SUM(T10:T11)</f>
        <v>299.67999999999995</v>
      </c>
      <c r="U12" s="173">
        <f>SUM(U10:U11)</f>
        <v>319.29024000000004</v>
      </c>
      <c r="V12" s="173">
        <f>SUM(V10:V11)</f>
        <v>301.91901999999999</v>
      </c>
      <c r="W12" s="173">
        <f t="shared" si="0"/>
        <v>1209.7272600000001</v>
      </c>
      <c r="X12" s="173">
        <f t="shared" ref="X12:AG12" si="2">SUM(X10:X11)</f>
        <v>0</v>
      </c>
      <c r="Y12" s="173">
        <f t="shared" si="2"/>
        <v>0</v>
      </c>
      <c r="Z12" s="173">
        <f t="shared" si="2"/>
        <v>0</v>
      </c>
      <c r="AA12" s="173">
        <f t="shared" si="2"/>
        <v>0</v>
      </c>
      <c r="AB12" s="173">
        <f t="shared" si="2"/>
        <v>1277.5311189000001</v>
      </c>
      <c r="AC12" s="173">
        <f t="shared" si="2"/>
        <v>0</v>
      </c>
      <c r="AD12" s="173">
        <f t="shared" si="2"/>
        <v>0</v>
      </c>
      <c r="AE12" s="173">
        <f t="shared" si="2"/>
        <v>0</v>
      </c>
      <c r="AF12" s="173">
        <f t="shared" si="2"/>
        <v>0</v>
      </c>
      <c r="AG12" s="173">
        <f t="shared" si="2"/>
        <v>1338.1255615110001</v>
      </c>
      <c r="AH12" s="69"/>
      <c r="AI12" s="54">
        <v>0</v>
      </c>
      <c r="AJ12" s="68"/>
    </row>
    <row r="13" spans="1:41" s="58" customFormat="1" ht="12.95" customHeight="1">
      <c r="A13" s="56"/>
      <c r="B13" s="132" t="s">
        <v>116</v>
      </c>
      <c r="C13" s="24">
        <v>208.95410000000001</v>
      </c>
      <c r="D13" s="24">
        <v>247.54599999999999</v>
      </c>
      <c r="E13" s="170">
        <v>298.02300000000002</v>
      </c>
      <c r="F13" s="170">
        <v>286.084</v>
      </c>
      <c r="G13" s="170">
        <v>324.57600000000002</v>
      </c>
      <c r="H13" s="170">
        <v>291.99099999999999</v>
      </c>
      <c r="I13" s="170">
        <v>283.67099999999999</v>
      </c>
      <c r="J13" s="170">
        <v>323.892</v>
      </c>
      <c r="K13" s="170">
        <v>344.56599999999997</v>
      </c>
      <c r="L13" s="170">
        <v>417.46199999999999</v>
      </c>
      <c r="M13" s="170">
        <v>484.20699999999999</v>
      </c>
      <c r="N13" s="170">
        <v>122.145</v>
      </c>
      <c r="O13" s="170">
        <v>120.73</v>
      </c>
      <c r="P13" s="170">
        <v>125.348</v>
      </c>
      <c r="Q13" s="170">
        <v>122.529</v>
      </c>
      <c r="R13" s="170">
        <f>526.291-R14</f>
        <v>490.75200000000007</v>
      </c>
      <c r="S13" s="170">
        <v>127.56399999999999</v>
      </c>
      <c r="T13" s="170">
        <v>132.71700000000001</v>
      </c>
      <c r="U13" s="24">
        <v>130.5</v>
      </c>
      <c r="V13" s="24">
        <v>127</v>
      </c>
      <c r="W13" s="175">
        <f t="shared" si="0"/>
        <v>517.78099999999995</v>
      </c>
      <c r="X13" s="24"/>
      <c r="Y13" s="24"/>
      <c r="Z13" s="24"/>
      <c r="AA13" s="24"/>
      <c r="AB13" s="24">
        <f>AB12*AB47</f>
        <v>527.62035210570002</v>
      </c>
      <c r="AC13" s="24"/>
      <c r="AD13" s="24"/>
      <c r="AE13" s="24"/>
      <c r="AF13" s="24"/>
      <c r="AG13" s="24">
        <f>AG12*AG47</f>
        <v>537.92647572742203</v>
      </c>
      <c r="AH13" s="57"/>
      <c r="AI13" s="54"/>
      <c r="AJ13" s="56"/>
    </row>
    <row r="14" spans="1:41" s="58" customFormat="1" ht="12.95" customHeight="1">
      <c r="A14" s="56"/>
      <c r="B14" s="132" t="s">
        <v>119</v>
      </c>
      <c r="C14" s="24">
        <v>0</v>
      </c>
      <c r="D14" s="24">
        <v>0</v>
      </c>
      <c r="E14" s="170">
        <v>0</v>
      </c>
      <c r="F14" s="170">
        <v>7.8129999999999997</v>
      </c>
      <c r="G14" s="170">
        <v>32.165999999999997</v>
      </c>
      <c r="H14" s="170">
        <v>32.802999999999997</v>
      </c>
      <c r="I14" s="170">
        <v>34.941000000000003</v>
      </c>
      <c r="J14" s="170">
        <v>36.957999999999998</v>
      </c>
      <c r="K14" s="170">
        <v>33.037999999999997</v>
      </c>
      <c r="L14" s="170">
        <v>40.765999999999998</v>
      </c>
      <c r="M14" s="170">
        <v>36.216000000000001</v>
      </c>
      <c r="N14" s="170">
        <v>8.86</v>
      </c>
      <c r="O14" s="170">
        <v>8.5429999999999993</v>
      </c>
      <c r="P14" s="170">
        <v>9.8740000000000006</v>
      </c>
      <c r="Q14" s="170">
        <v>8.2620000000000005</v>
      </c>
      <c r="R14" s="170">
        <f>SUM(N14:Q14)</f>
        <v>35.539000000000001</v>
      </c>
      <c r="S14" s="170">
        <v>8.3450000000000006</v>
      </c>
      <c r="T14" s="170">
        <v>8.2479999999999993</v>
      </c>
      <c r="U14" s="24">
        <v>9</v>
      </c>
      <c r="V14" s="24">
        <v>9</v>
      </c>
      <c r="W14" s="175">
        <f t="shared" si="0"/>
        <v>34.593000000000004</v>
      </c>
      <c r="X14" s="24"/>
      <c r="Y14" s="24"/>
      <c r="Z14" s="24"/>
      <c r="AA14" s="24"/>
      <c r="AB14" s="170">
        <v>35</v>
      </c>
      <c r="AC14" s="170"/>
      <c r="AD14" s="170"/>
      <c r="AE14" s="170"/>
      <c r="AF14" s="170"/>
      <c r="AG14" s="170">
        <v>37</v>
      </c>
      <c r="AH14" s="57"/>
      <c r="AI14" s="54"/>
      <c r="AJ14" s="56"/>
    </row>
    <row r="15" spans="1:41" s="70" customFormat="1" ht="12.95" customHeight="1" collapsed="1">
      <c r="A15" s="68"/>
      <c r="B15" s="132" t="s">
        <v>117</v>
      </c>
      <c r="C15" s="24">
        <v>0</v>
      </c>
      <c r="D15" s="24">
        <v>0</v>
      </c>
      <c r="E15" s="170">
        <v>0</v>
      </c>
      <c r="F15" s="170">
        <v>0</v>
      </c>
      <c r="G15" s="170">
        <v>105.84699999999999</v>
      </c>
      <c r="H15" s="170">
        <v>106.03</v>
      </c>
      <c r="I15" s="170">
        <v>104.673</v>
      </c>
      <c r="J15" s="170">
        <v>125.202</v>
      </c>
      <c r="K15" s="170">
        <v>136.971</v>
      </c>
      <c r="L15" s="170">
        <v>167.23599999999999</v>
      </c>
      <c r="M15" s="170">
        <v>174.49299999999999</v>
      </c>
      <c r="N15" s="170">
        <v>37.073</v>
      </c>
      <c r="O15" s="170">
        <v>32.118000000000002</v>
      </c>
      <c r="P15" s="170">
        <v>34.503</v>
      </c>
      <c r="Q15" s="170">
        <v>32.718000000000004</v>
      </c>
      <c r="R15" s="170">
        <v>136.41200000000001</v>
      </c>
      <c r="S15" s="170">
        <v>32.067999999999998</v>
      </c>
      <c r="T15" s="170">
        <v>34.127000000000002</v>
      </c>
      <c r="U15" s="24">
        <v>35.5</v>
      </c>
      <c r="V15" s="24">
        <v>33.5</v>
      </c>
      <c r="W15" s="175">
        <f t="shared" si="0"/>
        <v>135.19499999999999</v>
      </c>
      <c r="X15" s="24"/>
      <c r="Y15" s="24"/>
      <c r="Z15" s="24"/>
      <c r="AA15" s="24"/>
      <c r="AB15" s="24">
        <f>AB12*AB51</f>
        <v>134.1407674845</v>
      </c>
      <c r="AC15" s="24"/>
      <c r="AD15" s="24"/>
      <c r="AE15" s="24"/>
      <c r="AF15" s="24"/>
      <c r="AG15" s="24">
        <f>AG12*AG51</f>
        <v>137.82693283563302</v>
      </c>
      <c r="AH15" s="61"/>
      <c r="AI15" s="54">
        <v>0</v>
      </c>
      <c r="AJ15" s="72"/>
      <c r="AK15" s="73"/>
    </row>
    <row r="16" spans="1:41" s="70" customFormat="1" ht="12.95" customHeight="1">
      <c r="A16" s="68"/>
      <c r="B16" s="131" t="s">
        <v>17</v>
      </c>
      <c r="C16" s="24">
        <v>208.95410000000001</v>
      </c>
      <c r="D16" s="24">
        <v>202.613</v>
      </c>
      <c r="E16" s="24">
        <v>230.54700000000003</v>
      </c>
      <c r="F16" s="24">
        <v>266.78299999999996</v>
      </c>
      <c r="G16" s="24">
        <v>322.25899999999996</v>
      </c>
      <c r="H16" s="24">
        <v>312.25800000000004</v>
      </c>
      <c r="I16" s="24">
        <v>349.59400000000005</v>
      </c>
      <c r="J16" s="24">
        <v>386.19400000000007</v>
      </c>
      <c r="K16" s="24">
        <v>409.61599999999999</v>
      </c>
      <c r="L16" s="24">
        <v>420.92200000000003</v>
      </c>
      <c r="M16" s="24">
        <v>468.57300000000004</v>
      </c>
      <c r="N16" s="24">
        <f t="shared" ref="N16:AG16" si="3">N12-N13-N14-N15</f>
        <v>122.30800000000002</v>
      </c>
      <c r="O16" s="24">
        <f t="shared" si="3"/>
        <v>114.86700000000002</v>
      </c>
      <c r="P16" s="24">
        <f t="shared" si="3"/>
        <v>127.41499999999998</v>
      </c>
      <c r="Q16" s="24">
        <f t="shared" si="3"/>
        <v>118.78100000000002</v>
      </c>
      <c r="R16" s="24">
        <f t="shared" si="3"/>
        <v>483.37600000000009</v>
      </c>
      <c r="S16" s="24">
        <f t="shared" si="3"/>
        <v>120.86100000000003</v>
      </c>
      <c r="T16" s="24">
        <f t="shared" si="3"/>
        <v>124.58799999999994</v>
      </c>
      <c r="U16" s="24">
        <f t="shared" si="3"/>
        <v>144.29024000000004</v>
      </c>
      <c r="V16" s="24">
        <f t="shared" si="3"/>
        <v>132.41901999999999</v>
      </c>
      <c r="W16" s="24">
        <f t="shared" si="3"/>
        <v>522.15826000000015</v>
      </c>
      <c r="X16" s="24">
        <f t="shared" si="3"/>
        <v>0</v>
      </c>
      <c r="Y16" s="24">
        <f t="shared" si="3"/>
        <v>0</v>
      </c>
      <c r="Z16" s="24">
        <f t="shared" si="3"/>
        <v>0</v>
      </c>
      <c r="AA16" s="24">
        <f t="shared" si="3"/>
        <v>0</v>
      </c>
      <c r="AB16" s="24">
        <f t="shared" si="3"/>
        <v>580.76999930980014</v>
      </c>
      <c r="AC16" s="24">
        <f t="shared" si="3"/>
        <v>0</v>
      </c>
      <c r="AD16" s="24">
        <f t="shared" si="3"/>
        <v>0</v>
      </c>
      <c r="AE16" s="24">
        <f t="shared" si="3"/>
        <v>0</v>
      </c>
      <c r="AF16" s="24">
        <f t="shared" si="3"/>
        <v>0</v>
      </c>
      <c r="AG16" s="24">
        <f t="shared" si="3"/>
        <v>625.3721529479451</v>
      </c>
      <c r="AH16" s="30"/>
      <c r="AI16" s="30">
        <f t="shared" ref="AI16:AO16" si="4">AI13-AI14-AI15</f>
        <v>0</v>
      </c>
      <c r="AJ16" s="169"/>
      <c r="AK16" s="30"/>
      <c r="AL16" s="30"/>
      <c r="AM16" s="30">
        <f t="shared" si="4"/>
        <v>0</v>
      </c>
      <c r="AN16" s="30">
        <f t="shared" si="4"/>
        <v>0</v>
      </c>
      <c r="AO16" s="30">
        <f t="shared" si="4"/>
        <v>0</v>
      </c>
    </row>
    <row r="17" spans="1:36" s="58" customFormat="1" ht="12.95" customHeight="1">
      <c r="A17" s="56"/>
      <c r="B17" s="132" t="s">
        <v>118</v>
      </c>
      <c r="C17" s="24">
        <v>36.4681</v>
      </c>
      <c r="D17" s="24">
        <v>45.988</v>
      </c>
      <c r="E17" s="170">
        <v>58.984999999999999</v>
      </c>
      <c r="F17" s="170">
        <v>61.78</v>
      </c>
      <c r="G17" s="170">
        <v>73.733000000000004</v>
      </c>
      <c r="H17" s="170">
        <v>74.69</v>
      </c>
      <c r="I17" s="170">
        <v>100.634</v>
      </c>
      <c r="J17" s="170">
        <v>99.22</v>
      </c>
      <c r="K17" s="170">
        <v>99.378</v>
      </c>
      <c r="L17" s="170">
        <v>121.968</v>
      </c>
      <c r="M17" s="170">
        <v>147.02699999999999</v>
      </c>
      <c r="N17" s="170">
        <v>37.036999999999999</v>
      </c>
      <c r="O17" s="170">
        <v>27.587</v>
      </c>
      <c r="P17" s="170">
        <v>32.65</v>
      </c>
      <c r="Q17" s="170">
        <v>24.64</v>
      </c>
      <c r="R17" s="170">
        <f>138.975-R14</f>
        <v>103.43599999999999</v>
      </c>
      <c r="S17" s="170">
        <v>31.439</v>
      </c>
      <c r="T17" s="170">
        <v>29.085999999999999</v>
      </c>
      <c r="U17" s="24">
        <v>30</v>
      </c>
      <c r="V17" s="24">
        <v>30</v>
      </c>
      <c r="W17" s="175">
        <f>SUM(S17:V17)</f>
        <v>120.52500000000001</v>
      </c>
      <c r="X17" s="24"/>
      <c r="Y17" s="24"/>
      <c r="Z17" s="24"/>
      <c r="AA17" s="24"/>
      <c r="AB17" s="170">
        <v>130</v>
      </c>
      <c r="AC17" s="170"/>
      <c r="AD17" s="170"/>
      <c r="AE17" s="170"/>
      <c r="AF17" s="170"/>
      <c r="AG17" s="170">
        <v>140</v>
      </c>
      <c r="AH17" s="57"/>
      <c r="AI17" s="54"/>
      <c r="AJ17" s="56"/>
    </row>
    <row r="18" spans="1:36" s="58" customFormat="1" ht="12.95" customHeight="1">
      <c r="A18" s="56"/>
      <c r="B18" s="132" t="s">
        <v>120</v>
      </c>
      <c r="C18" s="24">
        <v>30.809099999999997</v>
      </c>
      <c r="D18" s="24">
        <v>0</v>
      </c>
      <c r="E18" s="170">
        <v>0</v>
      </c>
      <c r="F18" s="170">
        <v>1.857</v>
      </c>
      <c r="G18" s="170">
        <v>10.608000000000001</v>
      </c>
      <c r="H18" s="170">
        <v>9.0459999999999994</v>
      </c>
      <c r="I18" s="170">
        <v>8.2899999999999991</v>
      </c>
      <c r="J18" s="170">
        <v>8.7439999999999998</v>
      </c>
      <c r="K18" s="170">
        <v>15.122999999999999</v>
      </c>
      <c r="L18" s="170">
        <v>15.962</v>
      </c>
      <c r="M18" s="170">
        <v>17.507999999999999</v>
      </c>
      <c r="N18" s="170">
        <v>2.87</v>
      </c>
      <c r="O18" s="170">
        <v>6.8120000000000003</v>
      </c>
      <c r="P18" s="170">
        <v>0</v>
      </c>
      <c r="Q18" s="170">
        <v>7.3789999999999996</v>
      </c>
      <c r="R18" s="170">
        <f>SUM(N18:Q18)</f>
        <v>17.061</v>
      </c>
      <c r="S18" s="170">
        <v>3.1760000000000002</v>
      </c>
      <c r="T18" s="170">
        <v>3.4430000000000001</v>
      </c>
      <c r="U18" s="24">
        <v>3.4</v>
      </c>
      <c r="V18" s="24">
        <v>3.2</v>
      </c>
      <c r="W18" s="175">
        <f>SUM(S18:V18)</f>
        <v>13.219000000000001</v>
      </c>
      <c r="X18" s="24"/>
      <c r="Y18" s="24"/>
      <c r="Z18" s="24"/>
      <c r="AA18" s="24"/>
      <c r="AB18" s="170">
        <v>15</v>
      </c>
      <c r="AC18" s="170"/>
      <c r="AD18" s="170"/>
      <c r="AE18" s="170"/>
      <c r="AF18" s="170"/>
      <c r="AG18" s="170">
        <v>17</v>
      </c>
      <c r="AH18" s="57"/>
      <c r="AI18" s="54"/>
      <c r="AJ18" s="56"/>
    </row>
    <row r="19" spans="1:36" s="58" customFormat="1" ht="12.95" customHeight="1">
      <c r="A19" s="56"/>
      <c r="B19" s="131" t="s">
        <v>15</v>
      </c>
      <c r="C19" s="29">
        <v>276.23130000000003</v>
      </c>
      <c r="D19" s="29">
        <v>293.53399999999999</v>
      </c>
      <c r="E19" s="29">
        <v>357.00800000000004</v>
      </c>
      <c r="F19" s="29">
        <v>357.53399999999993</v>
      </c>
      <c r="G19" s="29">
        <v>546.92999999999984</v>
      </c>
      <c r="H19" s="29">
        <v>514.55999999999995</v>
      </c>
      <c r="I19" s="29">
        <v>532.20899999999995</v>
      </c>
      <c r="J19" s="29">
        <v>594.01600000000008</v>
      </c>
      <c r="K19" s="29">
        <v>629.07600000000002</v>
      </c>
      <c r="L19" s="29">
        <v>763.39400000000001</v>
      </c>
      <c r="M19" s="29">
        <v>859.45100000000002</v>
      </c>
      <c r="N19" s="29">
        <f t="shared" ref="N19:AG19" si="5">SUM(N13:N18)-N16</f>
        <v>207.98499999999999</v>
      </c>
      <c r="O19" s="29">
        <f t="shared" si="5"/>
        <v>195.79000000000002</v>
      </c>
      <c r="P19" s="29">
        <f t="shared" si="5"/>
        <v>202.375</v>
      </c>
      <c r="Q19" s="29">
        <f t="shared" si="5"/>
        <v>195.52800000000002</v>
      </c>
      <c r="R19" s="29">
        <f t="shared" si="5"/>
        <v>783.19999999999993</v>
      </c>
      <c r="S19" s="29">
        <f t="shared" si="5"/>
        <v>202.59199999999998</v>
      </c>
      <c r="T19" s="29">
        <f t="shared" si="5"/>
        <v>207.62100000000001</v>
      </c>
      <c r="U19" s="29">
        <f t="shared" si="5"/>
        <v>208.39999999999998</v>
      </c>
      <c r="V19" s="29">
        <f t="shared" si="5"/>
        <v>202.7</v>
      </c>
      <c r="W19" s="29">
        <f>SUM(S19:V19)</f>
        <v>821.31299999999987</v>
      </c>
      <c r="X19" s="29">
        <f t="shared" si="5"/>
        <v>0</v>
      </c>
      <c r="Y19" s="29">
        <f t="shared" si="5"/>
        <v>0</v>
      </c>
      <c r="Z19" s="29">
        <f t="shared" si="5"/>
        <v>0</v>
      </c>
      <c r="AA19" s="29">
        <f t="shared" si="5"/>
        <v>0</v>
      </c>
      <c r="AB19" s="29">
        <f t="shared" si="5"/>
        <v>841.7611195902</v>
      </c>
      <c r="AC19" s="29">
        <f t="shared" si="5"/>
        <v>0</v>
      </c>
      <c r="AD19" s="29">
        <f t="shared" si="5"/>
        <v>0</v>
      </c>
      <c r="AE19" s="29">
        <f t="shared" si="5"/>
        <v>0</v>
      </c>
      <c r="AF19" s="29">
        <f t="shared" si="5"/>
        <v>0</v>
      </c>
      <c r="AG19" s="29">
        <f t="shared" si="5"/>
        <v>869.75340856305502</v>
      </c>
      <c r="AH19" s="57"/>
      <c r="AI19" s="54"/>
      <c r="AJ19" s="56"/>
    </row>
    <row r="20" spans="1:36" s="58" customFormat="1" ht="12.95" customHeight="1">
      <c r="A20" s="56"/>
      <c r="B20" s="131" t="s">
        <v>18</v>
      </c>
      <c r="C20" s="29">
        <v>124.56519999999995</v>
      </c>
      <c r="D20" s="29">
        <v>156.625</v>
      </c>
      <c r="E20" s="29">
        <v>171.56200000000001</v>
      </c>
      <c r="F20" s="29">
        <v>203.14600000000002</v>
      </c>
      <c r="G20" s="29">
        <v>237.91800000000012</v>
      </c>
      <c r="H20" s="29">
        <v>228.52200000000005</v>
      </c>
      <c r="I20" s="29">
        <v>230.77</v>
      </c>
      <c r="J20" s="29">
        <v>265.2</v>
      </c>
      <c r="K20" s="29">
        <v>286.3</v>
      </c>
      <c r="L20" s="29">
        <v>282.99200000000002</v>
      </c>
      <c r="M20" s="29">
        <v>274.93</v>
      </c>
      <c r="N20" s="29">
        <f>N12-N19</f>
        <v>82.401000000000039</v>
      </c>
      <c r="O20" s="29">
        <f>O12-O19</f>
        <v>80.468000000000018</v>
      </c>
      <c r="P20" s="29">
        <f>P12-P19</f>
        <v>94.764999999999986</v>
      </c>
      <c r="Q20" s="29">
        <f>Q12-Q19</f>
        <v>86.762</v>
      </c>
      <c r="R20" s="29">
        <v>344.40100000000001</v>
      </c>
      <c r="S20" s="29">
        <f t="shared" ref="S20:AG20" si="6">S12-S19</f>
        <v>86.246000000000038</v>
      </c>
      <c r="T20" s="29">
        <f t="shared" si="6"/>
        <v>92.058999999999941</v>
      </c>
      <c r="U20" s="29">
        <f t="shared" si="6"/>
        <v>110.89024000000006</v>
      </c>
      <c r="V20" s="29">
        <f t="shared" si="6"/>
        <v>99.21902</v>
      </c>
      <c r="W20" s="29">
        <f t="shared" si="6"/>
        <v>388.41426000000024</v>
      </c>
      <c r="X20" s="29">
        <f t="shared" si="6"/>
        <v>0</v>
      </c>
      <c r="Y20" s="29">
        <f t="shared" si="6"/>
        <v>0</v>
      </c>
      <c r="Z20" s="29">
        <f t="shared" si="6"/>
        <v>0</v>
      </c>
      <c r="AA20" s="29">
        <f t="shared" si="6"/>
        <v>0</v>
      </c>
      <c r="AB20" s="29">
        <f t="shared" si="6"/>
        <v>435.76999930980014</v>
      </c>
      <c r="AC20" s="29">
        <f t="shared" si="6"/>
        <v>0</v>
      </c>
      <c r="AD20" s="29">
        <f t="shared" si="6"/>
        <v>0</v>
      </c>
      <c r="AE20" s="29">
        <f t="shared" si="6"/>
        <v>0</v>
      </c>
      <c r="AF20" s="29">
        <f t="shared" si="6"/>
        <v>0</v>
      </c>
      <c r="AG20" s="29">
        <f t="shared" si="6"/>
        <v>468.3721529479451</v>
      </c>
      <c r="AH20" s="57"/>
      <c r="AI20" s="54"/>
      <c r="AJ20" s="56"/>
    </row>
    <row r="21" spans="1:36" s="70" customFormat="1" ht="12.95" customHeight="1">
      <c r="A21" s="68"/>
      <c r="B21" s="62" t="s">
        <v>4</v>
      </c>
      <c r="C21" s="173">
        <f t="shared" ref="C21:H21" si="7">C20+C18+C14</f>
        <v>155.37429999999995</v>
      </c>
      <c r="D21" s="173">
        <f t="shared" si="7"/>
        <v>156.625</v>
      </c>
      <c r="E21" s="173">
        <f t="shared" si="7"/>
        <v>171.56200000000001</v>
      </c>
      <c r="F21" s="173">
        <f t="shared" si="7"/>
        <v>212.816</v>
      </c>
      <c r="G21" s="173">
        <f t="shared" si="7"/>
        <v>280.69200000000012</v>
      </c>
      <c r="H21" s="173">
        <f t="shared" si="7"/>
        <v>270.37100000000004</v>
      </c>
      <c r="I21" s="173">
        <f>I20+I171</f>
        <v>274.012</v>
      </c>
      <c r="J21" s="173">
        <f>J20+J171</f>
        <v>310.89400000000001</v>
      </c>
      <c r="K21" s="173">
        <f>K20+K171</f>
        <v>334.46699999999998</v>
      </c>
      <c r="L21" s="173">
        <f>L20+L171</f>
        <v>339.72</v>
      </c>
      <c r="M21" s="173">
        <f>M20+M171</f>
        <v>328.65600000000001</v>
      </c>
      <c r="N21" s="173">
        <v>96.367999999999995</v>
      </c>
      <c r="O21" s="173">
        <v>91.867999999999995</v>
      </c>
      <c r="P21" s="173">
        <v>106.979</v>
      </c>
      <c r="Q21" s="173">
        <v>98.078999999999994</v>
      </c>
      <c r="R21" s="173">
        <f>SUM(N21:Q21)</f>
        <v>393.29399999999998</v>
      </c>
      <c r="S21" s="173">
        <f t="shared" ref="S21:AG21" si="8">S20+S18+S14</f>
        <v>97.767000000000039</v>
      </c>
      <c r="T21" s="173">
        <f t="shared" si="8"/>
        <v>103.74999999999994</v>
      </c>
      <c r="U21" s="173">
        <f t="shared" si="8"/>
        <v>123.29024000000007</v>
      </c>
      <c r="V21" s="173">
        <f t="shared" si="8"/>
        <v>111.41902</v>
      </c>
      <c r="W21" s="173">
        <f t="shared" si="8"/>
        <v>436.22626000000025</v>
      </c>
      <c r="X21" s="173">
        <f t="shared" si="8"/>
        <v>0</v>
      </c>
      <c r="Y21" s="173">
        <f t="shared" si="8"/>
        <v>0</v>
      </c>
      <c r="Z21" s="173">
        <f t="shared" si="8"/>
        <v>0</v>
      </c>
      <c r="AA21" s="173">
        <f t="shared" si="8"/>
        <v>0</v>
      </c>
      <c r="AB21" s="173">
        <f t="shared" si="8"/>
        <v>485.76999930980014</v>
      </c>
      <c r="AC21" s="173">
        <f t="shared" si="8"/>
        <v>0</v>
      </c>
      <c r="AD21" s="173">
        <f t="shared" si="8"/>
        <v>0</v>
      </c>
      <c r="AE21" s="173">
        <f t="shared" si="8"/>
        <v>0</v>
      </c>
      <c r="AF21" s="173">
        <f t="shared" si="8"/>
        <v>0</v>
      </c>
      <c r="AG21" s="173">
        <f t="shared" si="8"/>
        <v>522.3721529479451</v>
      </c>
      <c r="AH21" s="69"/>
      <c r="AI21" s="54"/>
      <c r="AJ21" s="68"/>
    </row>
    <row r="22" spans="1:36" s="58" customFormat="1" ht="12.95" customHeight="1">
      <c r="A22" s="56"/>
      <c r="B22" s="132" t="s">
        <v>135</v>
      </c>
      <c r="C22" s="24">
        <v>1.5064000000000002</v>
      </c>
      <c r="D22" s="24">
        <v>4.8460000000000001</v>
      </c>
      <c r="E22" s="170">
        <v>8.109</v>
      </c>
      <c r="F22" s="170">
        <v>13.643000000000001</v>
      </c>
      <c r="G22" s="170">
        <v>7.5510000000000002</v>
      </c>
      <c r="H22" s="170">
        <v>1.417</v>
      </c>
      <c r="I22" s="170">
        <v>-1.0999999999999999E-2</v>
      </c>
      <c r="J22" s="170">
        <v>-3.585</v>
      </c>
      <c r="K22" s="170">
        <v>-10.984</v>
      </c>
      <c r="L22" s="170">
        <v>-9.6289999999999996</v>
      </c>
      <c r="M22" s="170">
        <v>-8.2769999999999992</v>
      </c>
      <c r="N22" s="170">
        <f>-1.91+0.13</f>
        <v>-1.7799999999999998</v>
      </c>
      <c r="O22" s="170">
        <f>-4.68+0.18</f>
        <v>-4.5</v>
      </c>
      <c r="P22" s="170">
        <f>-5.656</f>
        <v>-5.6559999999999997</v>
      </c>
      <c r="Q22" s="170">
        <f>-5.372</f>
        <v>-5.3719999999999999</v>
      </c>
      <c r="R22" s="170">
        <f>-18.121+0.817</f>
        <v>-17.303999999999998</v>
      </c>
      <c r="S22" s="170">
        <f>-5.72+0.2</f>
        <v>-5.52</v>
      </c>
      <c r="T22" s="170">
        <f>-5.57+0.6</f>
        <v>-4.9700000000000006</v>
      </c>
      <c r="U22" s="24">
        <v>-5</v>
      </c>
      <c r="V22" s="24">
        <v>-5</v>
      </c>
      <c r="W22" s="175">
        <f>SUM(S22:V22)</f>
        <v>-20.490000000000002</v>
      </c>
      <c r="X22" s="24"/>
      <c r="Y22" s="24"/>
      <c r="Z22" s="24"/>
      <c r="AA22" s="24"/>
      <c r="AB22" s="24">
        <f>W22</f>
        <v>-20.490000000000002</v>
      </c>
      <c r="AC22" s="24"/>
      <c r="AD22" s="24"/>
      <c r="AE22" s="24"/>
      <c r="AF22" s="24"/>
      <c r="AG22" s="24">
        <f>AB22</f>
        <v>-20.490000000000002</v>
      </c>
      <c r="AH22" s="57"/>
      <c r="AI22" s="54"/>
      <c r="AJ22" s="56"/>
    </row>
    <row r="23" spans="1:36" s="58" customFormat="1" ht="12.95" customHeight="1">
      <c r="A23" s="56"/>
      <c r="B23" s="132" t="s">
        <v>121</v>
      </c>
      <c r="C23" s="24">
        <v>4.0250000000000004</v>
      </c>
      <c r="D23" s="24">
        <v>2.254</v>
      </c>
      <c r="E23" s="170">
        <v>1.6379999999999999</v>
      </c>
      <c r="F23" s="170">
        <v>2.8479999999999999</v>
      </c>
      <c r="G23" s="170">
        <v>4.1820000000000004</v>
      </c>
      <c r="H23" s="170">
        <v>0.98899999999999999</v>
      </c>
      <c r="I23" s="170">
        <v>1.236</v>
      </c>
      <c r="J23" s="170">
        <v>2.1709999999999998</v>
      </c>
      <c r="K23" s="170">
        <v>2.6869999999999998</v>
      </c>
      <c r="L23" s="170">
        <v>3.5089999999999999</v>
      </c>
      <c r="M23" s="170">
        <v>3.3780000000000001</v>
      </c>
      <c r="N23" s="170">
        <v>1.593</v>
      </c>
      <c r="O23" s="170">
        <v>4.141</v>
      </c>
      <c r="P23" s="170">
        <v>-0.81499999999999995</v>
      </c>
      <c r="Q23" s="170">
        <v>0</v>
      </c>
      <c r="R23" s="170">
        <v>4.9720000000000004</v>
      </c>
      <c r="S23" s="170">
        <v>1.02</v>
      </c>
      <c r="T23" s="170">
        <v>4.4349999999999996</v>
      </c>
      <c r="U23" s="24">
        <v>-1</v>
      </c>
      <c r="V23" s="24">
        <v>1</v>
      </c>
      <c r="W23" s="175">
        <f>SUM(S23:V23)</f>
        <v>5.4550000000000001</v>
      </c>
      <c r="X23" s="24"/>
      <c r="Y23" s="24"/>
      <c r="Z23" s="24"/>
      <c r="AA23" s="24"/>
      <c r="AB23" s="24">
        <v>5</v>
      </c>
      <c r="AC23" s="24"/>
      <c r="AD23" s="24"/>
      <c r="AE23" s="24"/>
      <c r="AF23" s="24"/>
      <c r="AG23" s="24">
        <v>5</v>
      </c>
      <c r="AH23" s="57"/>
      <c r="AI23" s="54"/>
      <c r="AJ23" s="56"/>
    </row>
    <row r="24" spans="1:36" ht="12.95" customHeight="1">
      <c r="B24" s="131" t="s">
        <v>122</v>
      </c>
      <c r="C24" s="176">
        <v>130.0966</v>
      </c>
      <c r="D24" s="176">
        <v>164.79499999999999</v>
      </c>
      <c r="E24" s="176">
        <v>174.52500000000001</v>
      </c>
      <c r="F24" s="176">
        <v>217.42099999999999</v>
      </c>
      <c r="G24" s="176">
        <v>249.65100000000001</v>
      </c>
      <c r="H24" s="176">
        <v>230.928</v>
      </c>
      <c r="I24" s="176">
        <v>231.995</v>
      </c>
      <c r="J24" s="176">
        <v>263.786</v>
      </c>
      <c r="K24" s="176">
        <v>278.00300000000004</v>
      </c>
      <c r="L24" s="176">
        <v>276.87200000000001</v>
      </c>
      <c r="M24" s="176">
        <v>270.03100000000001</v>
      </c>
      <c r="N24" s="176">
        <f t="shared" ref="N24" si="9">N20+N22+N23</f>
        <v>82.214000000000041</v>
      </c>
      <c r="O24" s="176">
        <f t="shared" ref="O24:AG24" si="10">O20+O22+O23</f>
        <v>80.109000000000023</v>
      </c>
      <c r="P24" s="176">
        <v>88.29</v>
      </c>
      <c r="Q24" s="176">
        <v>81.44</v>
      </c>
      <c r="R24" s="176">
        <f t="shared" si="10"/>
        <v>332.06900000000002</v>
      </c>
      <c r="S24" s="176">
        <f t="shared" si="10"/>
        <v>81.746000000000038</v>
      </c>
      <c r="T24" s="176">
        <f t="shared" si="10"/>
        <v>91.523999999999944</v>
      </c>
      <c r="U24" s="176">
        <f t="shared" si="10"/>
        <v>104.89024000000006</v>
      </c>
      <c r="V24" s="176">
        <f t="shared" si="10"/>
        <v>95.21902</v>
      </c>
      <c r="W24" s="176">
        <f t="shared" si="10"/>
        <v>373.37926000000022</v>
      </c>
      <c r="X24" s="176">
        <f t="shared" si="10"/>
        <v>0</v>
      </c>
      <c r="Y24" s="176">
        <f t="shared" si="10"/>
        <v>0</v>
      </c>
      <c r="Z24" s="176">
        <f t="shared" si="10"/>
        <v>0</v>
      </c>
      <c r="AA24" s="176">
        <f t="shared" si="10"/>
        <v>0</v>
      </c>
      <c r="AB24" s="176">
        <f t="shared" si="10"/>
        <v>420.27999930980013</v>
      </c>
      <c r="AC24" s="176">
        <f t="shared" si="10"/>
        <v>0</v>
      </c>
      <c r="AD24" s="176">
        <f t="shared" si="10"/>
        <v>0</v>
      </c>
      <c r="AE24" s="176">
        <f t="shared" si="10"/>
        <v>0</v>
      </c>
      <c r="AF24" s="176">
        <f t="shared" si="10"/>
        <v>0</v>
      </c>
      <c r="AG24" s="176">
        <f t="shared" si="10"/>
        <v>452.88215294794509</v>
      </c>
    </row>
    <row r="25" spans="1:36" ht="12.95" customHeight="1">
      <c r="B25" s="132" t="s">
        <v>123</v>
      </c>
      <c r="C25" s="175">
        <v>51.075699999999998</v>
      </c>
      <c r="D25" s="175">
        <v>62.847000000000001</v>
      </c>
      <c r="E25" s="191">
        <v>61.773000000000003</v>
      </c>
      <c r="F25" s="191">
        <v>81.082999999999998</v>
      </c>
      <c r="G25" s="191">
        <v>92.718000000000004</v>
      </c>
      <c r="H25" s="191">
        <v>89.402000000000001</v>
      </c>
      <c r="I25" s="191">
        <v>87.867999999999995</v>
      </c>
      <c r="J25" s="191">
        <v>97.501999999999995</v>
      </c>
      <c r="K25" s="191">
        <v>95.936999999999998</v>
      </c>
      <c r="L25" s="191">
        <v>96.846999999999994</v>
      </c>
      <c r="M25" s="191">
        <v>91.347999999999999</v>
      </c>
      <c r="N25" s="191">
        <v>29.608000000000001</v>
      </c>
      <c r="O25" s="191">
        <v>27.911000000000001</v>
      </c>
      <c r="P25" s="191">
        <v>30.733000000000001</v>
      </c>
      <c r="Q25" s="191">
        <v>24.033999999999999</v>
      </c>
      <c r="R25" s="191">
        <v>112.286</v>
      </c>
      <c r="S25" s="191">
        <v>29.347000000000001</v>
      </c>
      <c r="T25" s="191">
        <v>32.588999999999999</v>
      </c>
      <c r="U25" s="175">
        <f>U52*U24</f>
        <v>36.711584000000016</v>
      </c>
      <c r="V25" s="175">
        <f>V52*V24</f>
        <v>33.326656999999997</v>
      </c>
      <c r="W25" s="175">
        <f>SUM(S25:V25)</f>
        <v>131.97424100000001</v>
      </c>
      <c r="X25" s="175"/>
      <c r="Y25" s="175"/>
      <c r="Z25" s="175"/>
      <c r="AA25" s="175"/>
      <c r="AB25" s="175">
        <f>AB24*AB52</f>
        <v>147.09799975843003</v>
      </c>
      <c r="AC25" s="175"/>
      <c r="AD25" s="175"/>
      <c r="AE25" s="175"/>
      <c r="AF25" s="175"/>
      <c r="AG25" s="175">
        <f>AG24*AG52</f>
        <v>158.50875353178077</v>
      </c>
    </row>
    <row r="26" spans="1:36" ht="12.95" customHeight="1">
      <c r="B26" s="146" t="s">
        <v>38</v>
      </c>
      <c r="C26" s="176">
        <v>79.020899999999997</v>
      </c>
      <c r="D26" s="176">
        <v>101.94799999999998</v>
      </c>
      <c r="E26" s="176">
        <v>112.75200000000001</v>
      </c>
      <c r="F26" s="176">
        <v>136.33799999999999</v>
      </c>
      <c r="G26" s="176">
        <v>156.93299999999999</v>
      </c>
      <c r="H26" s="176">
        <v>141.52600000000001</v>
      </c>
      <c r="I26" s="176">
        <v>143.32</v>
      </c>
      <c r="J26" s="176">
        <v>166.28399999999999</v>
      </c>
      <c r="K26" s="176">
        <v>182.06600000000003</v>
      </c>
      <c r="L26" s="176">
        <v>180.02500000000003</v>
      </c>
      <c r="M26" s="176">
        <v>178.68299999999999</v>
      </c>
      <c r="N26" s="176">
        <f>N24-N25</f>
        <v>52.606000000000037</v>
      </c>
      <c r="O26" s="176">
        <f>O24-O25</f>
        <v>52.198000000000022</v>
      </c>
      <c r="P26" s="176">
        <v>57.563000000000002</v>
      </c>
      <c r="Q26" s="176">
        <v>57.411999999999999</v>
      </c>
      <c r="R26" s="176">
        <f t="shared" ref="R26:AG26" si="11">R24-R25</f>
        <v>219.78300000000002</v>
      </c>
      <c r="S26" s="176">
        <f t="shared" si="11"/>
        <v>52.399000000000036</v>
      </c>
      <c r="T26" s="176">
        <f t="shared" si="11"/>
        <v>58.934999999999945</v>
      </c>
      <c r="U26" s="176">
        <f t="shared" si="11"/>
        <v>68.178656000000046</v>
      </c>
      <c r="V26" s="176">
        <f t="shared" si="11"/>
        <v>61.892363000000003</v>
      </c>
      <c r="W26" s="176">
        <f t="shared" si="11"/>
        <v>241.40501900000021</v>
      </c>
      <c r="X26" s="176">
        <f t="shared" si="11"/>
        <v>0</v>
      </c>
      <c r="Y26" s="176">
        <f t="shared" si="11"/>
        <v>0</v>
      </c>
      <c r="Z26" s="176">
        <f t="shared" si="11"/>
        <v>0</v>
      </c>
      <c r="AA26" s="176">
        <f t="shared" si="11"/>
        <v>0</v>
      </c>
      <c r="AB26" s="176">
        <f t="shared" si="11"/>
        <v>273.1819995513701</v>
      </c>
      <c r="AC26" s="176">
        <f t="shared" si="11"/>
        <v>0</v>
      </c>
      <c r="AD26" s="176">
        <f t="shared" si="11"/>
        <v>0</v>
      </c>
      <c r="AE26" s="176">
        <f t="shared" si="11"/>
        <v>0</v>
      </c>
      <c r="AF26" s="176">
        <f t="shared" si="11"/>
        <v>0</v>
      </c>
      <c r="AG26" s="176">
        <f t="shared" si="11"/>
        <v>294.37339941616432</v>
      </c>
    </row>
    <row r="27" spans="1:36" ht="12.95" customHeight="1">
      <c r="B27" s="81" t="s">
        <v>124</v>
      </c>
      <c r="C27" s="175">
        <v>183.73155</v>
      </c>
      <c r="D27" s="175">
        <v>186.05600000000001</v>
      </c>
      <c r="E27" s="191">
        <v>185.53899999999999</v>
      </c>
      <c r="F27" s="191">
        <v>186.82050000000001</v>
      </c>
      <c r="G27" s="191">
        <v>179.547</v>
      </c>
      <c r="H27" s="191">
        <v>169.261</v>
      </c>
      <c r="I27" s="191">
        <v>170.05500000000001</v>
      </c>
      <c r="J27" s="191">
        <v>153.255</v>
      </c>
      <c r="K27" s="191">
        <v>131.42400000000001</v>
      </c>
      <c r="L27" s="191">
        <v>129.78100000000001</v>
      </c>
      <c r="M27" s="191">
        <v>131.22999999999999</v>
      </c>
      <c r="N27" s="191">
        <v>131.517</v>
      </c>
      <c r="O27" s="191">
        <v>131.87</v>
      </c>
      <c r="P27" s="191">
        <f>P26/P28</f>
        <v>130.82500000000002</v>
      </c>
      <c r="Q27" s="191">
        <f>Q26/Q28</f>
        <v>130.48181818181817</v>
      </c>
      <c r="R27" s="191">
        <v>131.42500000000001</v>
      </c>
      <c r="S27" s="191">
        <v>125.57</v>
      </c>
      <c r="T27" s="191">
        <v>122.9</v>
      </c>
      <c r="U27" s="175">
        <f>T27</f>
        <v>122.9</v>
      </c>
      <c r="V27" s="175">
        <f>U27</f>
        <v>122.9</v>
      </c>
      <c r="W27" s="175">
        <f>AVERAGE(S27:V27)</f>
        <v>123.5675</v>
      </c>
      <c r="X27" s="175"/>
      <c r="Y27" s="175"/>
      <c r="Z27" s="175"/>
      <c r="AA27" s="175"/>
      <c r="AB27" s="175">
        <f>W27+(AB206/Drivers!H38)</f>
        <v>119.02204545454545</v>
      </c>
      <c r="AC27" s="175"/>
      <c r="AD27" s="175"/>
      <c r="AE27" s="175"/>
      <c r="AF27" s="175"/>
      <c r="AG27" s="175">
        <f>AB27+(AG206/Drivers!I38)</f>
        <v>114.85537878787878</v>
      </c>
    </row>
    <row r="28" spans="1:36" s="70" customFormat="1" ht="12.95" customHeight="1">
      <c r="A28" s="68"/>
      <c r="B28" s="62" t="s">
        <v>125</v>
      </c>
      <c r="C28" s="174">
        <f>C26/C27</f>
        <v>0.43008889872207573</v>
      </c>
      <c r="D28" s="174">
        <f t="shared" ref="D28:V28" si="12">D26/D27</f>
        <v>0.54794255492969846</v>
      </c>
      <c r="E28" s="174">
        <f t="shared" si="12"/>
        <v>0.60769972889796764</v>
      </c>
      <c r="F28" s="174">
        <f t="shared" si="12"/>
        <v>0.72978072534866345</v>
      </c>
      <c r="G28" s="174">
        <f t="shared" si="12"/>
        <v>0.87404969172417246</v>
      </c>
      <c r="H28" s="174">
        <f t="shared" si="12"/>
        <v>0.83614063487749701</v>
      </c>
      <c r="I28" s="174">
        <f t="shared" si="12"/>
        <v>0.84278615741965823</v>
      </c>
      <c r="J28" s="174">
        <f t="shared" si="12"/>
        <v>1.085015170793775</v>
      </c>
      <c r="K28" s="174">
        <f t="shared" si="12"/>
        <v>1.3853329681032385</v>
      </c>
      <c r="L28" s="174">
        <f t="shared" si="12"/>
        <v>1.3871444972684757</v>
      </c>
      <c r="M28" s="174">
        <f t="shared" si="12"/>
        <v>1.3616017678884402</v>
      </c>
      <c r="N28" s="174">
        <f t="shared" si="12"/>
        <v>0.39999391713618804</v>
      </c>
      <c r="O28" s="174">
        <f t="shared" si="12"/>
        <v>0.39582922575263535</v>
      </c>
      <c r="P28" s="174">
        <v>0.44</v>
      </c>
      <c r="Q28" s="174">
        <v>0.44</v>
      </c>
      <c r="R28" s="174">
        <f t="shared" si="12"/>
        <v>1.6723073996575994</v>
      </c>
      <c r="S28" s="174">
        <f t="shared" si="12"/>
        <v>0.41728916142390732</v>
      </c>
      <c r="T28" s="174">
        <f t="shared" si="12"/>
        <v>0.47953620829942994</v>
      </c>
      <c r="U28" s="174">
        <f t="shared" si="12"/>
        <v>0.55474903173311674</v>
      </c>
      <c r="V28" s="174">
        <f t="shared" si="12"/>
        <v>0.50359937347436945</v>
      </c>
      <c r="W28" s="174">
        <f>SUM(S28:V28)</f>
        <v>1.9551737749308233</v>
      </c>
      <c r="X28" s="174"/>
      <c r="Y28" s="174"/>
      <c r="Z28" s="174"/>
      <c r="AA28" s="174"/>
      <c r="AB28" s="174">
        <f t="shared" ref="AB28" si="13">AB26/AB27</f>
        <v>2.2952218516165424</v>
      </c>
      <c r="AC28" s="174"/>
      <c r="AD28" s="174"/>
      <c r="AE28" s="174"/>
      <c r="AF28" s="174"/>
      <c r="AG28" s="174">
        <f t="shared" ref="AG28" si="14">AG26/AG27</f>
        <v>2.5629918469889796</v>
      </c>
      <c r="AH28" s="69"/>
      <c r="AI28" s="54"/>
      <c r="AJ28" s="68"/>
    </row>
    <row r="29" spans="1:36" ht="12.95" hidden="1" customHeight="1" outlineLevel="1">
      <c r="B29" s="246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T29" s="113"/>
      <c r="AB29" s="39"/>
    </row>
    <row r="30" spans="1:36" ht="12.95" hidden="1" customHeight="1" outlineLevel="1">
      <c r="B30" s="177" t="s">
        <v>52</v>
      </c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T30" s="113"/>
      <c r="AB30" s="39"/>
    </row>
    <row r="31" spans="1:36" ht="12.95" hidden="1" customHeight="1" outlineLevel="1">
      <c r="B31" s="82" t="s">
        <v>307</v>
      </c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T31" s="113"/>
      <c r="U31" s="88"/>
      <c r="V31" s="88"/>
      <c r="W31" s="181">
        <v>1048</v>
      </c>
      <c r="X31" s="88"/>
      <c r="Y31" s="88"/>
      <c r="Z31" s="88"/>
      <c r="AA31" s="88"/>
      <c r="AB31" s="88">
        <v>1093</v>
      </c>
      <c r="AC31" s="88"/>
      <c r="AD31" s="88"/>
      <c r="AE31" s="88"/>
      <c r="AF31" s="88"/>
      <c r="AG31" s="88">
        <v>1165</v>
      </c>
      <c r="AH31" s="145"/>
      <c r="AI31" s="145"/>
      <c r="AJ31" s="145"/>
    </row>
    <row r="32" spans="1:36" ht="12.95" hidden="1" customHeight="1" outlineLevel="1">
      <c r="B32" s="82" t="s">
        <v>308</v>
      </c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T32" s="113"/>
      <c r="U32" s="88"/>
      <c r="V32" s="88"/>
      <c r="W32" s="181">
        <v>157</v>
      </c>
      <c r="X32" s="88"/>
      <c r="Y32" s="88"/>
      <c r="Z32" s="88"/>
      <c r="AA32" s="88"/>
      <c r="AB32" s="88">
        <v>168</v>
      </c>
      <c r="AC32" s="88"/>
      <c r="AD32" s="88"/>
      <c r="AE32" s="88"/>
      <c r="AF32" s="88"/>
      <c r="AG32" s="88">
        <v>169</v>
      </c>
      <c r="AH32" s="145"/>
      <c r="AI32" s="145"/>
      <c r="AJ32" s="145"/>
    </row>
    <row r="33" spans="2:33" ht="12.95" hidden="1" customHeight="1" outlineLevel="1">
      <c r="B33" s="82" t="s">
        <v>293</v>
      </c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T33" s="113"/>
      <c r="U33" s="88">
        <v>319</v>
      </c>
      <c r="V33" s="88">
        <v>301</v>
      </c>
      <c r="W33" s="88">
        <v>1209</v>
      </c>
      <c r="X33" s="181">
        <v>307</v>
      </c>
      <c r="Y33" s="88">
        <v>318</v>
      </c>
      <c r="Z33" s="88">
        <v>347</v>
      </c>
      <c r="AA33" s="88">
        <v>325</v>
      </c>
      <c r="AB33" s="88">
        <v>1274</v>
      </c>
      <c r="AC33" s="88"/>
      <c r="AD33" s="88"/>
      <c r="AE33" s="88"/>
      <c r="AF33" s="88"/>
      <c r="AG33" s="88">
        <v>1331</v>
      </c>
    </row>
    <row r="34" spans="2:33" ht="12.95" hidden="1" customHeight="1" outlineLevel="1">
      <c r="B34" s="82" t="s">
        <v>17</v>
      </c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T34" s="113"/>
      <c r="U34" s="88">
        <v>142</v>
      </c>
      <c r="V34" s="88">
        <v>131</v>
      </c>
      <c r="W34" s="181">
        <v>523</v>
      </c>
      <c r="X34" s="181">
        <v>130</v>
      </c>
      <c r="Y34" s="88">
        <v>134</v>
      </c>
      <c r="Z34" s="88">
        <v>152</v>
      </c>
      <c r="AA34" s="88">
        <f>AB34-Z34-Y34-X34</f>
        <v>146</v>
      </c>
      <c r="AB34" s="88">
        <v>562</v>
      </c>
      <c r="AC34" s="88"/>
      <c r="AD34" s="88"/>
      <c r="AE34" s="88"/>
      <c r="AF34" s="88"/>
      <c r="AG34" s="88">
        <v>577</v>
      </c>
    </row>
    <row r="35" spans="2:33" ht="12.95" hidden="1" customHeight="1" outlineLevel="1">
      <c r="B35" s="82" t="s">
        <v>4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T35" s="113"/>
      <c r="U35" s="88">
        <v>115</v>
      </c>
      <c r="V35" s="88">
        <v>107</v>
      </c>
      <c r="W35" s="181">
        <v>428</v>
      </c>
      <c r="X35" s="88">
        <v>103</v>
      </c>
      <c r="Y35" s="88">
        <v>109</v>
      </c>
      <c r="Z35" s="88">
        <v>124</v>
      </c>
      <c r="AA35" s="88">
        <f>AB35-Z35-Y35-X35</f>
        <v>126</v>
      </c>
      <c r="AB35" s="88">
        <v>462</v>
      </c>
      <c r="AC35" s="88"/>
      <c r="AD35" s="88"/>
      <c r="AE35" s="88"/>
      <c r="AF35" s="88"/>
      <c r="AG35" s="88">
        <v>483</v>
      </c>
    </row>
    <row r="36" spans="2:33" ht="12.95" hidden="1" customHeight="1" outlineLevel="1">
      <c r="B36" s="82" t="s">
        <v>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T36" s="113"/>
      <c r="U36" s="247">
        <v>0.54</v>
      </c>
      <c r="V36" s="247">
        <v>0.49</v>
      </c>
      <c r="W36" s="247">
        <f>V36+U36+T28+S28</f>
        <v>1.9268253697233373</v>
      </c>
      <c r="X36" s="248">
        <v>0.5</v>
      </c>
      <c r="Y36" s="248">
        <v>0.52</v>
      </c>
      <c r="Z36" s="248">
        <v>0.6</v>
      </c>
      <c r="AA36" s="249">
        <f>AB36-Z36-Y36-X36</f>
        <v>0.54</v>
      </c>
      <c r="AB36" s="119">
        <v>2.16</v>
      </c>
      <c r="AG36" s="119">
        <v>2.2999999999999998</v>
      </c>
    </row>
    <row r="37" spans="2:33" ht="12.95" hidden="1" customHeight="1" outlineLevel="1">
      <c r="B37" s="82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T37" s="113"/>
      <c r="U37" s="247"/>
      <c r="V37" s="247"/>
      <c r="W37" s="247"/>
      <c r="X37" s="248"/>
      <c r="Y37" s="248"/>
      <c r="Z37" s="248"/>
      <c r="AA37" s="249"/>
      <c r="AB37" s="119"/>
      <c r="AG37" s="119"/>
    </row>
    <row r="38" spans="2:33" ht="12.95" hidden="1" customHeight="1" outlineLevel="1">
      <c r="B38" s="82" t="s">
        <v>314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T38" s="113"/>
      <c r="U38" s="247"/>
      <c r="V38" s="247"/>
      <c r="W38" s="185">
        <f>Cover!$G$45/Model!W36</f>
        <v>21.434220583222881</v>
      </c>
      <c r="X38" s="248"/>
      <c r="Y38" s="248"/>
      <c r="Z38" s="248"/>
      <c r="AA38" s="249"/>
      <c r="AB38" s="185">
        <f>Cover!$G$45/Model!AB36</f>
        <v>19.120370370370367</v>
      </c>
      <c r="AG38" s="185">
        <f>Cover!$G$45/Model!AG36</f>
        <v>17.956521739130434</v>
      </c>
    </row>
    <row r="39" spans="2:33" ht="12.95" hidden="1" customHeight="1" outlineLevel="1">
      <c r="B39" s="82" t="s">
        <v>315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T39" s="113"/>
      <c r="U39" s="247"/>
      <c r="V39" s="247"/>
      <c r="W39" s="185">
        <f>Cover!$G$49/Model!W35</f>
        <v>13.066731308411214</v>
      </c>
      <c r="X39" s="248"/>
      <c r="Y39" s="248"/>
      <c r="Z39" s="248"/>
      <c r="AA39" s="249"/>
      <c r="AB39" s="185">
        <f>Cover!$G$49/Model!AB35</f>
        <v>12.105110389610388</v>
      </c>
      <c r="AG39" s="185">
        <f>Cover!$G$49/Model!AG35</f>
        <v>11.578801242236024</v>
      </c>
    </row>
    <row r="40" spans="2:33" ht="12.95" customHeight="1" collapsed="1">
      <c r="B40" s="246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T40" s="113"/>
      <c r="AB40" s="39"/>
    </row>
    <row r="41" spans="2:33" ht="12.95" customHeight="1">
      <c r="B41" s="177" t="s">
        <v>19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W41" s="180"/>
      <c r="AB41" s="227"/>
    </row>
    <row r="42" spans="2:33" ht="12.95" customHeight="1">
      <c r="B42" s="82" t="s">
        <v>128</v>
      </c>
      <c r="C42" s="39">
        <f>1-(C13+C14+C15)/C12</f>
        <v>0.47865288244782567</v>
      </c>
      <c r="D42" s="39">
        <f>D16/D12</f>
        <v>0.45009207857668071</v>
      </c>
      <c r="E42" s="39">
        <f>E16/E12</f>
        <v>0.43617117884102391</v>
      </c>
      <c r="F42" s="39">
        <f t="shared" ref="F42:AG42" si="15">F16/F12</f>
        <v>0.47582043233216803</v>
      </c>
      <c r="G42" s="39">
        <f t="shared" si="15"/>
        <v>0.41052101910828021</v>
      </c>
      <c r="H42" s="39">
        <f t="shared" si="15"/>
        <v>0.4202201102973831</v>
      </c>
      <c r="I42" s="39">
        <f t="shared" si="15"/>
        <v>0.45232694897907699</v>
      </c>
      <c r="J42" s="39">
        <f t="shared" si="15"/>
        <v>0.44836157404988719</v>
      </c>
      <c r="K42" s="39">
        <f t="shared" si="15"/>
        <v>0.44321574220047583</v>
      </c>
      <c r="L42" s="39">
        <f t="shared" si="15"/>
        <v>0.40226264495128955</v>
      </c>
      <c r="M42" s="39">
        <f t="shared" si="15"/>
        <v>0.40273092397091853</v>
      </c>
      <c r="N42" s="39">
        <f t="shared" si="15"/>
        <v>0.42119110425433737</v>
      </c>
      <c r="O42" s="39">
        <f t="shared" si="15"/>
        <v>0.41579610364224745</v>
      </c>
      <c r="P42" s="39">
        <f t="shared" si="15"/>
        <v>0.42880460389042196</v>
      </c>
      <c r="Q42" s="39">
        <f t="shared" si="15"/>
        <v>0.42077650642955827</v>
      </c>
      <c r="R42" s="39">
        <f t="shared" si="15"/>
        <v>0.4217649917675832</v>
      </c>
      <c r="S42" s="39">
        <f t="shared" si="15"/>
        <v>0.41843870958807367</v>
      </c>
      <c r="T42" s="39">
        <f t="shared" si="15"/>
        <v>0.41573678590496516</v>
      </c>
      <c r="U42" s="39">
        <f t="shared" si="15"/>
        <v>0.45190933490481894</v>
      </c>
      <c r="V42" s="39">
        <f t="shared" si="15"/>
        <v>0.43859118249655155</v>
      </c>
      <c r="W42" s="39">
        <f t="shared" si="15"/>
        <v>0.43163304429462895</v>
      </c>
      <c r="X42" s="39" t="e">
        <f t="shared" si="15"/>
        <v>#DIV/0!</v>
      </c>
      <c r="Y42" s="39" t="e">
        <f t="shared" si="15"/>
        <v>#DIV/0!</v>
      </c>
      <c r="Z42" s="39" t="e">
        <f t="shared" si="15"/>
        <v>#DIV/0!</v>
      </c>
      <c r="AA42" s="39" t="e">
        <f t="shared" si="15"/>
        <v>#DIV/0!</v>
      </c>
      <c r="AB42" s="39">
        <f t="shared" si="15"/>
        <v>0.45460340708558539</v>
      </c>
      <c r="AC42" s="39" t="e">
        <f t="shared" si="15"/>
        <v>#DIV/0!</v>
      </c>
      <c r="AD42" s="39" t="e">
        <f t="shared" si="15"/>
        <v>#DIV/0!</v>
      </c>
      <c r="AE42" s="39" t="e">
        <f t="shared" si="15"/>
        <v>#DIV/0!</v>
      </c>
      <c r="AF42" s="39" t="e">
        <f t="shared" si="15"/>
        <v>#DIV/0!</v>
      </c>
      <c r="AG42" s="39">
        <f t="shared" si="15"/>
        <v>0.46734938105642354</v>
      </c>
    </row>
    <row r="43" spans="2:33" ht="12.95" customHeight="1">
      <c r="B43" s="82" t="s">
        <v>127</v>
      </c>
      <c r="C43" s="39">
        <f t="shared" ref="C43:T43" si="16">C20/C12</f>
        <v>0.31079413118627519</v>
      </c>
      <c r="D43" s="39">
        <f t="shared" si="16"/>
        <v>0.34793261936338049</v>
      </c>
      <c r="E43" s="39">
        <f t="shared" si="16"/>
        <v>0.3245776339936054</v>
      </c>
      <c r="F43" s="39">
        <f t="shared" si="16"/>
        <v>0.3623207533709068</v>
      </c>
      <c r="G43" s="39">
        <f t="shared" si="16"/>
        <v>0.30308025477707023</v>
      </c>
      <c r="H43" s="39">
        <f t="shared" si="16"/>
        <v>0.30753268145372925</v>
      </c>
      <c r="I43" s="39">
        <f t="shared" si="16"/>
        <v>0.29858490138818627</v>
      </c>
      <c r="J43" s="39">
        <f t="shared" si="16"/>
        <v>0.30789056649774477</v>
      </c>
      <c r="K43" s="39">
        <f t="shared" si="16"/>
        <v>0.30978444931837684</v>
      </c>
      <c r="L43" s="39">
        <f t="shared" si="16"/>
        <v>0.27044704344285952</v>
      </c>
      <c r="M43" s="39">
        <f t="shared" si="16"/>
        <v>0.23629789366293966</v>
      </c>
      <c r="N43" s="39">
        <f t="shared" si="16"/>
        <v>0.28376368006722097</v>
      </c>
      <c r="O43" s="39">
        <f t="shared" si="16"/>
        <v>0.2912784426152365</v>
      </c>
      <c r="P43" s="39">
        <f t="shared" si="16"/>
        <v>0.3189237396513428</v>
      </c>
      <c r="Q43" s="39">
        <f t="shared" si="16"/>
        <v>0.30735059690389316</v>
      </c>
      <c r="R43" s="39">
        <f t="shared" si="16"/>
        <v>0.30050371745752252</v>
      </c>
      <c r="S43" s="39">
        <f t="shared" si="16"/>
        <v>0.29859644506609251</v>
      </c>
      <c r="T43" s="39">
        <f t="shared" si="16"/>
        <v>0.30719100373731967</v>
      </c>
      <c r="U43" s="39">
        <f t="shared" ref="U43:V43" si="17">U20/U12</f>
        <v>0.34730231653808163</v>
      </c>
      <c r="V43" s="39">
        <f t="shared" si="17"/>
        <v>0.32862792148702658</v>
      </c>
      <c r="W43" s="39">
        <f t="shared" ref="W43" si="18">W20/W12</f>
        <v>0.32107589275949705</v>
      </c>
      <c r="AB43" s="39">
        <f t="shared" ref="AB43" si="19">AB20/AB12</f>
        <v>0.34110323644015317</v>
      </c>
      <c r="AG43" s="39">
        <f t="shared" ref="AG43" si="20">AG20/AG12</f>
        <v>0.35002107905259894</v>
      </c>
    </row>
    <row r="44" spans="2:33" ht="12.95" customHeight="1">
      <c r="B44" s="82" t="s">
        <v>126</v>
      </c>
      <c r="C44" s="39">
        <f t="shared" ref="C44:T44" si="21">C21/C12</f>
        <v>0.38766381442951714</v>
      </c>
      <c r="D44" s="39">
        <f t="shared" si="21"/>
        <v>0.34793261936338049</v>
      </c>
      <c r="E44" s="39">
        <f t="shared" si="21"/>
        <v>0.3245776339936054</v>
      </c>
      <c r="F44" s="39">
        <f t="shared" si="21"/>
        <v>0.37956766783191842</v>
      </c>
      <c r="G44" s="39">
        <f t="shared" si="21"/>
        <v>0.35756942675159253</v>
      </c>
      <c r="H44" s="39">
        <f t="shared" si="21"/>
        <v>0.36385082669207441</v>
      </c>
      <c r="I44" s="39">
        <f t="shared" si="21"/>
        <v>0.35453415088260903</v>
      </c>
      <c r="J44" s="39">
        <f t="shared" si="21"/>
        <v>0.3609401575443057</v>
      </c>
      <c r="K44" s="39">
        <f t="shared" si="21"/>
        <v>0.36190246388462988</v>
      </c>
      <c r="L44" s="39">
        <f t="shared" si="21"/>
        <v>0.32466030699952031</v>
      </c>
      <c r="M44" s="39">
        <f t="shared" si="21"/>
        <v>0.28247452275010765</v>
      </c>
      <c r="N44" s="39">
        <f t="shared" si="21"/>
        <v>0.3318617288712265</v>
      </c>
      <c r="O44" s="39">
        <f t="shared" si="21"/>
        <v>0.33254421591410921</v>
      </c>
      <c r="P44" s="39">
        <f t="shared" si="21"/>
        <v>0.36002894258598644</v>
      </c>
      <c r="Q44" s="39">
        <f t="shared" si="21"/>
        <v>0.34744057529490946</v>
      </c>
      <c r="R44" s="39">
        <f t="shared" si="21"/>
        <v>0.34316482546142102</v>
      </c>
      <c r="S44" s="39">
        <f t="shared" si="21"/>
        <v>0.33848385600232667</v>
      </c>
      <c r="T44" s="39">
        <f t="shared" si="21"/>
        <v>0.34620261612386533</v>
      </c>
      <c r="U44" s="39">
        <f t="shared" ref="U44:V44" si="22">U21/U12</f>
        <v>0.38613845509339734</v>
      </c>
      <c r="V44" s="39">
        <f t="shared" si="22"/>
        <v>0.36903610776161105</v>
      </c>
      <c r="W44" s="39">
        <f t="shared" ref="W44" si="23">W21/W12</f>
        <v>0.36059885101704675</v>
      </c>
      <c r="AB44" s="39">
        <f t="shared" ref="AB44" si="24">AB21/AB12</f>
        <v>0.38024122631788837</v>
      </c>
      <c r="AG44" s="39">
        <f t="shared" ref="AG44" si="25">AG21/AG12</f>
        <v>0.39037603642971058</v>
      </c>
    </row>
    <row r="45" spans="2:33" ht="12.95" customHeight="1">
      <c r="B45" s="5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W45" s="32"/>
    </row>
    <row r="46" spans="2:33" ht="12.95" customHeight="1">
      <c r="B46" s="177" t="s">
        <v>102</v>
      </c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W46" s="32"/>
    </row>
    <row r="47" spans="2:33" ht="12.95" customHeight="1">
      <c r="B47" s="82" t="s">
        <v>137</v>
      </c>
      <c r="C47" s="39">
        <f t="shared" ref="C47:T47" si="26">C13/C12</f>
        <v>0.52134711755217433</v>
      </c>
      <c r="D47" s="39">
        <f t="shared" si="26"/>
        <v>0.54990792142331935</v>
      </c>
      <c r="E47" s="39">
        <f t="shared" si="26"/>
        <v>0.56382882115897615</v>
      </c>
      <c r="F47" s="39">
        <f t="shared" si="26"/>
        <v>0.51024470286081192</v>
      </c>
      <c r="G47" s="39">
        <f t="shared" si="26"/>
        <v>0.41347261146496816</v>
      </c>
      <c r="H47" s="39">
        <f t="shared" si="26"/>
        <v>0.39294586600132958</v>
      </c>
      <c r="I47" s="39">
        <f t="shared" si="26"/>
        <v>0.36703157932871766</v>
      </c>
      <c r="J47" s="39">
        <f t="shared" si="26"/>
        <v>0.37603051042265295</v>
      </c>
      <c r="K47" s="39">
        <f t="shared" si="26"/>
        <v>0.37282985876296132</v>
      </c>
      <c r="L47" s="39">
        <f t="shared" si="26"/>
        <v>0.39895602578780681</v>
      </c>
      <c r="M47" s="39">
        <f t="shared" si="26"/>
        <v>0.41616809441258146</v>
      </c>
      <c r="N47" s="39">
        <f t="shared" si="26"/>
        <v>0.42062978242752747</v>
      </c>
      <c r="O47" s="39">
        <f t="shared" si="26"/>
        <v>0.43701901845376417</v>
      </c>
      <c r="P47" s="39">
        <f t="shared" si="26"/>
        <v>0.42184828700275967</v>
      </c>
      <c r="Q47" s="39">
        <f t="shared" si="26"/>
        <v>0.43405363278897585</v>
      </c>
      <c r="R47" s="39">
        <f t="shared" si="26"/>
        <v>0.42820084828358251</v>
      </c>
      <c r="S47" s="39">
        <f t="shared" si="26"/>
        <v>0.44164548985936747</v>
      </c>
      <c r="T47" s="39">
        <f t="shared" si="26"/>
        <v>0.4428623865456488</v>
      </c>
      <c r="U47" s="39">
        <f t="shared" ref="U47:W47" si="27">U13/U12</f>
        <v>0.40871903882812072</v>
      </c>
      <c r="V47" s="39">
        <f t="shared" si="27"/>
        <v>0.42064259482559263</v>
      </c>
      <c r="W47" s="39">
        <f t="shared" si="27"/>
        <v>0.42801465844458186</v>
      </c>
      <c r="AB47" s="261">
        <f>Drivers!H21</f>
        <v>0.41299999999999998</v>
      </c>
      <c r="AC47" s="261"/>
      <c r="AD47" s="261"/>
      <c r="AE47" s="261"/>
      <c r="AF47" s="261"/>
      <c r="AG47" s="261">
        <f>Drivers!I21</f>
        <v>0.40200000000000002</v>
      </c>
    </row>
    <row r="48" spans="2:33" ht="12.95" hidden="1" customHeight="1" outlineLevel="1">
      <c r="B48" s="82" t="s">
        <v>183</v>
      </c>
      <c r="C48" s="39"/>
      <c r="D48" s="39"/>
      <c r="E48" s="39"/>
      <c r="F48" s="39"/>
      <c r="G48" s="39"/>
      <c r="H48" s="39"/>
      <c r="I48" s="39"/>
      <c r="J48" s="39"/>
      <c r="K48" s="39"/>
      <c r="L48" s="39">
        <f>L82/L77</f>
        <v>0.38383204546676952</v>
      </c>
      <c r="M48" s="39">
        <f>M82/M77</f>
        <v>0.40467439544430711</v>
      </c>
      <c r="N48" s="39"/>
      <c r="O48" s="39"/>
      <c r="P48" s="39"/>
      <c r="Q48" s="39"/>
      <c r="R48" s="39"/>
      <c r="S48" s="39"/>
      <c r="T48" s="39"/>
      <c r="U48" s="39"/>
      <c r="V48" s="39"/>
      <c r="W48" s="39"/>
      <c r="AB48" s="39"/>
      <c r="AC48" s="39"/>
      <c r="AD48" s="39"/>
      <c r="AE48" s="39"/>
      <c r="AF48" s="39"/>
      <c r="AG48" s="39"/>
    </row>
    <row r="49" spans="1:36" ht="12.95" customHeight="1" collapsed="1">
      <c r="B49" s="82" t="s">
        <v>138</v>
      </c>
      <c r="C49" s="39">
        <f t="shared" ref="C49:T49" si="28">C17/C12</f>
        <v>9.0989068018308542E-2</v>
      </c>
      <c r="D49" s="39">
        <f t="shared" si="28"/>
        <v>0.10215945921330019</v>
      </c>
      <c r="E49" s="39">
        <f t="shared" si="28"/>
        <v>0.1115935448474185</v>
      </c>
      <c r="F49" s="39">
        <f t="shared" si="28"/>
        <v>0.11018762930726976</v>
      </c>
      <c r="G49" s="39">
        <f t="shared" si="28"/>
        <v>9.3927388535031853E-2</v>
      </c>
      <c r="H49" s="39">
        <f t="shared" si="28"/>
        <v>0.10051380601333365</v>
      </c>
      <c r="I49" s="39">
        <f t="shared" si="28"/>
        <v>0.13020666883173174</v>
      </c>
      <c r="J49" s="39">
        <f t="shared" si="28"/>
        <v>0.1151919381896917</v>
      </c>
      <c r="K49" s="39">
        <f t="shared" si="28"/>
        <v>0.10752972058806026</v>
      </c>
      <c r="L49" s="39">
        <f t="shared" si="28"/>
        <v>0.11656119252360028</v>
      </c>
      <c r="M49" s="39">
        <f t="shared" si="28"/>
        <v>0.12636733136282335</v>
      </c>
      <c r="N49" s="39">
        <f t="shared" si="28"/>
        <v>0.12754402760463657</v>
      </c>
      <c r="O49" s="39">
        <f t="shared" si="28"/>
        <v>9.98595515785968E-2</v>
      </c>
      <c r="P49" s="39">
        <f t="shared" si="28"/>
        <v>0.10988086423907922</v>
      </c>
      <c r="Q49" s="39">
        <f t="shared" si="28"/>
        <v>8.7286124198519249E-2</v>
      </c>
      <c r="R49" s="39">
        <f t="shared" si="28"/>
        <v>9.0252068138409289E-2</v>
      </c>
      <c r="S49" s="39">
        <f t="shared" si="28"/>
        <v>0.10884648141864989</v>
      </c>
      <c r="T49" s="39">
        <f t="shared" si="28"/>
        <v>9.705686065136146E-2</v>
      </c>
      <c r="U49" s="39">
        <f t="shared" ref="U49:W49" si="29">U17/U12</f>
        <v>9.3958399730602465E-2</v>
      </c>
      <c r="V49" s="39">
        <f t="shared" si="29"/>
        <v>9.9364392478486455E-2</v>
      </c>
      <c r="W49" s="39">
        <f t="shared" si="29"/>
        <v>9.9629895088914497E-2</v>
      </c>
      <c r="AB49" s="39">
        <f t="shared" ref="AB49" si="30">AB17/AB12</f>
        <v>0.10175877368211167</v>
      </c>
      <c r="AC49" s="168"/>
      <c r="AD49" s="168"/>
      <c r="AE49" s="168"/>
      <c r="AF49" s="168"/>
      <c r="AG49" s="39">
        <f t="shared" ref="AG49" si="31">AG17/AG12</f>
        <v>0.10462396357028945</v>
      </c>
    </row>
    <row r="50" spans="1:36" ht="12.95" hidden="1" customHeight="1" outlineLevel="1">
      <c r="B50" s="82" t="s">
        <v>184</v>
      </c>
      <c r="C50" s="39"/>
      <c r="D50" s="39"/>
      <c r="E50" s="39"/>
      <c r="F50" s="39"/>
      <c r="G50" s="39"/>
      <c r="H50" s="39"/>
      <c r="I50" s="39"/>
      <c r="J50" s="39"/>
      <c r="K50" s="39"/>
      <c r="L50" s="39">
        <f>L87/L77</f>
        <v>0.10773855412326469</v>
      </c>
      <c r="M50" s="39">
        <f>M87/M77</f>
        <v>0.11708119606141441</v>
      </c>
      <c r="N50" s="39"/>
      <c r="O50" s="39"/>
      <c r="P50" s="39"/>
      <c r="Q50" s="39"/>
      <c r="R50" s="39"/>
      <c r="S50" s="39"/>
      <c r="T50" s="39"/>
      <c r="U50" s="39"/>
      <c r="V50" s="39"/>
      <c r="W50" s="39"/>
      <c r="AB50" s="168"/>
      <c r="AC50" s="168"/>
      <c r="AD50" s="168"/>
      <c r="AE50" s="168"/>
      <c r="AF50" s="168"/>
      <c r="AG50" s="168"/>
    </row>
    <row r="51" spans="1:36" ht="12.95" customHeight="1" collapsed="1">
      <c r="B51" s="82" t="s">
        <v>139</v>
      </c>
      <c r="C51" s="39">
        <f t="shared" ref="C51:T51" si="32">C15/C12</f>
        <v>0</v>
      </c>
      <c r="D51" s="39">
        <f t="shared" si="32"/>
        <v>0</v>
      </c>
      <c r="E51" s="39">
        <f t="shared" si="32"/>
        <v>0</v>
      </c>
      <c r="F51" s="39">
        <f t="shared" si="32"/>
        <v>0</v>
      </c>
      <c r="G51" s="39">
        <f t="shared" si="32"/>
        <v>0.13483694267515922</v>
      </c>
      <c r="H51" s="39">
        <f t="shared" si="32"/>
        <v>0.14268950129326238</v>
      </c>
      <c r="I51" s="39">
        <f t="shared" si="32"/>
        <v>0.1354325838844114</v>
      </c>
      <c r="J51" s="39">
        <f t="shared" si="32"/>
        <v>0.14535639029657105</v>
      </c>
      <c r="K51" s="39">
        <f t="shared" si="32"/>
        <v>0.14820637725318683</v>
      </c>
      <c r="L51" s="39">
        <f t="shared" si="32"/>
        <v>0.15982247468907268</v>
      </c>
      <c r="M51" s="39">
        <f t="shared" si="32"/>
        <v>0.14997391466528689</v>
      </c>
      <c r="N51" s="39">
        <f t="shared" si="32"/>
        <v>0.12766800052344121</v>
      </c>
      <c r="O51" s="39">
        <f t="shared" si="32"/>
        <v>0.11626088656256107</v>
      </c>
      <c r="P51" s="39">
        <f t="shared" si="32"/>
        <v>0.11611698189405668</v>
      </c>
      <c r="Q51" s="39">
        <f t="shared" si="32"/>
        <v>0.11590208650678381</v>
      </c>
      <c r="R51" s="39">
        <f t="shared" si="32"/>
        <v>0.11902495377718289</v>
      </c>
      <c r="S51" s="39">
        <f t="shared" si="32"/>
        <v>0.11102417271965598</v>
      </c>
      <c r="T51" s="39">
        <f t="shared" si="32"/>
        <v>0.11387813667912443</v>
      </c>
      <c r="U51" s="39">
        <f t="shared" ref="U51:W51" si="33">U15/U12</f>
        <v>0.11118410634787958</v>
      </c>
      <c r="V51" s="39">
        <f t="shared" si="33"/>
        <v>0.11095690493430987</v>
      </c>
      <c r="W51" s="39">
        <f t="shared" si="33"/>
        <v>0.11175659544945692</v>
      </c>
      <c r="AB51" s="261">
        <f>Drivers!H27</f>
        <v>0.105</v>
      </c>
      <c r="AC51" s="261"/>
      <c r="AD51" s="261"/>
      <c r="AE51" s="261"/>
      <c r="AF51" s="261"/>
      <c r="AG51" s="261">
        <f>Drivers!I27</f>
        <v>0.10299999999999999</v>
      </c>
    </row>
    <row r="52" spans="1:36" ht="12.95" customHeight="1">
      <c r="B52" s="82" t="s">
        <v>16</v>
      </c>
      <c r="C52" s="39">
        <f t="shared" ref="C52:W52" si="34">C25/C24</f>
        <v>0.39259826928605357</v>
      </c>
      <c r="D52" s="39">
        <f t="shared" si="34"/>
        <v>0.38136472587153741</v>
      </c>
      <c r="E52" s="39">
        <f t="shared" si="34"/>
        <v>0.35394929093253114</v>
      </c>
      <c r="F52" s="39">
        <f t="shared" si="34"/>
        <v>0.37293085764484574</v>
      </c>
      <c r="G52" s="39">
        <f t="shared" si="34"/>
        <v>0.3713904610836728</v>
      </c>
      <c r="H52" s="39">
        <f t="shared" si="34"/>
        <v>0.38714231275549088</v>
      </c>
      <c r="I52" s="39">
        <f t="shared" si="34"/>
        <v>0.3787495420159917</v>
      </c>
      <c r="J52" s="39">
        <f t="shared" si="34"/>
        <v>0.36962537814743768</v>
      </c>
      <c r="K52" s="39">
        <f t="shared" si="34"/>
        <v>0.34509339827268043</v>
      </c>
      <c r="L52" s="39">
        <f t="shared" si="34"/>
        <v>0.34978979456210807</v>
      </c>
      <c r="M52" s="39">
        <f t="shared" si="34"/>
        <v>0.33828708555684345</v>
      </c>
      <c r="N52" s="39">
        <f t="shared" si="34"/>
        <v>0.36013331062835996</v>
      </c>
      <c r="O52" s="39">
        <f t="shared" si="34"/>
        <v>0.34841278757692634</v>
      </c>
      <c r="P52" s="39">
        <f t="shared" si="34"/>
        <v>0.3480915165930456</v>
      </c>
      <c r="Q52" s="39">
        <f t="shared" si="34"/>
        <v>0.29511296660117875</v>
      </c>
      <c r="R52" s="39">
        <f t="shared" si="34"/>
        <v>0.33814056717128066</v>
      </c>
      <c r="S52" s="39">
        <f t="shared" si="34"/>
        <v>0.35900227534068929</v>
      </c>
      <c r="T52" s="39">
        <f t="shared" si="34"/>
        <v>0.35607053887504936</v>
      </c>
      <c r="U52" s="168">
        <v>0.35</v>
      </c>
      <c r="V52" s="168">
        <v>0.35</v>
      </c>
      <c r="W52" s="167">
        <f t="shared" si="34"/>
        <v>0.35345894948744588</v>
      </c>
      <c r="AB52" s="168">
        <v>0.35</v>
      </c>
      <c r="AG52" s="168">
        <v>0.35</v>
      </c>
    </row>
    <row r="53" spans="1:36" ht="12.95" customHeight="1">
      <c r="B53" s="5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W53" s="32"/>
    </row>
    <row r="54" spans="1:36" ht="12.95" customHeight="1">
      <c r="B54" s="177" t="s">
        <v>130</v>
      </c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W54" s="32"/>
    </row>
    <row r="55" spans="1:36" ht="12.95" customHeight="1">
      <c r="B55" s="82" t="s">
        <v>177</v>
      </c>
      <c r="C55" s="133"/>
      <c r="D55" s="133"/>
      <c r="E55" s="133"/>
      <c r="F55" s="133"/>
      <c r="G55" s="114">
        <v>0</v>
      </c>
      <c r="H55" s="39">
        <f t="shared" ref="H55:M57" si="35">H10/G10-1</f>
        <v>-7.4951612903226827E-3</v>
      </c>
      <c r="I55" s="39">
        <f t="shared" si="35"/>
        <v>4.3522985993405428E-2</v>
      </c>
      <c r="J55" s="39">
        <f t="shared" si="35"/>
        <v>0.11270838686569018</v>
      </c>
      <c r="K55" s="39">
        <f t="shared" si="35"/>
        <v>7.2493138644859734E-2</v>
      </c>
      <c r="L55" s="39">
        <f t="shared" si="35"/>
        <v>0.10878291439712062</v>
      </c>
      <c r="M55" s="39">
        <f t="shared" si="35"/>
        <v>0.12798661122533894</v>
      </c>
      <c r="N55" s="39">
        <v>8.8999999999999996E-2</v>
      </c>
      <c r="O55" s="39">
        <v>1.2E-2</v>
      </c>
      <c r="P55" s="39">
        <v>6.0000000000000001E-3</v>
      </c>
      <c r="Q55" s="39">
        <v>0.01</v>
      </c>
      <c r="R55" s="39">
        <f t="shared" ref="R55:T57" si="36">R10/M10-1</f>
        <v>2.8119401552358037E-2</v>
      </c>
      <c r="S55" s="39">
        <f t="shared" si="36"/>
        <v>1.7721221263843345E-2</v>
      </c>
      <c r="T55" s="39">
        <f t="shared" si="36"/>
        <v>9.1787277575594794E-2</v>
      </c>
      <c r="U55" s="168">
        <v>0.08</v>
      </c>
      <c r="V55" s="168">
        <v>7.4999999999999997E-2</v>
      </c>
      <c r="W55" s="167">
        <f t="shared" ref="W55:AA57" si="37">W10/R10-1</f>
        <v>6.6004477537719541E-2</v>
      </c>
      <c r="X55" s="39">
        <f t="shared" si="37"/>
        <v>-1</v>
      </c>
      <c r="Y55" s="39">
        <f t="shared" si="37"/>
        <v>-1</v>
      </c>
      <c r="Z55" s="39">
        <f t="shared" si="37"/>
        <v>-1</v>
      </c>
      <c r="AA55" s="39">
        <f t="shared" si="37"/>
        <v>-1</v>
      </c>
      <c r="AB55" s="261">
        <f>Drivers!H9</f>
        <v>0.06</v>
      </c>
      <c r="AC55" s="261" t="e">
        <f t="shared" ref="AC55:AF57" si="38">AC10/X10-1</f>
        <v>#DIV/0!</v>
      </c>
      <c r="AD55" s="261" t="e">
        <f t="shared" si="38"/>
        <v>#DIV/0!</v>
      </c>
      <c r="AE55" s="261" t="e">
        <f t="shared" si="38"/>
        <v>#DIV/0!</v>
      </c>
      <c r="AF55" s="261" t="e">
        <f t="shared" si="38"/>
        <v>#DIV/0!</v>
      </c>
      <c r="AG55" s="261">
        <f>Drivers!I9</f>
        <v>0.05</v>
      </c>
    </row>
    <row r="56" spans="1:36" ht="12.95" customHeight="1">
      <c r="B56" s="82" t="s">
        <v>178</v>
      </c>
      <c r="C56" s="133"/>
      <c r="D56" s="133"/>
      <c r="E56" s="133"/>
      <c r="F56" s="133"/>
      <c r="G56" s="114">
        <v>0</v>
      </c>
      <c r="H56" s="39">
        <f t="shared" si="35"/>
        <v>-0.22588484848484847</v>
      </c>
      <c r="I56" s="39">
        <f t="shared" si="35"/>
        <v>2.3604662997439796E-2</v>
      </c>
      <c r="J56" s="39">
        <f t="shared" si="35"/>
        <v>0.1230802178302639</v>
      </c>
      <c r="K56" s="39">
        <f t="shared" si="35"/>
        <v>7.5247214579530652E-2</v>
      </c>
      <c r="L56" s="39">
        <f t="shared" si="35"/>
        <v>0.24596383443645697</v>
      </c>
      <c r="M56" s="39">
        <f t="shared" si="35"/>
        <v>4.2481915829177597E-2</v>
      </c>
      <c r="N56" s="39">
        <v>-0.182</v>
      </c>
      <c r="O56" s="39">
        <v>-0.255</v>
      </c>
      <c r="P56" s="39">
        <v>-0.25800000000000001</v>
      </c>
      <c r="Q56" s="39">
        <v>-0.16400000000000001</v>
      </c>
      <c r="R56" s="39">
        <f t="shared" si="36"/>
        <v>-0.21631005090795596</v>
      </c>
      <c r="S56" s="39">
        <f t="shared" si="36"/>
        <v>-0.13514809655392901</v>
      </c>
      <c r="T56" s="39">
        <f t="shared" si="36"/>
        <v>4.0529801324503234E-2</v>
      </c>
      <c r="U56" s="168">
        <v>0.04</v>
      </c>
      <c r="V56" s="168">
        <v>3.5000000000000003E-2</v>
      </c>
      <c r="W56" s="167">
        <f t="shared" si="37"/>
        <v>-8.64948107220187E-3</v>
      </c>
      <c r="X56" s="39">
        <f t="shared" si="37"/>
        <v>-1</v>
      </c>
      <c r="Y56" s="39">
        <f t="shared" si="37"/>
        <v>-1</v>
      </c>
      <c r="Z56" s="39">
        <f t="shared" si="37"/>
        <v>-1</v>
      </c>
      <c r="AA56" s="39">
        <f t="shared" si="37"/>
        <v>-1</v>
      </c>
      <c r="AB56" s="261">
        <f>Drivers!H15</f>
        <v>0.03</v>
      </c>
      <c r="AC56" s="261" t="e">
        <f t="shared" si="38"/>
        <v>#DIV/0!</v>
      </c>
      <c r="AD56" s="261" t="e">
        <f t="shared" si="38"/>
        <v>#DIV/0!</v>
      </c>
      <c r="AE56" s="261" t="e">
        <f t="shared" si="38"/>
        <v>#DIV/0!</v>
      </c>
      <c r="AF56" s="261" t="e">
        <f t="shared" si="38"/>
        <v>#DIV/0!</v>
      </c>
      <c r="AG56" s="261">
        <f>Drivers!I15</f>
        <v>0.03</v>
      </c>
    </row>
    <row r="57" spans="1:36" s="58" customFormat="1" ht="12.95" customHeight="1">
      <c r="A57" s="56"/>
      <c r="B57" s="82" t="s">
        <v>131</v>
      </c>
      <c r="C57" s="60"/>
      <c r="D57" s="60">
        <f>D12/C12-1</f>
        <v>0.12316100564750454</v>
      </c>
      <c r="E57" s="60">
        <f>E12/D12-1</f>
        <v>0.17418512125715591</v>
      </c>
      <c r="F57" s="60">
        <f>F12/E12-1</f>
        <v>6.0748812834629184E-2</v>
      </c>
      <c r="G57" s="60">
        <f>G12/F12-1</f>
        <v>0.40008561033031342</v>
      </c>
      <c r="H57" s="60">
        <f t="shared" si="35"/>
        <v>-5.3398726114649686E-2</v>
      </c>
      <c r="I57" s="60">
        <f t="shared" si="35"/>
        <v>4.0099208431909394E-2</v>
      </c>
      <c r="J57" s="60">
        <f t="shared" si="35"/>
        <v>0.11446293663044282</v>
      </c>
      <c r="K57" s="60">
        <f t="shared" si="35"/>
        <v>7.2962634020049988E-2</v>
      </c>
      <c r="L57" s="71">
        <f t="shared" si="35"/>
        <v>0.13221834014830258</v>
      </c>
      <c r="M57" s="71">
        <f t="shared" si="35"/>
        <v>0.11191185661887681</v>
      </c>
      <c r="N57" s="71">
        <v>3.7999999999999999E-2</v>
      </c>
      <c r="O57" s="71">
        <v>-3.5999999999999997E-2</v>
      </c>
      <c r="P57" s="71">
        <v>-4.1000000000000002E-2</v>
      </c>
      <c r="Q57" s="71">
        <v>-1.7999999999999999E-2</v>
      </c>
      <c r="R57" s="39">
        <f t="shared" si="36"/>
        <v>-1.4963613751397653E-2</v>
      </c>
      <c r="S57" s="39">
        <f t="shared" si="36"/>
        <v>-5.330835508598919E-3</v>
      </c>
      <c r="T57" s="39">
        <f t="shared" si="36"/>
        <v>8.4783065105806577E-2</v>
      </c>
      <c r="U57" s="39">
        <f>U12/P12-1</f>
        <v>7.4544793699939715E-2</v>
      </c>
      <c r="V57" s="39">
        <f>V12/Q12-1</f>
        <v>6.9534946331786252E-2</v>
      </c>
      <c r="W57" s="39">
        <f t="shared" si="37"/>
        <v>5.553566551694944E-2</v>
      </c>
      <c r="X57" s="39">
        <f t="shared" si="37"/>
        <v>-1</v>
      </c>
      <c r="Y57" s="39">
        <f t="shared" si="37"/>
        <v>-1</v>
      </c>
      <c r="Z57" s="39">
        <f t="shared" si="37"/>
        <v>-1</v>
      </c>
      <c r="AA57" s="39">
        <f t="shared" si="37"/>
        <v>-1</v>
      </c>
      <c r="AB57" s="39">
        <f>AB12/W12-1</f>
        <v>5.6048880720436012E-2</v>
      </c>
      <c r="AC57" s="39" t="e">
        <f t="shared" si="38"/>
        <v>#DIV/0!</v>
      </c>
      <c r="AD57" s="39" t="e">
        <f t="shared" si="38"/>
        <v>#DIV/0!</v>
      </c>
      <c r="AE57" s="39" t="e">
        <f t="shared" si="38"/>
        <v>#DIV/0!</v>
      </c>
      <c r="AF57" s="39" t="e">
        <f t="shared" si="38"/>
        <v>#DIV/0!</v>
      </c>
      <c r="AG57" s="39">
        <f>AG12/AB12-1</f>
        <v>4.7430893631126514E-2</v>
      </c>
      <c r="AH57" s="57"/>
      <c r="AI57" s="54">
        <v>0</v>
      </c>
      <c r="AJ57" s="56"/>
    </row>
    <row r="58" spans="1:36" s="58" customFormat="1" ht="12.95" customHeight="1">
      <c r="A58" s="56"/>
      <c r="B58" s="82" t="s">
        <v>132</v>
      </c>
      <c r="C58" s="60"/>
      <c r="D58" s="60">
        <f t="shared" ref="D58:M58" si="39">D21/C21-1</f>
        <v>8.0495937873898971E-3</v>
      </c>
      <c r="E58" s="60">
        <f t="shared" si="39"/>
        <v>9.5367916999201885E-2</v>
      </c>
      <c r="F58" s="60">
        <f t="shared" si="39"/>
        <v>0.24046117438593617</v>
      </c>
      <c r="G58" s="60">
        <f t="shared" si="39"/>
        <v>0.31894218479813596</v>
      </c>
      <c r="H58" s="60">
        <f t="shared" si="39"/>
        <v>-3.6769840251949071E-2</v>
      </c>
      <c r="I58" s="60">
        <f t="shared" si="39"/>
        <v>1.3466680968003075E-2</v>
      </c>
      <c r="J58" s="60">
        <f t="shared" si="39"/>
        <v>0.13459994452797686</v>
      </c>
      <c r="K58" s="60">
        <f t="shared" si="39"/>
        <v>7.5823270954087141E-2</v>
      </c>
      <c r="L58" s="60">
        <f t="shared" si="39"/>
        <v>1.5705585304379932E-2</v>
      </c>
      <c r="M58" s="60">
        <f t="shared" si="39"/>
        <v>-3.2567997174143493E-2</v>
      </c>
      <c r="N58" s="447"/>
      <c r="O58" s="447"/>
      <c r="P58" s="447"/>
      <c r="Q58" s="447"/>
      <c r="R58" s="60">
        <f>R21/M21-1</f>
        <v>0.19667372571929298</v>
      </c>
      <c r="S58" s="60">
        <f t="shared" ref="S58:AG58" si="40">S21/N21-1</f>
        <v>1.451726714262036E-2</v>
      </c>
      <c r="T58" s="60">
        <f t="shared" si="40"/>
        <v>0.12933774546087817</v>
      </c>
      <c r="U58" s="60">
        <f t="shared" si="40"/>
        <v>0.15247141962441302</v>
      </c>
      <c r="V58" s="60">
        <f t="shared" si="40"/>
        <v>0.1360130099205743</v>
      </c>
      <c r="W58" s="60">
        <f t="shared" si="40"/>
        <v>0.10916072963228585</v>
      </c>
      <c r="X58" s="60">
        <f t="shared" si="40"/>
        <v>-1</v>
      </c>
      <c r="Y58" s="60">
        <f t="shared" si="40"/>
        <v>-1</v>
      </c>
      <c r="Z58" s="60">
        <f t="shared" si="40"/>
        <v>-1</v>
      </c>
      <c r="AA58" s="60">
        <f t="shared" si="40"/>
        <v>-1</v>
      </c>
      <c r="AB58" s="60">
        <f t="shared" si="40"/>
        <v>0.11357349121944171</v>
      </c>
      <c r="AC58" s="60" t="e">
        <f t="shared" si="40"/>
        <v>#DIV/0!</v>
      </c>
      <c r="AD58" s="60" t="e">
        <f t="shared" si="40"/>
        <v>#DIV/0!</v>
      </c>
      <c r="AE58" s="60" t="e">
        <f t="shared" si="40"/>
        <v>#DIV/0!</v>
      </c>
      <c r="AF58" s="60" t="e">
        <f t="shared" si="40"/>
        <v>#DIV/0!</v>
      </c>
      <c r="AG58" s="60">
        <f t="shared" si="40"/>
        <v>7.5348732301604882E-2</v>
      </c>
      <c r="AH58" s="57"/>
      <c r="AI58" s="54"/>
      <c r="AJ58" s="56"/>
    </row>
    <row r="59" spans="1:36" s="58" customFormat="1" ht="12.95" customHeight="1">
      <c r="A59" s="56"/>
      <c r="B59" s="82" t="s">
        <v>133</v>
      </c>
      <c r="C59" s="60"/>
      <c r="D59" s="60">
        <f t="shared" ref="D59:M59" si="41">D28/C28-1</f>
        <v>0.27402161868814012</v>
      </c>
      <c r="E59" s="60">
        <f t="shared" si="41"/>
        <v>0.10905737003021443</v>
      </c>
      <c r="F59" s="60">
        <f t="shared" si="41"/>
        <v>0.20089032567462795</v>
      </c>
      <c r="G59" s="60">
        <f t="shared" si="41"/>
        <v>0.19768810187002739</v>
      </c>
      <c r="H59" s="60">
        <f t="shared" si="41"/>
        <v>-4.3371740995520658E-2</v>
      </c>
      <c r="I59" s="60">
        <f t="shared" si="41"/>
        <v>7.9478526278475847E-3</v>
      </c>
      <c r="J59" s="60">
        <f t="shared" si="41"/>
        <v>0.2874145609080061</v>
      </c>
      <c r="K59" s="60">
        <f t="shared" si="41"/>
        <v>0.27678672648397828</v>
      </c>
      <c r="L59" s="60">
        <f t="shared" si="41"/>
        <v>1.3076489240833045E-3</v>
      </c>
      <c r="M59" s="60">
        <f t="shared" si="41"/>
        <v>-1.8413892302015733E-2</v>
      </c>
      <c r="N59" s="447"/>
      <c r="O59" s="447"/>
      <c r="P59" s="447"/>
      <c r="Q59" s="447"/>
      <c r="R59" s="60">
        <f>R28/M28-1</f>
        <v>0.22819126641631704</v>
      </c>
      <c r="S59" s="60">
        <f t="shared" ref="S59:AG59" si="42">S28/N28-1</f>
        <v>4.3238768258144988E-2</v>
      </c>
      <c r="T59" s="60">
        <f t="shared" si="42"/>
        <v>0.2114724661566687</v>
      </c>
      <c r="U59" s="60">
        <f t="shared" si="42"/>
        <v>0.26079325393890174</v>
      </c>
      <c r="V59" s="60">
        <f t="shared" si="42"/>
        <v>0.14454403062356702</v>
      </c>
      <c r="W59" s="60">
        <f t="shared" si="42"/>
        <v>0.16914735612073484</v>
      </c>
      <c r="X59" s="60">
        <f t="shared" si="42"/>
        <v>-1</v>
      </c>
      <c r="Y59" s="60">
        <f t="shared" si="42"/>
        <v>-1</v>
      </c>
      <c r="Z59" s="60">
        <f t="shared" si="42"/>
        <v>-1</v>
      </c>
      <c r="AA59" s="60">
        <f t="shared" si="42"/>
        <v>-1</v>
      </c>
      <c r="AB59" s="60">
        <f t="shared" si="42"/>
        <v>0.17392217563768742</v>
      </c>
      <c r="AC59" s="60" t="e">
        <f t="shared" si="42"/>
        <v>#DIV/0!</v>
      </c>
      <c r="AD59" s="60" t="e">
        <f t="shared" si="42"/>
        <v>#DIV/0!</v>
      </c>
      <c r="AE59" s="60" t="e">
        <f t="shared" si="42"/>
        <v>#DIV/0!</v>
      </c>
      <c r="AF59" s="60" t="e">
        <f t="shared" si="42"/>
        <v>#DIV/0!</v>
      </c>
      <c r="AG59" s="60">
        <f t="shared" si="42"/>
        <v>0.11666410163524921</v>
      </c>
      <c r="AH59" s="57"/>
      <c r="AI59" s="54"/>
      <c r="AJ59" s="56"/>
    </row>
    <row r="60" spans="1:36" s="58" customFormat="1" ht="12.95" customHeight="1">
      <c r="A60" s="56"/>
      <c r="B60" s="82" t="s">
        <v>258</v>
      </c>
      <c r="C60" s="60"/>
      <c r="D60" s="60">
        <f>D70/C70-1</f>
        <v>0.37676481098679337</v>
      </c>
      <c r="E60" s="60">
        <f t="shared" ref="E60:AF60" si="43">E70/D70-1</f>
        <v>-0.35463840649333944</v>
      </c>
      <c r="F60" s="60">
        <f t="shared" si="43"/>
        <v>1.337755260760396</v>
      </c>
      <c r="G60" s="60">
        <f t="shared" si="43"/>
        <v>-0.23294298804250757</v>
      </c>
      <c r="H60" s="60">
        <f t="shared" si="43"/>
        <v>0.54227437762549791</v>
      </c>
      <c r="I60" s="60">
        <f t="shared" si="43"/>
        <v>-7.1749959826448162E-3</v>
      </c>
      <c r="J60" s="60">
        <f t="shared" si="43"/>
        <v>0.3981240946207325</v>
      </c>
      <c r="K60" s="60">
        <f t="shared" si="43"/>
        <v>1.2033896342945605E-2</v>
      </c>
      <c r="L60" s="60">
        <f t="shared" si="43"/>
        <v>-0.60500683478131534</v>
      </c>
      <c r="M60" s="60">
        <f t="shared" si="43"/>
        <v>1.4150243987199707</v>
      </c>
      <c r="N60" s="448"/>
      <c r="O60" s="448"/>
      <c r="P60" s="448"/>
      <c r="Q60" s="448"/>
      <c r="R60" s="60">
        <f>R70/M70-1</f>
        <v>0.11782844877206422</v>
      </c>
      <c r="S60" s="60">
        <f t="shared" ref="S60:V60" si="44">S70/N70-1</f>
        <v>-3.4612503701639596E-2</v>
      </c>
      <c r="T60" s="60">
        <f t="shared" si="44"/>
        <v>2.922891928453335</v>
      </c>
      <c r="U60" s="60">
        <f t="shared" si="44"/>
        <v>0.38465704545858004</v>
      </c>
      <c r="V60" s="60">
        <f t="shared" si="44"/>
        <v>0.97321498616437974</v>
      </c>
      <c r="W60" s="60">
        <f>W70/R70-1</f>
        <v>2.5033032760140239E-2</v>
      </c>
      <c r="X60" s="60">
        <f t="shared" si="43"/>
        <v>-1</v>
      </c>
      <c r="Y60" s="60" t="e">
        <f t="shared" si="43"/>
        <v>#DIV/0!</v>
      </c>
      <c r="Z60" s="60" t="e">
        <f t="shared" si="43"/>
        <v>#DIV/0!</v>
      </c>
      <c r="AA60" s="60" t="e">
        <f t="shared" si="43"/>
        <v>#DIV/0!</v>
      </c>
      <c r="AB60" s="60">
        <f>AB70/W70-1</f>
        <v>0.22974134530390966</v>
      </c>
      <c r="AC60" s="60">
        <f t="shared" si="43"/>
        <v>-1</v>
      </c>
      <c r="AD60" s="60" t="e">
        <f t="shared" si="43"/>
        <v>#DIV/0!</v>
      </c>
      <c r="AE60" s="60" t="e">
        <f t="shared" si="43"/>
        <v>#DIV/0!</v>
      </c>
      <c r="AF60" s="60" t="e">
        <f t="shared" si="43"/>
        <v>#DIV/0!</v>
      </c>
      <c r="AG60" s="60">
        <f>AG70/AB70-1</f>
        <v>0.22294701546395923</v>
      </c>
      <c r="AH60" s="57"/>
      <c r="AI60" s="54"/>
      <c r="AJ60" s="56"/>
    </row>
    <row r="61" spans="1:36" s="58" customFormat="1" ht="12.95" customHeight="1">
      <c r="A61" s="56"/>
      <c r="B61" s="82" t="s">
        <v>136</v>
      </c>
      <c r="C61" s="60"/>
      <c r="D61" s="60">
        <f>D71/C71-1</f>
        <v>0.35956450051629907</v>
      </c>
      <c r="E61" s="60">
        <f t="shared" ref="E61:AF61" si="45">E71/D71-1</f>
        <v>-0.35284012179932378</v>
      </c>
      <c r="F61" s="60">
        <f t="shared" si="45"/>
        <v>1.321719368732142</v>
      </c>
      <c r="G61" s="60">
        <f t="shared" si="45"/>
        <v>-0.20186929047878988</v>
      </c>
      <c r="H61" s="60">
        <f t="shared" si="45"/>
        <v>0.63599847383345987</v>
      </c>
      <c r="I61" s="60">
        <f t="shared" si="45"/>
        <v>-1.1810573020601955E-2</v>
      </c>
      <c r="J61" s="60">
        <f t="shared" si="45"/>
        <v>0.55138816293581749</v>
      </c>
      <c r="K61" s="60">
        <f t="shared" si="45"/>
        <v>0.18014407402025578</v>
      </c>
      <c r="L61" s="60">
        <f t="shared" si="45"/>
        <v>-0.60000630488514961</v>
      </c>
      <c r="M61" s="60">
        <f t="shared" si="45"/>
        <v>1.3883584659778756</v>
      </c>
      <c r="N61" s="448"/>
      <c r="O61" s="448"/>
      <c r="P61" s="448"/>
      <c r="Q61" s="448"/>
      <c r="R61" s="60">
        <f>R71/M71-1</f>
        <v>0.11616988649311732</v>
      </c>
      <c r="S61" s="60">
        <f t="shared" ref="S61:V61" si="46">S71/N71-1</f>
        <v>1.1108285025654752E-2</v>
      </c>
      <c r="T61" s="60">
        <f t="shared" si="46"/>
        <v>3.2092087762826793</v>
      </c>
      <c r="U61" s="60">
        <f t="shared" si="46"/>
        <v>0.47394432849567725</v>
      </c>
      <c r="V61" s="60">
        <f t="shared" si="46"/>
        <v>1.0949445000678555</v>
      </c>
      <c r="W61" s="60">
        <f>W71/R71-1</f>
        <v>9.0213578250765369E-2</v>
      </c>
      <c r="X61" s="60" t="e">
        <f t="shared" si="45"/>
        <v>#DIV/0!</v>
      </c>
      <c r="Y61" s="60" t="e">
        <f t="shared" si="45"/>
        <v>#DIV/0!</v>
      </c>
      <c r="Z61" s="60" t="e">
        <f t="shared" si="45"/>
        <v>#DIV/0!</v>
      </c>
      <c r="AA61" s="60" t="e">
        <f t="shared" si="45"/>
        <v>#DIV/0!</v>
      </c>
      <c r="AB61" s="60">
        <f>AB71/W71-1</f>
        <v>0.27670519444965258</v>
      </c>
      <c r="AC61" s="60" t="e">
        <f t="shared" si="45"/>
        <v>#DIV/0!</v>
      </c>
      <c r="AD61" s="60" t="e">
        <f t="shared" si="45"/>
        <v>#DIV/0!</v>
      </c>
      <c r="AE61" s="60" t="e">
        <f t="shared" si="45"/>
        <v>#DIV/0!</v>
      </c>
      <c r="AF61" s="60" t="e">
        <f t="shared" si="45"/>
        <v>#DIV/0!</v>
      </c>
      <c r="AG61" s="60">
        <f>AG71/AB71-1</f>
        <v>0.26731248287357889</v>
      </c>
      <c r="AH61" s="57"/>
      <c r="AI61" s="54"/>
      <c r="AJ61" s="56"/>
    </row>
    <row r="62" spans="1:36" s="58" customFormat="1" ht="12.95" customHeight="1">
      <c r="A62" s="56"/>
      <c r="B62" s="59"/>
      <c r="C62" s="60"/>
      <c r="D62" s="60"/>
      <c r="E62" s="60"/>
      <c r="F62" s="60"/>
      <c r="G62" s="60"/>
      <c r="H62" s="60"/>
      <c r="I62" s="60"/>
      <c r="J62" s="60"/>
      <c r="K62" s="60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57"/>
      <c r="AI62" s="54"/>
      <c r="AJ62" s="56"/>
    </row>
    <row r="63" spans="1:36" s="78" customFormat="1" ht="12.95" hidden="1" customHeight="1" outlineLevel="1">
      <c r="A63" s="74"/>
      <c r="B63" s="131" t="s">
        <v>4</v>
      </c>
      <c r="C63" s="75">
        <f t="shared" ref="C63:AG63" si="47">C21</f>
        <v>155.37429999999995</v>
      </c>
      <c r="D63" s="75">
        <f t="shared" si="47"/>
        <v>156.625</v>
      </c>
      <c r="E63" s="75">
        <f t="shared" si="47"/>
        <v>171.56200000000001</v>
      </c>
      <c r="F63" s="75">
        <f t="shared" si="47"/>
        <v>212.816</v>
      </c>
      <c r="G63" s="75">
        <f t="shared" si="47"/>
        <v>280.69200000000012</v>
      </c>
      <c r="H63" s="75">
        <f t="shared" si="47"/>
        <v>270.37100000000004</v>
      </c>
      <c r="I63" s="75">
        <f t="shared" si="47"/>
        <v>274.012</v>
      </c>
      <c r="J63" s="75">
        <f t="shared" si="47"/>
        <v>310.89400000000001</v>
      </c>
      <c r="K63" s="75">
        <f t="shared" si="47"/>
        <v>334.46699999999998</v>
      </c>
      <c r="L63" s="75">
        <f t="shared" si="47"/>
        <v>339.72</v>
      </c>
      <c r="M63" s="75">
        <f t="shared" si="47"/>
        <v>328.65600000000001</v>
      </c>
      <c r="N63" s="75">
        <f t="shared" si="47"/>
        <v>96.367999999999995</v>
      </c>
      <c r="O63" s="75">
        <f t="shared" si="47"/>
        <v>91.867999999999995</v>
      </c>
      <c r="P63" s="75">
        <f t="shared" si="47"/>
        <v>106.979</v>
      </c>
      <c r="Q63" s="75">
        <f t="shared" si="47"/>
        <v>98.078999999999994</v>
      </c>
      <c r="R63" s="75">
        <f t="shared" si="47"/>
        <v>393.29399999999998</v>
      </c>
      <c r="S63" s="75">
        <f t="shared" si="47"/>
        <v>97.767000000000039</v>
      </c>
      <c r="T63" s="75">
        <f t="shared" si="47"/>
        <v>103.74999999999994</v>
      </c>
      <c r="U63" s="75">
        <f t="shared" si="47"/>
        <v>123.29024000000007</v>
      </c>
      <c r="V63" s="75">
        <f t="shared" si="47"/>
        <v>111.41902</v>
      </c>
      <c r="W63" s="75">
        <f t="shared" si="47"/>
        <v>436.22626000000025</v>
      </c>
      <c r="X63" s="75">
        <f t="shared" si="47"/>
        <v>0</v>
      </c>
      <c r="Y63" s="75">
        <f t="shared" si="47"/>
        <v>0</v>
      </c>
      <c r="Z63" s="75">
        <f t="shared" si="47"/>
        <v>0</v>
      </c>
      <c r="AA63" s="75">
        <f t="shared" si="47"/>
        <v>0</v>
      </c>
      <c r="AB63" s="75">
        <f t="shared" si="47"/>
        <v>485.76999930980014</v>
      </c>
      <c r="AC63" s="75">
        <f t="shared" si="47"/>
        <v>0</v>
      </c>
      <c r="AD63" s="75">
        <f t="shared" si="47"/>
        <v>0</v>
      </c>
      <c r="AE63" s="75">
        <f t="shared" si="47"/>
        <v>0</v>
      </c>
      <c r="AF63" s="75">
        <f t="shared" si="47"/>
        <v>0</v>
      </c>
      <c r="AG63" s="75">
        <f t="shared" si="47"/>
        <v>522.3721529479451</v>
      </c>
      <c r="AH63" s="76"/>
      <c r="AI63" s="77"/>
      <c r="AJ63" s="74"/>
    </row>
    <row r="64" spans="1:36" s="58" customFormat="1" ht="12.95" hidden="1" customHeight="1" outlineLevel="1">
      <c r="A64" s="56"/>
      <c r="B64" s="132" t="s">
        <v>75</v>
      </c>
      <c r="C64" s="24">
        <f t="shared" ref="C64:M64" si="48">C197</f>
        <v>-64.551400000000001</v>
      </c>
      <c r="D64" s="24">
        <f t="shared" si="48"/>
        <v>-66.257999999999996</v>
      </c>
      <c r="E64" s="24">
        <f t="shared" si="48"/>
        <v>-97.036000000000001</v>
      </c>
      <c r="F64" s="24">
        <f t="shared" si="48"/>
        <v>-76.846999999999994</v>
      </c>
      <c r="G64" s="24">
        <f t="shared" si="48"/>
        <v>-113.364</v>
      </c>
      <c r="H64" s="24">
        <f t="shared" si="48"/>
        <v>-78.912000000000006</v>
      </c>
      <c r="I64" s="24">
        <f t="shared" si="48"/>
        <v>-75.84</v>
      </c>
      <c r="J64" s="24">
        <f t="shared" si="48"/>
        <v>-70.17</v>
      </c>
      <c r="K64" s="24">
        <f t="shared" si="48"/>
        <v>-54.832000000000001</v>
      </c>
      <c r="L64" s="24">
        <f t="shared" si="48"/>
        <v>-130.26499999999999</v>
      </c>
      <c r="M64" s="24">
        <f t="shared" si="48"/>
        <v>-95.81</v>
      </c>
      <c r="N64" s="24">
        <f t="shared" ref="N64:W64" si="49">N197</f>
        <v>-23.388000000000002</v>
      </c>
      <c r="O64" s="24">
        <f t="shared" si="49"/>
        <v>-16.07</v>
      </c>
      <c r="P64" s="24">
        <f t="shared" si="49"/>
        <v>-9.6199999999999992</v>
      </c>
      <c r="Q64" s="24">
        <f t="shared" si="49"/>
        <v>-30.074000000000002</v>
      </c>
      <c r="R64" s="24">
        <f>R197</f>
        <v>-79.153000000000006</v>
      </c>
      <c r="S64" s="24">
        <f t="shared" si="49"/>
        <v>-20.167000000000002</v>
      </c>
      <c r="T64" s="24">
        <f t="shared" si="49"/>
        <v>-57.596000000000004</v>
      </c>
      <c r="U64" s="24">
        <f t="shared" si="49"/>
        <v>-10</v>
      </c>
      <c r="V64" s="24">
        <f t="shared" si="49"/>
        <v>-15</v>
      </c>
      <c r="W64" s="24">
        <f t="shared" si="49"/>
        <v>-102.76300000000001</v>
      </c>
      <c r="X64" s="71"/>
      <c r="Y64" s="71"/>
      <c r="Z64" s="71"/>
      <c r="AA64" s="71"/>
      <c r="AB64" s="24">
        <f t="shared" ref="AB64" si="50">AB197</f>
        <v>-100</v>
      </c>
      <c r="AC64" s="71"/>
      <c r="AD64" s="71"/>
      <c r="AE64" s="71"/>
      <c r="AF64" s="71"/>
      <c r="AG64" s="24">
        <f t="shared" ref="AG64" si="51">AG197</f>
        <v>-75</v>
      </c>
      <c r="AH64" s="57"/>
      <c r="AI64" s="54"/>
      <c r="AJ64" s="56"/>
    </row>
    <row r="65" spans="1:39" s="80" customFormat="1" ht="12.95" hidden="1" customHeight="1" outlineLevel="1">
      <c r="A65" s="56"/>
      <c r="B65" s="132" t="s">
        <v>74</v>
      </c>
      <c r="C65" s="30">
        <f>-C218</f>
        <v>-3.0999999999999999E-3</v>
      </c>
      <c r="D65" s="30">
        <f t="shared" ref="D65:AG65" si="52">-D218</f>
        <v>-6.2E-2</v>
      </c>
      <c r="E65" s="30">
        <f t="shared" si="52"/>
        <v>0</v>
      </c>
      <c r="F65" s="30">
        <f t="shared" si="52"/>
        <v>-1.6E-2</v>
      </c>
      <c r="G65" s="30">
        <f t="shared" si="52"/>
        <v>-0.11700000000000001</v>
      </c>
      <c r="H65" s="30">
        <f t="shared" si="52"/>
        <v>-0.35299999999999998</v>
      </c>
      <c r="I65" s="30">
        <f t="shared" si="52"/>
        <v>-0.216</v>
      </c>
      <c r="J65" s="30">
        <f t="shared" si="52"/>
        <v>-3.8940000000000001</v>
      </c>
      <c r="K65" s="30">
        <f t="shared" si="52"/>
        <v>-11.333</v>
      </c>
      <c r="L65" s="30">
        <f t="shared" si="52"/>
        <v>-10.266999999999999</v>
      </c>
      <c r="M65" s="30">
        <f t="shared" si="52"/>
        <v>-8.7680000000000007</v>
      </c>
      <c r="N65" s="30">
        <f t="shared" si="52"/>
        <v>-4.5302499999999997</v>
      </c>
      <c r="O65" s="30">
        <f t="shared" si="52"/>
        <v>-4.5302499999999997</v>
      </c>
      <c r="P65" s="30">
        <f t="shared" si="52"/>
        <v>-4.5302499999999997</v>
      </c>
      <c r="Q65" s="30">
        <f t="shared" si="52"/>
        <v>-4.5302499999999997</v>
      </c>
      <c r="R65" s="30">
        <f t="shared" si="52"/>
        <v>-18.120999999999999</v>
      </c>
      <c r="S65" s="30">
        <f t="shared" si="52"/>
        <v>-5.7229999999999999</v>
      </c>
      <c r="T65" s="30">
        <f t="shared" si="52"/>
        <v>-5.5710000000000006</v>
      </c>
      <c r="U65" s="30">
        <f t="shared" si="52"/>
        <v>-5.6</v>
      </c>
      <c r="V65" s="30">
        <f t="shared" si="52"/>
        <v>-5.6</v>
      </c>
      <c r="W65" s="30">
        <f t="shared" si="52"/>
        <v>-22.494</v>
      </c>
      <c r="X65" s="30">
        <f t="shared" si="52"/>
        <v>0</v>
      </c>
      <c r="Y65" s="30">
        <f t="shared" si="52"/>
        <v>0</v>
      </c>
      <c r="Z65" s="30">
        <f t="shared" si="52"/>
        <v>0</v>
      </c>
      <c r="AA65" s="30">
        <f t="shared" si="52"/>
        <v>0</v>
      </c>
      <c r="AB65" s="30">
        <f t="shared" si="52"/>
        <v>-20</v>
      </c>
      <c r="AC65" s="30">
        <f t="shared" si="52"/>
        <v>0</v>
      </c>
      <c r="AD65" s="30">
        <f t="shared" si="52"/>
        <v>0</v>
      </c>
      <c r="AE65" s="30">
        <f t="shared" si="52"/>
        <v>0</v>
      </c>
      <c r="AF65" s="30">
        <f t="shared" si="52"/>
        <v>0</v>
      </c>
      <c r="AG65" s="30">
        <f t="shared" si="52"/>
        <v>-20</v>
      </c>
      <c r="AH65" s="61"/>
      <c r="AI65" s="54"/>
      <c r="AJ65" s="79"/>
    </row>
    <row r="66" spans="1:39" s="80" customFormat="1" ht="12.95" hidden="1" customHeight="1" outlineLevel="1">
      <c r="A66" s="56"/>
      <c r="B66" s="132" t="s">
        <v>76</v>
      </c>
      <c r="C66" s="30">
        <f>-C219</f>
        <v>-41.752499999999998</v>
      </c>
      <c r="D66" s="30">
        <f t="shared" ref="D66:AG66" si="53">-D219</f>
        <v>-64.67</v>
      </c>
      <c r="E66" s="30">
        <f t="shared" si="53"/>
        <v>-71.542000000000002</v>
      </c>
      <c r="F66" s="30">
        <f t="shared" si="53"/>
        <v>-84.247</v>
      </c>
      <c r="G66" s="30">
        <f t="shared" si="53"/>
        <v>-85.01</v>
      </c>
      <c r="H66" s="30">
        <f t="shared" si="53"/>
        <v>-71.908000000000001</v>
      </c>
      <c r="I66" s="30">
        <f t="shared" si="53"/>
        <v>-93.989000000000004</v>
      </c>
      <c r="J66" s="30">
        <f t="shared" si="53"/>
        <v>-85.144999999999996</v>
      </c>
      <c r="K66" s="30">
        <f t="shared" si="53"/>
        <v>-106.581</v>
      </c>
      <c r="L66" s="30">
        <f t="shared" si="53"/>
        <v>-95.182000000000002</v>
      </c>
      <c r="M66" s="30">
        <f t="shared" si="53"/>
        <v>-82.813000000000002</v>
      </c>
      <c r="N66" s="30">
        <f t="shared" si="53"/>
        <v>-27.481249999999999</v>
      </c>
      <c r="O66" s="30">
        <f t="shared" si="53"/>
        <v>-27.481249999999999</v>
      </c>
      <c r="P66" s="30">
        <f t="shared" si="53"/>
        <v>-27.481249999999999</v>
      </c>
      <c r="Q66" s="30">
        <f t="shared" si="53"/>
        <v>-27.481249999999999</v>
      </c>
      <c r="R66" s="30">
        <f t="shared" si="53"/>
        <v>-109.925</v>
      </c>
      <c r="S66" s="30">
        <f t="shared" si="53"/>
        <v>-1.292</v>
      </c>
      <c r="T66" s="30">
        <f t="shared" si="53"/>
        <v>-54.120999999999995</v>
      </c>
      <c r="U66" s="30">
        <f t="shared" si="53"/>
        <v>-36.711584000000016</v>
      </c>
      <c r="V66" s="30">
        <f t="shared" si="53"/>
        <v>-33.326656999999997</v>
      </c>
      <c r="W66" s="30">
        <f t="shared" si="53"/>
        <v>-125.45124100000001</v>
      </c>
      <c r="X66" s="30">
        <f t="shared" si="53"/>
        <v>0</v>
      </c>
      <c r="Y66" s="30">
        <f t="shared" si="53"/>
        <v>0</v>
      </c>
      <c r="Z66" s="30">
        <f t="shared" si="53"/>
        <v>0</v>
      </c>
      <c r="AA66" s="30">
        <f t="shared" si="53"/>
        <v>0</v>
      </c>
      <c r="AB66" s="30">
        <f t="shared" si="53"/>
        <v>-147.09799975843003</v>
      </c>
      <c r="AC66" s="30">
        <f t="shared" si="53"/>
        <v>0</v>
      </c>
      <c r="AD66" s="30">
        <f t="shared" si="53"/>
        <v>0</v>
      </c>
      <c r="AE66" s="30">
        <f t="shared" si="53"/>
        <v>0</v>
      </c>
      <c r="AF66" s="30">
        <f t="shared" si="53"/>
        <v>0</v>
      </c>
      <c r="AG66" s="30">
        <f t="shared" si="53"/>
        <v>-158.50875353178077</v>
      </c>
      <c r="AH66" s="61"/>
      <c r="AI66" s="54"/>
      <c r="AJ66" s="79"/>
    </row>
    <row r="67" spans="1:39" s="80" customFormat="1" ht="12.95" hidden="1" customHeight="1" outlineLevel="1">
      <c r="A67" s="56"/>
      <c r="B67" s="132" t="s">
        <v>280</v>
      </c>
      <c r="C67" s="30">
        <f t="shared" ref="C67:AG67" si="54">C190</f>
        <v>5.8482000000000003</v>
      </c>
      <c r="D67" s="30">
        <f t="shared" si="54"/>
        <v>9.4809999999999981</v>
      </c>
      <c r="E67" s="30">
        <f t="shared" si="54"/>
        <v>-12.048</v>
      </c>
      <c r="F67" s="30">
        <f t="shared" si="54"/>
        <v>11.138</v>
      </c>
      <c r="G67" s="30">
        <f t="shared" si="54"/>
        <v>-17.686</v>
      </c>
      <c r="H67" s="30">
        <f t="shared" si="54"/>
        <v>21.57</v>
      </c>
      <c r="I67" s="30">
        <f t="shared" si="54"/>
        <v>-3.9230000000000009</v>
      </c>
      <c r="J67" s="30">
        <f t="shared" si="54"/>
        <v>15.777999999999999</v>
      </c>
      <c r="K67" s="30">
        <f t="shared" si="54"/>
        <v>-8.8940000000000019</v>
      </c>
      <c r="L67" s="30">
        <f t="shared" si="54"/>
        <v>-45.963999999999999</v>
      </c>
      <c r="M67" s="30">
        <f t="shared" si="54"/>
        <v>-7.5210000000000043</v>
      </c>
      <c r="N67" s="30">
        <f t="shared" si="54"/>
        <v>14.222</v>
      </c>
      <c r="O67" s="30">
        <f t="shared" si="54"/>
        <v>-60.834000000000003</v>
      </c>
      <c r="P67" s="30">
        <f t="shared" si="54"/>
        <v>35.567</v>
      </c>
      <c r="Q67" s="30">
        <f t="shared" si="54"/>
        <v>-10.606999999999999</v>
      </c>
      <c r="R67" s="30">
        <f t="shared" si="54"/>
        <v>-21.714100000000002</v>
      </c>
      <c r="S67" s="30">
        <f t="shared" si="54"/>
        <v>7.0700000000000021</v>
      </c>
      <c r="T67" s="30">
        <f t="shared" si="54"/>
        <v>-70.681000000000012</v>
      </c>
      <c r="U67" s="30">
        <f t="shared" si="54"/>
        <v>56.577485705386138</v>
      </c>
      <c r="V67" s="30">
        <f t="shared" si="54"/>
        <v>-9.1395487130199822</v>
      </c>
      <c r="W67" s="30">
        <f t="shared" si="54"/>
        <v>-16.173063007633857</v>
      </c>
      <c r="X67" s="30">
        <f t="shared" si="54"/>
        <v>0</v>
      </c>
      <c r="Y67" s="30">
        <f t="shared" si="54"/>
        <v>0</v>
      </c>
      <c r="Z67" s="30">
        <f t="shared" si="54"/>
        <v>0</v>
      </c>
      <c r="AA67" s="30">
        <f t="shared" si="54"/>
        <v>0</v>
      </c>
      <c r="AB67" s="30">
        <f t="shared" si="54"/>
        <v>-9.7467933577638703</v>
      </c>
      <c r="AC67" s="30">
        <f t="shared" si="54"/>
        <v>0</v>
      </c>
      <c r="AD67" s="30">
        <f t="shared" si="54"/>
        <v>0</v>
      </c>
      <c r="AE67" s="30">
        <f t="shared" si="54"/>
        <v>0</v>
      </c>
      <c r="AF67" s="30">
        <f t="shared" si="54"/>
        <v>0</v>
      </c>
      <c r="AG67" s="30">
        <f t="shared" si="54"/>
        <v>-7.5440379891702971</v>
      </c>
      <c r="AH67" s="61"/>
      <c r="AI67" s="54"/>
      <c r="AJ67" s="79"/>
    </row>
    <row r="68" spans="1:39" s="70" customFormat="1" ht="12.95" hidden="1" customHeight="1" outlineLevel="1">
      <c r="A68" s="68"/>
      <c r="B68" s="62" t="s">
        <v>129</v>
      </c>
      <c r="C68" s="157">
        <f>C63+C64+C65+C66+C67</f>
        <v>54.915499999999945</v>
      </c>
      <c r="D68" s="157">
        <f t="shared" ref="D68:AG68" si="55">D63+D64+D65+D66+D67</f>
        <v>35.116</v>
      </c>
      <c r="E68" s="157">
        <f t="shared" si="55"/>
        <v>-9.0639999999999912</v>
      </c>
      <c r="F68" s="157">
        <f t="shared" si="55"/>
        <v>62.844000000000001</v>
      </c>
      <c r="G68" s="157">
        <f t="shared" si="55"/>
        <v>64.515000000000128</v>
      </c>
      <c r="H68" s="157">
        <f t="shared" si="55"/>
        <v>140.76800000000003</v>
      </c>
      <c r="I68" s="157">
        <f t="shared" si="55"/>
        <v>100.04399999999998</v>
      </c>
      <c r="J68" s="157">
        <f t="shared" si="55"/>
        <v>167.46299999999999</v>
      </c>
      <c r="K68" s="157">
        <f t="shared" si="55"/>
        <v>152.82699999999994</v>
      </c>
      <c r="L68" s="157">
        <f t="shared" si="55"/>
        <v>58.042000000000044</v>
      </c>
      <c r="M68" s="157">
        <f t="shared" si="55"/>
        <v>133.74399999999997</v>
      </c>
      <c r="N68" s="157">
        <f t="shared" si="55"/>
        <v>55.190499999999993</v>
      </c>
      <c r="O68" s="157">
        <f t="shared" si="55"/>
        <v>-17.047499999999999</v>
      </c>
      <c r="P68" s="157">
        <f t="shared" si="55"/>
        <v>100.9145</v>
      </c>
      <c r="Q68" s="157">
        <f t="shared" si="55"/>
        <v>25.386499999999998</v>
      </c>
      <c r="R68" s="157">
        <f t="shared" si="55"/>
        <v>164.38089999999997</v>
      </c>
      <c r="S68" s="157">
        <f t="shared" si="55"/>
        <v>77.655000000000044</v>
      </c>
      <c r="T68" s="157">
        <f t="shared" si="55"/>
        <v>-84.219000000000065</v>
      </c>
      <c r="U68" s="157">
        <f t="shared" si="55"/>
        <v>127.5561417053862</v>
      </c>
      <c r="V68" s="157">
        <f t="shared" si="55"/>
        <v>48.352814286980028</v>
      </c>
      <c r="W68" s="157">
        <f t="shared" si="55"/>
        <v>169.34495599236632</v>
      </c>
      <c r="X68" s="157">
        <f t="shared" si="55"/>
        <v>0</v>
      </c>
      <c r="Y68" s="157">
        <f t="shared" si="55"/>
        <v>0</v>
      </c>
      <c r="Z68" s="157">
        <f t="shared" si="55"/>
        <v>0</v>
      </c>
      <c r="AA68" s="157">
        <f t="shared" si="55"/>
        <v>0</v>
      </c>
      <c r="AB68" s="157">
        <f t="shared" si="55"/>
        <v>208.92520619360624</v>
      </c>
      <c r="AC68" s="157">
        <f t="shared" si="55"/>
        <v>0</v>
      </c>
      <c r="AD68" s="157">
        <f t="shared" si="55"/>
        <v>0</v>
      </c>
      <c r="AE68" s="157">
        <f t="shared" si="55"/>
        <v>0</v>
      </c>
      <c r="AF68" s="157">
        <f t="shared" si="55"/>
        <v>0</v>
      </c>
      <c r="AG68" s="157">
        <f t="shared" si="55"/>
        <v>261.31936142699402</v>
      </c>
      <c r="AH68" s="158"/>
      <c r="AI68" s="54"/>
      <c r="AJ68" s="72"/>
      <c r="AK68" s="73"/>
      <c r="AL68" s="73"/>
      <c r="AM68" s="73"/>
    </row>
    <row r="69" spans="1:39" s="58" customFormat="1" ht="12.95" hidden="1" customHeight="1" outlineLevel="1">
      <c r="A69" s="56"/>
      <c r="B69" s="131" t="s">
        <v>134</v>
      </c>
      <c r="C69" s="84">
        <f t="shared" ref="C69:AG69" si="56">C68/C27</f>
        <v>0.29888987492893815</v>
      </c>
      <c r="D69" s="84">
        <f t="shared" si="56"/>
        <v>0.18873887431740979</v>
      </c>
      <c r="E69" s="84">
        <f t="shared" si="56"/>
        <v>-4.8852262866567089E-2</v>
      </c>
      <c r="F69" s="84">
        <f t="shared" si="56"/>
        <v>0.33638706672982888</v>
      </c>
      <c r="G69" s="84">
        <f t="shared" si="56"/>
        <v>0.35932095774365558</v>
      </c>
      <c r="H69" s="84">
        <f t="shared" si="56"/>
        <v>0.83166234395401206</v>
      </c>
      <c r="I69" s="84">
        <f t="shared" si="56"/>
        <v>0.58830378406985961</v>
      </c>
      <c r="J69" s="84">
        <f t="shared" si="56"/>
        <v>1.0927082313790741</v>
      </c>
      <c r="K69" s="84">
        <f t="shared" si="56"/>
        <v>1.162854577550523</v>
      </c>
      <c r="L69" s="84">
        <f t="shared" si="56"/>
        <v>0.4472303341783469</v>
      </c>
      <c r="M69" s="84">
        <f t="shared" si="56"/>
        <v>1.0191572049074142</v>
      </c>
      <c r="N69" s="84">
        <f t="shared" si="56"/>
        <v>0.41964536903974387</v>
      </c>
      <c r="O69" s="84">
        <f t="shared" si="56"/>
        <v>-0.12927504360354894</v>
      </c>
      <c r="P69" s="84">
        <f t="shared" si="56"/>
        <v>0.77137015096502959</v>
      </c>
      <c r="Q69" s="84">
        <f t="shared" si="56"/>
        <v>0.19455967393576257</v>
      </c>
      <c r="R69" s="84">
        <f t="shared" si="56"/>
        <v>1.2507582271257367</v>
      </c>
      <c r="S69" s="84">
        <f t="shared" si="56"/>
        <v>0.61842000477821168</v>
      </c>
      <c r="T69" s="84">
        <f t="shared" si="56"/>
        <v>-0.68526444263629016</v>
      </c>
      <c r="U69" s="84">
        <f t="shared" si="56"/>
        <v>1.0378856119234028</v>
      </c>
      <c r="V69" s="84">
        <f t="shared" si="56"/>
        <v>0.39343217483303522</v>
      </c>
      <c r="W69" s="84">
        <f t="shared" si="56"/>
        <v>1.3704651788889985</v>
      </c>
      <c r="X69" s="84" t="e">
        <f t="shared" si="56"/>
        <v>#DIV/0!</v>
      </c>
      <c r="Y69" s="84" t="e">
        <f t="shared" si="56"/>
        <v>#DIV/0!</v>
      </c>
      <c r="Z69" s="84" t="e">
        <f t="shared" si="56"/>
        <v>#DIV/0!</v>
      </c>
      <c r="AA69" s="84" t="e">
        <f t="shared" si="56"/>
        <v>#DIV/0!</v>
      </c>
      <c r="AB69" s="84">
        <f t="shared" si="56"/>
        <v>1.7553488128667292</v>
      </c>
      <c r="AC69" s="84" t="e">
        <f t="shared" si="56"/>
        <v>#DIV/0!</v>
      </c>
      <c r="AD69" s="84" t="e">
        <f t="shared" si="56"/>
        <v>#DIV/0!</v>
      </c>
      <c r="AE69" s="84" t="e">
        <f t="shared" si="56"/>
        <v>#DIV/0!</v>
      </c>
      <c r="AF69" s="84" t="e">
        <f t="shared" si="56"/>
        <v>#DIV/0!</v>
      </c>
      <c r="AG69" s="84">
        <f t="shared" si="56"/>
        <v>2.2752035140610434</v>
      </c>
      <c r="AH69" s="57"/>
      <c r="AI69" s="54"/>
      <c r="AJ69" s="56"/>
    </row>
    <row r="70" spans="1:39" s="70" customFormat="1" ht="12.95" customHeight="1" collapsed="1">
      <c r="A70" s="68"/>
      <c r="B70" s="62" t="s">
        <v>306</v>
      </c>
      <c r="C70" s="157">
        <f t="shared" ref="C70:AG70" si="57">C191+C197</f>
        <v>50.649900000000002</v>
      </c>
      <c r="D70" s="157">
        <f t="shared" si="57"/>
        <v>69.73299999999999</v>
      </c>
      <c r="E70" s="157">
        <f t="shared" si="57"/>
        <v>45.002999999999957</v>
      </c>
      <c r="F70" s="157">
        <f t="shared" si="57"/>
        <v>105.206</v>
      </c>
      <c r="G70" s="157">
        <f t="shared" si="57"/>
        <v>80.698999999999955</v>
      </c>
      <c r="H70" s="157">
        <f t="shared" si="57"/>
        <v>124.45999999999998</v>
      </c>
      <c r="I70" s="157">
        <f t="shared" si="57"/>
        <v>123.56700000000001</v>
      </c>
      <c r="J70" s="157">
        <f t="shared" si="57"/>
        <v>172.76200000000006</v>
      </c>
      <c r="K70" s="157">
        <f t="shared" si="57"/>
        <v>174.84100000000001</v>
      </c>
      <c r="L70" s="157">
        <f t="shared" si="57"/>
        <v>69.061000000000035</v>
      </c>
      <c r="M70" s="157">
        <f t="shared" si="57"/>
        <v>166.78399999999999</v>
      </c>
      <c r="N70" s="157">
        <f t="shared" si="57"/>
        <v>57.407000000000025</v>
      </c>
      <c r="O70" s="157">
        <f t="shared" si="57"/>
        <v>-13.305999999999983</v>
      </c>
      <c r="P70" s="157">
        <f t="shared" si="57"/>
        <v>95.722000000000008</v>
      </c>
      <c r="Q70" s="157">
        <f t="shared" si="57"/>
        <v>28.044999999999998</v>
      </c>
      <c r="R70" s="157">
        <f t="shared" si="57"/>
        <v>186.43589999999995</v>
      </c>
      <c r="S70" s="157">
        <f t="shared" si="57"/>
        <v>55.42</v>
      </c>
      <c r="T70" s="157">
        <f t="shared" si="57"/>
        <v>-52.198000000000008</v>
      </c>
      <c r="U70" s="157">
        <f t="shared" si="57"/>
        <v>132.5421417053862</v>
      </c>
      <c r="V70" s="157">
        <f t="shared" si="57"/>
        <v>55.338814286980025</v>
      </c>
      <c r="W70" s="157">
        <f t="shared" si="57"/>
        <v>191.10295599236619</v>
      </c>
      <c r="X70" s="157">
        <f t="shared" si="57"/>
        <v>0</v>
      </c>
      <c r="Y70" s="157">
        <f t="shared" si="57"/>
        <v>0</v>
      </c>
      <c r="Z70" s="157">
        <f t="shared" si="57"/>
        <v>0</v>
      </c>
      <c r="AA70" s="157">
        <f t="shared" si="57"/>
        <v>0</v>
      </c>
      <c r="AB70" s="157">
        <f t="shared" si="57"/>
        <v>235.00720619360624</v>
      </c>
      <c r="AC70" s="157">
        <f t="shared" si="57"/>
        <v>0</v>
      </c>
      <c r="AD70" s="157">
        <f t="shared" si="57"/>
        <v>0</v>
      </c>
      <c r="AE70" s="157">
        <f t="shared" si="57"/>
        <v>0</v>
      </c>
      <c r="AF70" s="157">
        <f t="shared" si="57"/>
        <v>0</v>
      </c>
      <c r="AG70" s="157">
        <f t="shared" si="57"/>
        <v>287.40136142699401</v>
      </c>
      <c r="AH70" s="158"/>
      <c r="AI70" s="54">
        <v>0</v>
      </c>
      <c r="AJ70" s="72"/>
      <c r="AK70" s="73"/>
      <c r="AL70" s="73"/>
      <c r="AM70" s="73"/>
    </row>
    <row r="71" spans="1:39" ht="12.95" customHeight="1">
      <c r="B71" s="228" t="s">
        <v>335</v>
      </c>
      <c r="C71" s="119">
        <f t="shared" ref="C71:AG71" si="58">C70/C27</f>
        <v>0.27567339414488151</v>
      </c>
      <c r="D71" s="119">
        <f t="shared" si="58"/>
        <v>0.3747957604162187</v>
      </c>
      <c r="E71" s="119">
        <f t="shared" si="58"/>
        <v>0.2425527786610899</v>
      </c>
      <c r="F71" s="119">
        <f t="shared" si="58"/>
        <v>0.56313948415725257</v>
      </c>
      <c r="G71" s="119">
        <f t="shared" si="58"/>
        <v>0.44945891604983629</v>
      </c>
      <c r="H71" s="119">
        <f t="shared" si="58"/>
        <v>0.73531410070837333</v>
      </c>
      <c r="I71" s="119">
        <f t="shared" si="58"/>
        <v>0.72662961982887886</v>
      </c>
      <c r="J71" s="119">
        <f t="shared" si="58"/>
        <v>1.1272845910410758</v>
      </c>
      <c r="K71" s="119">
        <f t="shared" si="58"/>
        <v>1.3303582298514731</v>
      </c>
      <c r="L71" s="119">
        <f t="shared" si="58"/>
        <v>0.53213490418474219</v>
      </c>
      <c r="M71" s="119">
        <f t="shared" si="58"/>
        <v>1.2709289034519546</v>
      </c>
      <c r="N71" s="119">
        <f t="shared" si="58"/>
        <v>0.43649870358965021</v>
      </c>
      <c r="O71" s="119">
        <f t="shared" si="58"/>
        <v>-0.10090240388261153</v>
      </c>
      <c r="P71" s="119">
        <f t="shared" si="58"/>
        <v>0.73167972482323707</v>
      </c>
      <c r="Q71" s="119">
        <f t="shared" si="58"/>
        <v>0.21493416010590122</v>
      </c>
      <c r="R71" s="119">
        <f t="shared" si="58"/>
        <v>1.4185725699067904</v>
      </c>
      <c r="S71" s="119">
        <f t="shared" si="58"/>
        <v>0.44134745560245286</v>
      </c>
      <c r="T71" s="119">
        <f t="shared" si="58"/>
        <v>-0.42471928397070796</v>
      </c>
      <c r="U71" s="119">
        <f t="shared" si="58"/>
        <v>1.0784551806784881</v>
      </c>
      <c r="V71" s="119">
        <f t="shared" si="58"/>
        <v>0.45027513659056162</v>
      </c>
      <c r="W71" s="119">
        <f t="shared" si="58"/>
        <v>1.546547077446466</v>
      </c>
      <c r="X71" s="119" t="e">
        <f t="shared" si="58"/>
        <v>#DIV/0!</v>
      </c>
      <c r="Y71" s="119" t="e">
        <f t="shared" si="58"/>
        <v>#DIV/0!</v>
      </c>
      <c r="Z71" s="119" t="e">
        <f t="shared" si="58"/>
        <v>#DIV/0!</v>
      </c>
      <c r="AA71" s="119" t="e">
        <f t="shared" si="58"/>
        <v>#DIV/0!</v>
      </c>
      <c r="AB71" s="119">
        <f t="shared" si="58"/>
        <v>1.9744846872368325</v>
      </c>
      <c r="AC71" s="119" t="e">
        <f t="shared" si="58"/>
        <v>#DIV/0!</v>
      </c>
      <c r="AD71" s="119" t="e">
        <f t="shared" si="58"/>
        <v>#DIV/0!</v>
      </c>
      <c r="AE71" s="119" t="e">
        <f t="shared" si="58"/>
        <v>#DIV/0!</v>
      </c>
      <c r="AF71" s="119" t="e">
        <f t="shared" si="58"/>
        <v>#DIV/0!</v>
      </c>
      <c r="AG71" s="119">
        <f t="shared" si="58"/>
        <v>2.5022890913779721</v>
      </c>
    </row>
    <row r="72" spans="1:39" s="58" customFormat="1" ht="12.95" customHeight="1">
      <c r="A72" s="56"/>
      <c r="B72" s="82" t="s">
        <v>336</v>
      </c>
      <c r="C72" s="60">
        <f t="shared" ref="C72:AG72" si="59">C68/C26</f>
        <v>0.69494905778091554</v>
      </c>
      <c r="D72" s="60">
        <f t="shared" si="59"/>
        <v>0.34445011182171309</v>
      </c>
      <c r="E72" s="60">
        <f t="shared" si="59"/>
        <v>-8.0388817936710572E-2</v>
      </c>
      <c r="F72" s="60">
        <f t="shared" si="59"/>
        <v>0.46094265721955729</v>
      </c>
      <c r="G72" s="60">
        <f t="shared" si="59"/>
        <v>0.4110990040335693</v>
      </c>
      <c r="H72" s="60">
        <f t="shared" si="59"/>
        <v>0.99464409366476847</v>
      </c>
      <c r="I72" s="60">
        <f t="shared" si="59"/>
        <v>0.69804632989115256</v>
      </c>
      <c r="J72" s="60">
        <f t="shared" si="59"/>
        <v>1.0070902792812297</v>
      </c>
      <c r="K72" s="60">
        <f t="shared" si="59"/>
        <v>0.8394043918139571</v>
      </c>
      <c r="L72" s="60">
        <f t="shared" si="59"/>
        <v>0.32241077628107223</v>
      </c>
      <c r="M72" s="60">
        <f t="shared" si="59"/>
        <v>0.74849873798850464</v>
      </c>
      <c r="N72" s="60">
        <f t="shared" si="59"/>
        <v>1.0491293768771615</v>
      </c>
      <c r="O72" s="60">
        <f t="shared" si="59"/>
        <v>-0.32659297291083933</v>
      </c>
      <c r="P72" s="60">
        <f t="shared" si="59"/>
        <v>1.7531139794659765</v>
      </c>
      <c r="Q72" s="60">
        <f t="shared" si="59"/>
        <v>0.44218107712673305</v>
      </c>
      <c r="R72" s="60">
        <f t="shared" si="59"/>
        <v>0.74792363376603266</v>
      </c>
      <c r="S72" s="60">
        <f t="shared" si="59"/>
        <v>1.4819939311818926</v>
      </c>
      <c r="T72" s="60">
        <f t="shared" si="59"/>
        <v>-1.4290150165436522</v>
      </c>
      <c r="U72" s="60">
        <f t="shared" si="59"/>
        <v>1.8709101819986904</v>
      </c>
      <c r="V72" s="60">
        <f t="shared" si="59"/>
        <v>0.78124039773663234</v>
      </c>
      <c r="W72" s="60">
        <f t="shared" si="59"/>
        <v>0.7014972459721982</v>
      </c>
      <c r="X72" s="60" t="e">
        <f t="shared" si="59"/>
        <v>#DIV/0!</v>
      </c>
      <c r="Y72" s="60" t="e">
        <f t="shared" si="59"/>
        <v>#DIV/0!</v>
      </c>
      <c r="Z72" s="60" t="e">
        <f t="shared" si="59"/>
        <v>#DIV/0!</v>
      </c>
      <c r="AA72" s="60" t="e">
        <f t="shared" si="59"/>
        <v>#DIV/0!</v>
      </c>
      <c r="AB72" s="60">
        <f t="shared" si="59"/>
        <v>0.76478394087718515</v>
      </c>
      <c r="AC72" s="60" t="e">
        <f t="shared" si="59"/>
        <v>#DIV/0!</v>
      </c>
      <c r="AD72" s="60" t="e">
        <f t="shared" si="59"/>
        <v>#DIV/0!</v>
      </c>
      <c r="AE72" s="60" t="e">
        <f t="shared" si="59"/>
        <v>#DIV/0!</v>
      </c>
      <c r="AF72" s="60" t="e">
        <f t="shared" si="59"/>
        <v>#DIV/0!</v>
      </c>
      <c r="AG72" s="60">
        <f t="shared" si="59"/>
        <v>0.88771391010625644</v>
      </c>
      <c r="AH72" s="57"/>
      <c r="AI72" s="54"/>
      <c r="AJ72" s="56"/>
    </row>
    <row r="73" spans="1:39" s="58" customFormat="1" ht="12.95" hidden="1" customHeight="1" outlineLevel="1">
      <c r="A73" s="56"/>
      <c r="B73" s="131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57"/>
      <c r="AI73" s="54"/>
      <c r="AJ73" s="56"/>
    </row>
    <row r="74" spans="1:39" s="58" customFormat="1" ht="12.95" hidden="1" customHeight="1" outlineLevel="1">
      <c r="A74" s="56"/>
      <c r="B74" s="134" t="s">
        <v>186</v>
      </c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57"/>
      <c r="AI74" s="54"/>
      <c r="AJ74" s="56"/>
    </row>
    <row r="75" spans="1:39" s="58" customFormat="1" ht="12.95" hidden="1" customHeight="1" outlineLevel="1">
      <c r="A75" s="56"/>
      <c r="B75" s="82" t="s">
        <v>185</v>
      </c>
      <c r="C75" s="84"/>
      <c r="D75" s="84"/>
      <c r="E75" s="84"/>
      <c r="F75" s="84"/>
      <c r="G75" s="84"/>
      <c r="H75" s="84"/>
      <c r="I75" s="84"/>
      <c r="J75" s="84"/>
      <c r="K75" s="84"/>
      <c r="L75" s="159">
        <f>18.5+12.7</f>
        <v>31.2</v>
      </c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57"/>
      <c r="AI75" s="54"/>
      <c r="AJ75" s="56"/>
    </row>
    <row r="76" spans="1:39" s="58" customFormat="1" ht="12.95" hidden="1" customHeight="1" outlineLevel="1">
      <c r="A76" s="56"/>
      <c r="B76" s="82" t="s">
        <v>187</v>
      </c>
      <c r="C76" s="84"/>
      <c r="D76" s="84"/>
      <c r="E76" s="84"/>
      <c r="F76" s="84"/>
      <c r="G76" s="84"/>
      <c r="H76" s="84"/>
      <c r="I76" s="84"/>
      <c r="J76" s="84"/>
      <c r="K76" s="84"/>
      <c r="L76" s="159">
        <v>11.2</v>
      </c>
      <c r="M76" s="159">
        <v>70</v>
      </c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57"/>
      <c r="AI76" s="54"/>
      <c r="AJ76" s="56"/>
    </row>
    <row r="77" spans="1:39" s="78" customFormat="1" ht="12.95" hidden="1" customHeight="1" outlineLevel="1">
      <c r="A77" s="74"/>
      <c r="B77" s="131" t="s">
        <v>188</v>
      </c>
      <c r="C77" s="160"/>
      <c r="D77" s="160"/>
      <c r="E77" s="160"/>
      <c r="F77" s="160"/>
      <c r="G77" s="160"/>
      <c r="H77" s="160"/>
      <c r="I77" s="160"/>
      <c r="J77" s="160"/>
      <c r="K77" s="160"/>
      <c r="L77" s="161">
        <f>L12-L75-L76</f>
        <v>1003.9859999999999</v>
      </c>
      <c r="M77" s="161">
        <f>M12-M75-M76</f>
        <v>1093.489</v>
      </c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76"/>
      <c r="AI77" s="77"/>
      <c r="AJ77" s="74"/>
    </row>
    <row r="78" spans="1:39" s="58" customFormat="1" ht="12.95" hidden="1" customHeight="1" outlineLevel="1">
      <c r="A78" s="56"/>
      <c r="B78" s="82"/>
      <c r="C78" s="84"/>
      <c r="D78" s="84"/>
      <c r="E78" s="84"/>
      <c r="F78" s="84"/>
      <c r="G78" s="84"/>
      <c r="H78" s="84"/>
      <c r="I78" s="84"/>
      <c r="J78" s="84"/>
      <c r="K78" s="84"/>
      <c r="L78" s="159"/>
      <c r="M78" s="159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57"/>
      <c r="AI78" s="54"/>
      <c r="AJ78" s="56"/>
    </row>
    <row r="79" spans="1:39" s="58" customFormat="1" ht="12.95" hidden="1" customHeight="1" outlineLevel="1">
      <c r="A79" s="56"/>
      <c r="B79" s="82" t="s">
        <v>190</v>
      </c>
      <c r="C79" s="84"/>
      <c r="D79" s="84"/>
      <c r="E79" s="84"/>
      <c r="F79" s="84"/>
      <c r="G79" s="84"/>
      <c r="H79" s="84"/>
      <c r="I79" s="84"/>
      <c r="J79" s="84"/>
      <c r="K79" s="84"/>
      <c r="L79" s="159">
        <v>25.7</v>
      </c>
      <c r="M79" s="159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57"/>
      <c r="AI79" s="54"/>
      <c r="AJ79" s="56"/>
    </row>
    <row r="80" spans="1:39" s="58" customFormat="1" ht="12.95" hidden="1" customHeight="1" outlineLevel="1">
      <c r="A80" s="56"/>
      <c r="B80" s="82" t="s">
        <v>191</v>
      </c>
      <c r="C80" s="84"/>
      <c r="D80" s="84"/>
      <c r="E80" s="84"/>
      <c r="F80" s="84"/>
      <c r="G80" s="84"/>
      <c r="H80" s="84"/>
      <c r="I80" s="84"/>
      <c r="J80" s="84"/>
      <c r="K80" s="84"/>
      <c r="L80" s="159">
        <v>6.4</v>
      </c>
      <c r="M80" s="159">
        <v>37.6</v>
      </c>
      <c r="N80" s="84"/>
      <c r="O80" s="84"/>
      <c r="P80" s="84"/>
      <c r="Q80" s="84"/>
      <c r="R80" s="84"/>
      <c r="S80" s="84"/>
      <c r="T80" s="84"/>
      <c r="U80" s="84"/>
      <c r="V80" s="84">
        <f>20*2.25</f>
        <v>45</v>
      </c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57"/>
      <c r="AI80" s="54"/>
      <c r="AJ80" s="56"/>
    </row>
    <row r="81" spans="1:36" s="58" customFormat="1" ht="12.95" hidden="1" customHeight="1" outlineLevel="1">
      <c r="A81" s="56"/>
      <c r="B81" s="82" t="s">
        <v>192</v>
      </c>
      <c r="C81" s="84"/>
      <c r="D81" s="84"/>
      <c r="E81" s="84"/>
      <c r="F81" s="84"/>
      <c r="G81" s="84"/>
      <c r="H81" s="84"/>
      <c r="I81" s="84"/>
      <c r="J81" s="84"/>
      <c r="K81" s="84"/>
      <c r="L81" s="159"/>
      <c r="M81" s="159">
        <v>4.0999999999999996</v>
      </c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57"/>
      <c r="AI81" s="54"/>
      <c r="AJ81" s="56"/>
    </row>
    <row r="82" spans="1:36" s="58" customFormat="1" ht="12.95" hidden="1" customHeight="1" outlineLevel="1">
      <c r="A82" s="56"/>
      <c r="B82" s="131" t="s">
        <v>189</v>
      </c>
      <c r="C82" s="84"/>
      <c r="D82" s="84"/>
      <c r="E82" s="84"/>
      <c r="F82" s="84"/>
      <c r="G82" s="84"/>
      <c r="H82" s="84"/>
      <c r="I82" s="84"/>
      <c r="J82" s="84"/>
      <c r="K82" s="84"/>
      <c r="L82" s="159">
        <f>L13-L79-L80-L81</f>
        <v>385.36200000000002</v>
      </c>
      <c r="M82" s="159">
        <f>M13-M79-M80-M81</f>
        <v>442.50699999999995</v>
      </c>
      <c r="N82" s="84"/>
      <c r="O82" s="84"/>
      <c r="P82" s="84"/>
      <c r="Q82" s="84"/>
      <c r="R82" s="84"/>
      <c r="S82" s="84"/>
      <c r="T82" s="84">
        <f>2*1.2</f>
        <v>2.4</v>
      </c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57"/>
      <c r="AI82" s="54"/>
      <c r="AJ82" s="56"/>
    </row>
    <row r="83" spans="1:36" s="58" customFormat="1" ht="12.95" hidden="1" customHeight="1" outlineLevel="1">
      <c r="A83" s="56"/>
      <c r="B83" s="131"/>
      <c r="C83" s="84"/>
      <c r="D83" s="84"/>
      <c r="E83" s="84"/>
      <c r="F83" s="84"/>
      <c r="G83" s="84"/>
      <c r="H83" s="84"/>
      <c r="I83" s="84"/>
      <c r="J83" s="84"/>
      <c r="K83" s="84"/>
      <c r="L83" s="159"/>
      <c r="M83" s="159"/>
      <c r="N83" s="84"/>
      <c r="O83" s="84"/>
      <c r="P83" s="84"/>
      <c r="Q83" s="84"/>
      <c r="R83" s="84"/>
      <c r="S83" s="84"/>
      <c r="T83" s="84">
        <f>20*2.4</f>
        <v>48</v>
      </c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57"/>
      <c r="AI83" s="54"/>
      <c r="AJ83" s="56"/>
    </row>
    <row r="84" spans="1:36" s="58" customFormat="1" ht="12.95" hidden="1" customHeight="1" outlineLevel="1">
      <c r="A84" s="56"/>
      <c r="B84" s="82" t="s">
        <v>193</v>
      </c>
      <c r="C84" s="84"/>
      <c r="D84" s="84"/>
      <c r="E84" s="84"/>
      <c r="F84" s="84"/>
      <c r="G84" s="84"/>
      <c r="H84" s="84"/>
      <c r="I84" s="84"/>
      <c r="J84" s="84"/>
      <c r="K84" s="84"/>
      <c r="L84" s="159">
        <v>10</v>
      </c>
      <c r="M84" s="159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57"/>
      <c r="AI84" s="54"/>
      <c r="AJ84" s="56"/>
    </row>
    <row r="85" spans="1:36" s="58" customFormat="1" ht="12.95" hidden="1" customHeight="1" outlineLevel="1">
      <c r="A85" s="56"/>
      <c r="B85" s="82" t="s">
        <v>194</v>
      </c>
      <c r="C85" s="84"/>
      <c r="D85" s="84"/>
      <c r="E85" s="84"/>
      <c r="F85" s="84"/>
      <c r="G85" s="84"/>
      <c r="H85" s="84"/>
      <c r="I85" s="84"/>
      <c r="J85" s="84"/>
      <c r="K85" s="84"/>
      <c r="L85" s="159">
        <v>2.8</v>
      </c>
      <c r="M85" s="159">
        <v>11.5</v>
      </c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57"/>
      <c r="AI85" s="54"/>
      <c r="AJ85" s="56"/>
    </row>
    <row r="86" spans="1:36" s="58" customFormat="1" ht="12.95" hidden="1" customHeight="1" outlineLevel="1">
      <c r="A86" s="56"/>
      <c r="B86" s="82" t="s">
        <v>195</v>
      </c>
      <c r="C86" s="84"/>
      <c r="D86" s="84"/>
      <c r="E86" s="84"/>
      <c r="F86" s="84"/>
      <c r="G86" s="84"/>
      <c r="H86" s="84"/>
      <c r="I86" s="84"/>
      <c r="J86" s="84"/>
      <c r="K86" s="84"/>
      <c r="L86" s="84">
        <v>1</v>
      </c>
      <c r="M86" s="84">
        <v>7.5</v>
      </c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57"/>
      <c r="AI86" s="54"/>
      <c r="AJ86" s="56"/>
    </row>
    <row r="87" spans="1:36" s="58" customFormat="1" ht="12.95" hidden="1" customHeight="1" outlineLevel="1">
      <c r="A87" s="56"/>
      <c r="B87" s="131" t="s">
        <v>196</v>
      </c>
      <c r="C87" s="84"/>
      <c r="D87" s="84"/>
      <c r="E87" s="84"/>
      <c r="F87" s="84"/>
      <c r="G87" s="84"/>
      <c r="H87" s="84"/>
      <c r="I87" s="84"/>
      <c r="J87" s="84"/>
      <c r="K87" s="84"/>
      <c r="L87" s="159">
        <f>L17-L84-L85-L86</f>
        <v>108.16800000000001</v>
      </c>
      <c r="M87" s="159">
        <f>M17-M84-M85-M86</f>
        <v>128.02699999999999</v>
      </c>
      <c r="N87" s="84"/>
      <c r="O87" s="84"/>
      <c r="P87" s="84"/>
      <c r="Q87" s="84"/>
      <c r="R87" s="84"/>
      <c r="S87" s="84"/>
      <c r="T87" s="84">
        <f>2.5/0.04</f>
        <v>62.5</v>
      </c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57"/>
      <c r="AI87" s="54"/>
      <c r="AJ87" s="56"/>
    </row>
    <row r="88" spans="1:36" s="58" customFormat="1" ht="12.95" hidden="1" customHeight="1" outlineLevel="1">
      <c r="A88" s="56"/>
      <c r="B88" s="131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57"/>
      <c r="AI88" s="54"/>
      <c r="AJ88" s="56"/>
    </row>
    <row r="89" spans="1:36" s="10" customFormat="1" ht="12.95" hidden="1" customHeight="1" outlineLevel="1">
      <c r="A89" s="9"/>
      <c r="B89" s="9"/>
      <c r="AH89" s="42"/>
      <c r="AI89" s="54"/>
      <c r="AJ89" s="55"/>
    </row>
    <row r="90" spans="1:36" s="10" customFormat="1" ht="12.95" hidden="1" customHeight="1" outlineLevel="1">
      <c r="A90" s="9"/>
      <c r="B90" s="134" t="s">
        <v>180</v>
      </c>
      <c r="S90" s="171"/>
      <c r="AH90" s="42"/>
      <c r="AI90" s="54"/>
      <c r="AJ90" s="55"/>
    </row>
    <row r="91" spans="1:36" s="10" customFormat="1" ht="12.95" hidden="1" customHeight="1" outlineLevel="1">
      <c r="A91" s="9"/>
      <c r="B91" s="82" t="s">
        <v>14</v>
      </c>
      <c r="L91" s="30">
        <v>826</v>
      </c>
      <c r="M91" s="30">
        <v>904</v>
      </c>
      <c r="N91" s="30"/>
      <c r="O91" s="30"/>
      <c r="P91" s="30"/>
      <c r="Q91" s="30"/>
      <c r="R91" s="30">
        <v>914.44</v>
      </c>
      <c r="AH91" s="42"/>
      <c r="AI91" s="54"/>
      <c r="AJ91" s="55"/>
    </row>
    <row r="92" spans="1:36" s="10" customFormat="1" ht="12.95" hidden="1" customHeight="1" outlineLevel="1">
      <c r="A92" s="9"/>
      <c r="B92" s="82" t="s">
        <v>181</v>
      </c>
      <c r="L92" s="30">
        <v>209.18</v>
      </c>
      <c r="M92" s="30">
        <v>235.24</v>
      </c>
      <c r="N92" s="30"/>
      <c r="O92" s="30"/>
      <c r="P92" s="30"/>
      <c r="Q92" s="30"/>
      <c r="R92" s="30">
        <v>209.82300000000001</v>
      </c>
      <c r="AH92" s="42"/>
      <c r="AI92" s="54"/>
      <c r="AJ92" s="55"/>
    </row>
    <row r="93" spans="1:36" s="10" customFormat="1" ht="12.95" hidden="1" customHeight="1" outlineLevel="1">
      <c r="A93" s="9"/>
      <c r="B93" s="82" t="s">
        <v>93</v>
      </c>
      <c r="L93" s="30">
        <v>11.17</v>
      </c>
      <c r="M93" s="30">
        <v>24.244</v>
      </c>
      <c r="N93" s="30"/>
      <c r="O93" s="30"/>
      <c r="P93" s="30"/>
      <c r="Q93" s="30"/>
      <c r="R93" s="30">
        <v>21.183</v>
      </c>
      <c r="AH93" s="42"/>
      <c r="AI93" s="54"/>
      <c r="AJ93" s="55"/>
    </row>
    <row r="94" spans="1:36" s="10" customFormat="1" ht="12.95" hidden="1" customHeight="1" outlineLevel="1">
      <c r="A94" s="9"/>
      <c r="B94" s="130" t="s">
        <v>6</v>
      </c>
      <c r="L94" s="30">
        <f>SUM(L91:L93)</f>
        <v>1046.3500000000001</v>
      </c>
      <c r="M94" s="30">
        <f>SUM(M91:M93)</f>
        <v>1163.4839999999999</v>
      </c>
      <c r="R94" s="30">
        <f>SUM(R91:R93)</f>
        <v>1145.4460000000001</v>
      </c>
      <c r="AH94" s="42"/>
      <c r="AI94" s="54"/>
      <c r="AJ94" s="55"/>
    </row>
    <row r="95" spans="1:36" s="10" customFormat="1" ht="12.95" customHeight="1" collapsed="1">
      <c r="A95" s="9"/>
      <c r="B95" s="9"/>
      <c r="AH95" s="42"/>
      <c r="AI95" s="54"/>
      <c r="AJ95" s="55"/>
    </row>
    <row r="96" spans="1:36" s="87" customFormat="1" ht="12.95" customHeight="1">
      <c r="A96" s="85"/>
      <c r="B96" s="50" t="s">
        <v>79</v>
      </c>
      <c r="C96" s="409" t="s">
        <v>347</v>
      </c>
      <c r="D96" s="409">
        <v>2005</v>
      </c>
      <c r="E96" s="409">
        <f t="shared" ref="E96:M96" si="60">D96+1</f>
        <v>2006</v>
      </c>
      <c r="F96" s="409">
        <f t="shared" si="60"/>
        <v>2007</v>
      </c>
      <c r="G96" s="409">
        <f t="shared" si="60"/>
        <v>2008</v>
      </c>
      <c r="H96" s="409">
        <f t="shared" si="60"/>
        <v>2009</v>
      </c>
      <c r="I96" s="409">
        <f t="shared" si="60"/>
        <v>2010</v>
      </c>
      <c r="J96" s="409">
        <f t="shared" si="60"/>
        <v>2011</v>
      </c>
      <c r="K96" s="409">
        <f t="shared" si="60"/>
        <v>2012</v>
      </c>
      <c r="L96" s="409">
        <f t="shared" si="60"/>
        <v>2013</v>
      </c>
      <c r="M96" s="409">
        <f t="shared" si="60"/>
        <v>2014</v>
      </c>
      <c r="N96" s="51"/>
      <c r="O96" s="51"/>
      <c r="P96" s="51"/>
      <c r="Q96" s="51"/>
      <c r="R96" s="409">
        <v>2015</v>
      </c>
      <c r="S96" s="51"/>
      <c r="T96" s="51"/>
      <c r="U96" s="51"/>
      <c r="V96" s="51"/>
      <c r="W96" s="409" t="s">
        <v>10</v>
      </c>
      <c r="X96" s="51"/>
      <c r="Y96" s="51"/>
      <c r="Z96" s="51"/>
      <c r="AA96" s="51"/>
      <c r="AB96" s="409" t="s">
        <v>11</v>
      </c>
      <c r="AC96" s="51"/>
      <c r="AD96" s="51"/>
      <c r="AE96" s="51"/>
      <c r="AF96" s="51"/>
      <c r="AG96" s="409" t="s">
        <v>51</v>
      </c>
      <c r="AH96" s="86"/>
      <c r="AI96" s="53">
        <v>0</v>
      </c>
      <c r="AJ96" s="85"/>
    </row>
    <row r="97" spans="1:36" s="10" customFormat="1" ht="12.95" customHeight="1">
      <c r="A97" s="9"/>
      <c r="B97" s="9"/>
      <c r="AH97" s="42"/>
      <c r="AI97" s="54">
        <v>0</v>
      </c>
      <c r="AJ97" s="55"/>
    </row>
    <row r="98" spans="1:36" ht="12.95" hidden="1" customHeight="1" outlineLevel="1">
      <c r="B98" s="124" t="s">
        <v>111</v>
      </c>
      <c r="C98" s="89" t="e">
        <f>#REF!/1000</f>
        <v>#REF!</v>
      </c>
      <c r="D98" s="89" t="e">
        <f>#REF!/1000</f>
        <v>#REF!</v>
      </c>
      <c r="E98" s="89" t="e">
        <f>#REF!/1000</f>
        <v>#REF!</v>
      </c>
      <c r="F98" s="89" t="e">
        <f>#REF!/1000</f>
        <v>#REF!</v>
      </c>
      <c r="G98" s="89" t="e">
        <f>#REF!/1000</f>
        <v>#REF!</v>
      </c>
      <c r="H98" s="89" t="e">
        <f>#REF!/1000</f>
        <v>#REF!</v>
      </c>
      <c r="I98" s="89" t="e">
        <f>#REF!/1000</f>
        <v>#REF!</v>
      </c>
      <c r="J98" s="89" t="e">
        <f>#REF!/1000</f>
        <v>#REF!</v>
      </c>
      <c r="K98" s="89" t="e">
        <f>#REF!/1000</f>
        <v>#REF!</v>
      </c>
      <c r="L98" s="89" t="e">
        <f>#REF!/1000</f>
        <v>#REF!</v>
      </c>
      <c r="M98" s="89" t="e">
        <f>#REF!/1000</f>
        <v>#REF!</v>
      </c>
      <c r="N98" s="89"/>
      <c r="O98" s="89"/>
      <c r="P98" s="89"/>
      <c r="Q98" s="89"/>
      <c r="R98" s="89">
        <v>456.01</v>
      </c>
      <c r="S98" s="89">
        <v>472.91</v>
      </c>
      <c r="T98" s="89">
        <v>141.416</v>
      </c>
      <c r="U98" s="88"/>
      <c r="V98" s="88"/>
      <c r="W98" s="181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I98" s="126"/>
      <c r="AJ98" s="91"/>
    </row>
    <row r="99" spans="1:36" ht="12.95" hidden="1" customHeight="1" outlineLevel="1">
      <c r="B99" s="124" t="s">
        <v>107</v>
      </c>
      <c r="C99" s="89" t="e">
        <f>#REF!/1000</f>
        <v>#REF!</v>
      </c>
      <c r="D99" s="89" t="e">
        <f>#REF!/1000</f>
        <v>#REF!</v>
      </c>
      <c r="E99" s="89" t="e">
        <f>#REF!/1000</f>
        <v>#REF!</v>
      </c>
      <c r="F99" s="89" t="e">
        <f>#REF!/1000</f>
        <v>#REF!</v>
      </c>
      <c r="G99" s="89" t="e">
        <f>#REF!/1000</f>
        <v>#REF!</v>
      </c>
      <c r="H99" s="89" t="e">
        <f>#REF!/1000</f>
        <v>#REF!</v>
      </c>
      <c r="I99" s="89" t="e">
        <f>#REF!/1000</f>
        <v>#REF!</v>
      </c>
      <c r="J99" s="89" t="e">
        <f>#REF!/1000</f>
        <v>#REF!</v>
      </c>
      <c r="K99" s="89" t="e">
        <f>#REF!/1000</f>
        <v>#REF!</v>
      </c>
      <c r="L99" s="89" t="e">
        <f>#REF!/1000</f>
        <v>#REF!</v>
      </c>
      <c r="M99" s="89" t="e">
        <f>#REF!/1000</f>
        <v>#REF!</v>
      </c>
      <c r="N99" s="89"/>
      <c r="O99" s="89"/>
      <c r="P99" s="89"/>
      <c r="Q99" s="89"/>
      <c r="R99" s="89">
        <v>0</v>
      </c>
      <c r="S99" s="89">
        <v>21.89</v>
      </c>
      <c r="T99" s="89">
        <v>17.465</v>
      </c>
      <c r="U99" s="88"/>
      <c r="V99" s="88"/>
      <c r="W99" s="181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I99" s="126"/>
      <c r="AJ99" s="91"/>
    </row>
    <row r="100" spans="1:36" ht="12.95" customHeight="1" collapsed="1">
      <c r="B100" s="124" t="s">
        <v>110</v>
      </c>
      <c r="C100" s="89">
        <v>178.32</v>
      </c>
      <c r="D100" s="89">
        <v>252.548</v>
      </c>
      <c r="E100" s="89">
        <v>275.315</v>
      </c>
      <c r="F100" s="89">
        <v>200.99</v>
      </c>
      <c r="G100" s="89">
        <v>38.954000000000001</v>
      </c>
      <c r="H100" s="89">
        <v>162.691</v>
      </c>
      <c r="I100" s="89">
        <v>268.18799999999999</v>
      </c>
      <c r="J100" s="89">
        <v>74.009</v>
      </c>
      <c r="K100" s="89">
        <v>140.11199999999999</v>
      </c>
      <c r="L100" s="89">
        <v>63.631</v>
      </c>
      <c r="M100" s="89">
        <v>158.66800000000001</v>
      </c>
      <c r="N100" s="89">
        <f>N216</f>
        <v>195.91300000000004</v>
      </c>
      <c r="O100" s="89">
        <f t="shared" ref="O100:Q100" si="61">O216</f>
        <v>585.04200000000003</v>
      </c>
      <c r="P100" s="89">
        <f t="shared" si="61"/>
        <v>664.274</v>
      </c>
      <c r="Q100" s="89">
        <f t="shared" si="61"/>
        <v>437.95600000000002</v>
      </c>
      <c r="R100" s="89">
        <f>SUM(R98:R99)</f>
        <v>456.01</v>
      </c>
      <c r="S100" s="89">
        <f>SUM(S98:S99)</f>
        <v>494.8</v>
      </c>
      <c r="T100" s="89">
        <f>SUM(T98:T99)</f>
        <v>158.881</v>
      </c>
      <c r="U100" s="88">
        <f>U216</f>
        <v>253.65414170538611</v>
      </c>
      <c r="V100" s="88">
        <f>V216</f>
        <v>290.79295599236616</v>
      </c>
      <c r="W100" s="181">
        <f>V100</f>
        <v>290.79295599236616</v>
      </c>
      <c r="X100" s="88"/>
      <c r="Y100" s="88"/>
      <c r="Z100" s="88"/>
      <c r="AA100" s="88"/>
      <c r="AB100" s="88">
        <f>AB216</f>
        <v>298.30016218597245</v>
      </c>
      <c r="AC100" s="88"/>
      <c r="AD100" s="88"/>
      <c r="AE100" s="88"/>
      <c r="AF100" s="88"/>
      <c r="AG100" s="88">
        <f>AG216</f>
        <v>358.20152361296647</v>
      </c>
      <c r="AI100" s="126"/>
      <c r="AJ100" s="91"/>
    </row>
    <row r="101" spans="1:36" ht="12.95" customHeight="1">
      <c r="B101" s="124" t="s">
        <v>80</v>
      </c>
      <c r="C101" s="89">
        <v>81.632999999999996</v>
      </c>
      <c r="D101" s="89">
        <v>91.322999999999993</v>
      </c>
      <c r="E101" s="89">
        <v>99.959000000000003</v>
      </c>
      <c r="F101" s="89">
        <v>109.895</v>
      </c>
      <c r="G101" s="89">
        <v>111.705</v>
      </c>
      <c r="H101" s="89">
        <v>109.248</v>
      </c>
      <c r="I101" s="89">
        <v>109.06100000000001</v>
      </c>
      <c r="J101" s="89">
        <v>122.85899999999999</v>
      </c>
      <c r="K101" s="89">
        <v>138.96600000000001</v>
      </c>
      <c r="L101" s="89">
        <v>182.714</v>
      </c>
      <c r="M101" s="89">
        <v>196.98500000000001</v>
      </c>
      <c r="N101" s="89">
        <v>204.8</v>
      </c>
      <c r="O101" s="89">
        <v>235.477</v>
      </c>
      <c r="P101" s="89">
        <v>217</v>
      </c>
      <c r="Q101" s="89">
        <f>R101</f>
        <v>215.6</v>
      </c>
      <c r="R101" s="89">
        <v>215.6</v>
      </c>
      <c r="S101" s="89">
        <v>231.40299999999999</v>
      </c>
      <c r="T101" s="89">
        <v>281.22699999999998</v>
      </c>
      <c r="U101" s="88">
        <f>(U12*U143)/91</f>
        <v>245.60787692307696</v>
      </c>
      <c r="V101" s="88">
        <f>(V12*V143)/91</f>
        <v>245.51656571428572</v>
      </c>
      <c r="W101" s="181">
        <f>V101</f>
        <v>245.51656571428572</v>
      </c>
      <c r="X101" s="88"/>
      <c r="Y101" s="88"/>
      <c r="Z101" s="88"/>
      <c r="AA101" s="88"/>
      <c r="AB101" s="88">
        <f>(AB12*AB143)/365</f>
        <v>245.00596800821921</v>
      </c>
      <c r="AC101" s="88"/>
      <c r="AD101" s="88"/>
      <c r="AE101" s="88"/>
      <c r="AF101" s="88"/>
      <c r="AG101" s="88">
        <f>(AG12*AG143)/365</f>
        <v>249.29462515821371</v>
      </c>
      <c r="AI101" s="126"/>
      <c r="AJ101" s="91"/>
    </row>
    <row r="102" spans="1:36" s="93" customFormat="1" ht="12.95" customHeight="1">
      <c r="A102" s="92"/>
      <c r="B102" s="124" t="s">
        <v>109</v>
      </c>
      <c r="C102" s="89">
        <v>23.966000000000001</v>
      </c>
      <c r="D102" s="89">
        <v>25.431000000000001</v>
      </c>
      <c r="E102" s="89">
        <v>29.148</v>
      </c>
      <c r="F102" s="89">
        <v>28.841999999999999</v>
      </c>
      <c r="G102" s="89">
        <v>30.786999999999999</v>
      </c>
      <c r="H102" s="89">
        <v>28.684999999999999</v>
      </c>
      <c r="I102" s="89">
        <v>29.89</v>
      </c>
      <c r="J102" s="89">
        <v>17.026</v>
      </c>
      <c r="K102" s="89">
        <v>15.728</v>
      </c>
      <c r="L102" s="89">
        <v>20.466000000000001</v>
      </c>
      <c r="M102" s="89">
        <v>21.870999999999999</v>
      </c>
      <c r="N102" s="89">
        <v>23.393999999999998</v>
      </c>
      <c r="O102" s="89">
        <v>26.09</v>
      </c>
      <c r="P102" s="89">
        <v>24.655000000000001</v>
      </c>
      <c r="Q102" s="89">
        <v>24.949000000000002</v>
      </c>
      <c r="R102" s="89">
        <v>24.94</v>
      </c>
      <c r="S102" s="89">
        <v>26.632000000000001</v>
      </c>
      <c r="T102" s="89">
        <v>29.693999999999999</v>
      </c>
      <c r="U102" s="88">
        <f>T102*(1+U$57)</f>
        <v>31.90753310412601</v>
      </c>
      <c r="V102" s="88">
        <f>U102*(1+V$57)</f>
        <v>34.126221706101106</v>
      </c>
      <c r="W102" s="181">
        <f t="shared" ref="W102:W106" si="62">V102</f>
        <v>34.126221706101106</v>
      </c>
      <c r="X102" s="88"/>
      <c r="Y102" s="88"/>
      <c r="Z102" s="88"/>
      <c r="AA102" s="88"/>
      <c r="AB102" s="88">
        <f>W102*(1+AB$57)</f>
        <v>36.038958235945522</v>
      </c>
      <c r="AC102" s="94"/>
      <c r="AD102" s="94"/>
      <c r="AE102" s="94"/>
      <c r="AF102" s="94"/>
      <c r="AG102" s="88">
        <f>AB102*(1+AG$57)</f>
        <v>37.748318230611268</v>
      </c>
      <c r="AH102" s="96"/>
      <c r="AI102" s="126"/>
      <c r="AJ102" s="97"/>
    </row>
    <row r="103" spans="1:36" s="93" customFormat="1" ht="12.95" customHeight="1">
      <c r="A103" s="92"/>
      <c r="B103" s="124" t="s">
        <v>81</v>
      </c>
      <c r="C103" s="89">
        <v>0</v>
      </c>
      <c r="D103" s="89">
        <v>0</v>
      </c>
      <c r="E103" s="89">
        <v>0</v>
      </c>
      <c r="F103" s="89">
        <v>5.9989999999999997</v>
      </c>
      <c r="G103" s="89">
        <v>5.3339999999999996</v>
      </c>
      <c r="H103" s="89">
        <v>4.6669999999999998</v>
      </c>
      <c r="I103" s="89">
        <v>4.976</v>
      </c>
      <c r="J103" s="89">
        <v>8.016</v>
      </c>
      <c r="K103" s="89">
        <v>8.4939999999999998</v>
      </c>
      <c r="L103" s="89">
        <v>10.736000000000001</v>
      </c>
      <c r="M103" s="89">
        <v>9.8260000000000005</v>
      </c>
      <c r="N103" s="89">
        <v>7.59</v>
      </c>
      <c r="O103" s="89">
        <v>8</v>
      </c>
      <c r="P103" s="89">
        <v>8.1</v>
      </c>
      <c r="Q103" s="89">
        <v>8.6</v>
      </c>
      <c r="R103" s="89">
        <v>8.6</v>
      </c>
      <c r="S103" s="89">
        <v>9.0749999999999993</v>
      </c>
      <c r="T103" s="89">
        <v>9.4580000000000002</v>
      </c>
      <c r="U103" s="88">
        <f>U144*(U13+U14+U15)/91</f>
        <v>9.0384615384615383</v>
      </c>
      <c r="V103" s="88">
        <f>V144*(V13+V14+V15)/91</f>
        <v>8.7543956043956044</v>
      </c>
      <c r="W103" s="181">
        <f t="shared" si="62"/>
        <v>8.7543956043956044</v>
      </c>
      <c r="X103" s="88"/>
      <c r="Y103" s="88"/>
      <c r="Z103" s="88"/>
      <c r="AA103" s="88"/>
      <c r="AB103" s="88">
        <f>AB144*(AB13+AB14+AB15)/365</f>
        <v>10.499140158208492</v>
      </c>
      <c r="AC103" s="94"/>
      <c r="AD103" s="94"/>
      <c r="AE103" s="94"/>
      <c r="AF103" s="94"/>
      <c r="AG103" s="88">
        <f>AG144*(AG13+AG14+AG15)/365</f>
        <v>10.740119855059733</v>
      </c>
      <c r="AH103" s="96"/>
      <c r="AI103" s="126"/>
      <c r="AJ103" s="97"/>
    </row>
    <row r="104" spans="1:36" s="93" customFormat="1" ht="12.95" customHeight="1">
      <c r="A104" s="92"/>
      <c r="B104" s="124" t="s">
        <v>108</v>
      </c>
      <c r="C104" s="89">
        <v>0</v>
      </c>
      <c r="D104" s="89">
        <v>0</v>
      </c>
      <c r="E104" s="89">
        <v>2.0640000000000001</v>
      </c>
      <c r="F104" s="89">
        <v>3.2080000000000002</v>
      </c>
      <c r="G104" s="89">
        <v>19.041</v>
      </c>
      <c r="H104" s="89">
        <v>5.4260000000000002</v>
      </c>
      <c r="I104" s="89">
        <v>10.958</v>
      </c>
      <c r="J104" s="89">
        <v>5.1449999999999996</v>
      </c>
      <c r="K104" s="89">
        <v>2.3119999999999998</v>
      </c>
      <c r="L104" s="89">
        <v>11.632</v>
      </c>
      <c r="M104" s="89">
        <v>4.0910000000000002</v>
      </c>
      <c r="N104" s="95">
        <v>0</v>
      </c>
      <c r="O104" s="95">
        <v>0</v>
      </c>
      <c r="P104" s="95">
        <v>0</v>
      </c>
      <c r="Q104" s="89">
        <f>R104</f>
        <v>6.0919999999999996</v>
      </c>
      <c r="R104" s="89">
        <v>6.0919999999999996</v>
      </c>
      <c r="S104" s="89">
        <v>0.95</v>
      </c>
      <c r="T104" s="89">
        <v>7.734</v>
      </c>
      <c r="U104" s="88">
        <f>T104*(1+U$57)</f>
        <v>8.3105294344753329</v>
      </c>
      <c r="V104" s="88">
        <f>U104*(1+V$57)</f>
        <v>8.8884016526903054</v>
      </c>
      <c r="W104" s="181">
        <f t="shared" si="62"/>
        <v>8.8884016526903054</v>
      </c>
      <c r="X104" s="88"/>
      <c r="Y104" s="88"/>
      <c r="Z104" s="88"/>
      <c r="AA104" s="88"/>
      <c r="AB104" s="88">
        <f>W104*(1+AB$57)</f>
        <v>9.3865866167172705</v>
      </c>
      <c r="AC104" s="94"/>
      <c r="AD104" s="94"/>
      <c r="AE104" s="94"/>
      <c r="AF104" s="94"/>
      <c r="AG104" s="88">
        <f>AB104*(1+AG$57)</f>
        <v>9.8318008080941421</v>
      </c>
      <c r="AH104" s="96"/>
      <c r="AI104" s="126"/>
      <c r="AJ104" s="97"/>
    </row>
    <row r="105" spans="1:36" s="93" customFormat="1" ht="12.95" customHeight="1">
      <c r="A105" s="92"/>
      <c r="B105" s="124" t="s">
        <v>179</v>
      </c>
      <c r="C105" s="89">
        <v>5.4370000000000003</v>
      </c>
      <c r="D105" s="89">
        <v>6.8259999999999996</v>
      </c>
      <c r="E105" s="89">
        <v>4.8639999999999999</v>
      </c>
      <c r="F105" s="89">
        <v>5.5179999999999998</v>
      </c>
      <c r="G105" s="89">
        <v>6.9320000000000004</v>
      </c>
      <c r="H105" s="89">
        <v>5.2160000000000002</v>
      </c>
      <c r="I105" s="89">
        <v>14.342000000000001</v>
      </c>
      <c r="J105" s="89">
        <v>14.813000000000001</v>
      </c>
      <c r="K105" s="89">
        <v>12.755000000000001</v>
      </c>
      <c r="L105" s="89">
        <v>15.343999999999999</v>
      </c>
      <c r="M105" s="89">
        <v>19.504999999999999</v>
      </c>
      <c r="N105" s="89">
        <v>18.890999999999998</v>
      </c>
      <c r="O105" s="89">
        <v>25.7</v>
      </c>
      <c r="P105" s="89">
        <v>20.89</v>
      </c>
      <c r="Q105" s="89">
        <v>25.916</v>
      </c>
      <c r="R105" s="89">
        <v>19.824000000000002</v>
      </c>
      <c r="S105" s="89">
        <v>20.731999999999999</v>
      </c>
      <c r="T105" s="89">
        <v>20</v>
      </c>
      <c r="U105" s="88">
        <f>T105*(1+U$57)</f>
        <v>21.490895873998795</v>
      </c>
      <c r="V105" s="88">
        <f>U105*(1+V$57)</f>
        <v>22.985264165219309</v>
      </c>
      <c r="W105" s="181">
        <f t="shared" si="62"/>
        <v>22.985264165219309</v>
      </c>
      <c r="X105" s="88"/>
      <c r="Y105" s="88"/>
      <c r="Z105" s="88"/>
      <c r="AA105" s="88"/>
      <c r="AB105" s="88">
        <f>W105*(1+AB$57)</f>
        <v>24.273562494743398</v>
      </c>
      <c r="AC105" s="94"/>
      <c r="AD105" s="94"/>
      <c r="AE105" s="94"/>
      <c r="AF105" s="94"/>
      <c r="AG105" s="88">
        <f>AB105*(1+AG$57)</f>
        <v>25.424879255480075</v>
      </c>
      <c r="AH105" s="96"/>
      <c r="AI105" s="126"/>
      <c r="AJ105" s="97"/>
    </row>
    <row r="106" spans="1:36" s="93" customFormat="1" ht="12.95" customHeight="1">
      <c r="A106" s="92"/>
      <c r="B106" s="125" t="s">
        <v>115</v>
      </c>
      <c r="C106" s="89">
        <v>3.7549999999999999</v>
      </c>
      <c r="D106" s="89">
        <v>0</v>
      </c>
      <c r="E106" s="89">
        <v>0</v>
      </c>
      <c r="F106" s="89">
        <v>0</v>
      </c>
      <c r="G106" s="89">
        <v>0</v>
      </c>
      <c r="H106" s="89">
        <v>0</v>
      </c>
      <c r="I106" s="89">
        <v>0</v>
      </c>
      <c r="J106" s="89">
        <v>0</v>
      </c>
      <c r="K106" s="89">
        <v>3.9260000000000002</v>
      </c>
      <c r="L106" s="89">
        <v>1.929</v>
      </c>
      <c r="M106" s="89">
        <v>1.345</v>
      </c>
      <c r="N106" s="95">
        <f>N107-N105-N103-N102-N101-N100</f>
        <v>7.1779999999999688</v>
      </c>
      <c r="O106" s="95">
        <f>O107-O105-O103-O102-O101-O100</f>
        <v>8.1159999999998718</v>
      </c>
      <c r="P106" s="95">
        <f>P107-P105-P103-P102-P101-P100</f>
        <v>19.539999999999964</v>
      </c>
      <c r="Q106" s="95">
        <f>R106</f>
        <v>3</v>
      </c>
      <c r="R106" s="95">
        <v>3</v>
      </c>
      <c r="S106" s="95">
        <v>2.0499999999999998</v>
      </c>
      <c r="T106" s="95">
        <v>0</v>
      </c>
      <c r="U106" s="94">
        <v>0</v>
      </c>
      <c r="V106" s="94">
        <v>0</v>
      </c>
      <c r="W106" s="181">
        <f t="shared" si="62"/>
        <v>0</v>
      </c>
      <c r="X106" s="94"/>
      <c r="Y106" s="94"/>
      <c r="Z106" s="94"/>
      <c r="AA106" s="94"/>
      <c r="AB106" s="94">
        <v>0</v>
      </c>
      <c r="AC106" s="94"/>
      <c r="AD106" s="94"/>
      <c r="AE106" s="94"/>
      <c r="AF106" s="94"/>
      <c r="AG106" s="94">
        <v>0</v>
      </c>
      <c r="AH106" s="96"/>
      <c r="AI106" s="127"/>
      <c r="AJ106" s="97"/>
    </row>
    <row r="107" spans="1:36" s="98" customFormat="1" ht="12.95" customHeight="1">
      <c r="A107" s="115"/>
      <c r="B107" s="122" t="s">
        <v>82</v>
      </c>
      <c r="C107" s="116">
        <f>SUM(C100:C106)</f>
        <v>293.11099999999999</v>
      </c>
      <c r="D107" s="116">
        <f t="shared" ref="D107:AG107" si="63">SUM(D100:D106)</f>
        <v>376.12799999999999</v>
      </c>
      <c r="E107" s="116">
        <f t="shared" si="63"/>
        <v>411.35</v>
      </c>
      <c r="F107" s="116">
        <f t="shared" si="63"/>
        <v>354.452</v>
      </c>
      <c r="G107" s="116">
        <f t="shared" si="63"/>
        <v>212.75299999999999</v>
      </c>
      <c r="H107" s="116">
        <f t="shared" si="63"/>
        <v>315.93299999999999</v>
      </c>
      <c r="I107" s="116">
        <f t="shared" si="63"/>
        <v>437.41500000000002</v>
      </c>
      <c r="J107" s="116">
        <f t="shared" si="63"/>
        <v>241.86799999999999</v>
      </c>
      <c r="K107" s="116">
        <f t="shared" si="63"/>
        <v>322.29299999999995</v>
      </c>
      <c r="L107" s="116">
        <f t="shared" si="63"/>
        <v>306.45199999999994</v>
      </c>
      <c r="M107" s="116">
        <f t="shared" si="63"/>
        <v>412.29100000000005</v>
      </c>
      <c r="N107" s="116">
        <v>457.76600000000002</v>
      </c>
      <c r="O107" s="116">
        <v>888.42499999999995</v>
      </c>
      <c r="P107" s="116">
        <v>954.45899999999995</v>
      </c>
      <c r="Q107" s="116">
        <v>734.58199999999999</v>
      </c>
      <c r="R107" s="116">
        <f t="shared" si="63"/>
        <v>734.06600000000003</v>
      </c>
      <c r="S107" s="116">
        <f t="shared" si="63"/>
        <v>785.64199999999994</v>
      </c>
      <c r="T107" s="116">
        <f t="shared" si="63"/>
        <v>506.99399999999997</v>
      </c>
      <c r="U107" s="116">
        <f t="shared" si="63"/>
        <v>570.00943857952484</v>
      </c>
      <c r="V107" s="116">
        <f t="shared" si="63"/>
        <v>611.06380483505814</v>
      </c>
      <c r="W107" s="182">
        <f t="shared" si="63"/>
        <v>611.06380483505814</v>
      </c>
      <c r="X107" s="116">
        <f t="shared" si="63"/>
        <v>0</v>
      </c>
      <c r="Y107" s="116">
        <f t="shared" si="63"/>
        <v>0</v>
      </c>
      <c r="Z107" s="116">
        <f t="shared" si="63"/>
        <v>0</v>
      </c>
      <c r="AA107" s="116">
        <f t="shared" si="63"/>
        <v>0</v>
      </c>
      <c r="AB107" s="116">
        <f t="shared" si="63"/>
        <v>623.50437769980635</v>
      </c>
      <c r="AC107" s="116">
        <f t="shared" si="63"/>
        <v>0</v>
      </c>
      <c r="AD107" s="116">
        <f t="shared" si="63"/>
        <v>0</v>
      </c>
      <c r="AE107" s="116">
        <f t="shared" si="63"/>
        <v>0</v>
      </c>
      <c r="AF107" s="116">
        <f t="shared" si="63"/>
        <v>0</v>
      </c>
      <c r="AG107" s="116">
        <f t="shared" si="63"/>
        <v>691.24126692042546</v>
      </c>
      <c r="AH107" s="117"/>
      <c r="AI107" s="128">
        <v>0</v>
      </c>
      <c r="AJ107" s="118"/>
    </row>
    <row r="108" spans="1:36" ht="12.95" customHeight="1">
      <c r="B108" s="121"/>
      <c r="C108" s="88"/>
      <c r="D108" s="88"/>
      <c r="E108" s="88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181"/>
      <c r="X108" s="88"/>
      <c r="Y108" s="88"/>
      <c r="Z108" s="88"/>
      <c r="AA108" s="88"/>
      <c r="AB108" s="88"/>
      <c r="AC108" s="88"/>
      <c r="AD108" s="88"/>
      <c r="AE108" s="88"/>
      <c r="AF108" s="88"/>
      <c r="AG108" s="88"/>
      <c r="AI108" s="126">
        <v>0</v>
      </c>
      <c r="AJ108" s="91"/>
    </row>
    <row r="109" spans="1:36" ht="12.95" customHeight="1">
      <c r="B109" s="124" t="s">
        <v>27</v>
      </c>
      <c r="C109" s="89">
        <v>257.66699999999997</v>
      </c>
      <c r="D109" s="89">
        <v>292.94900000000001</v>
      </c>
      <c r="E109" s="89">
        <v>341.94299999999998</v>
      </c>
      <c r="F109" s="89">
        <v>420.66399999999999</v>
      </c>
      <c r="G109" s="89">
        <v>510.34</v>
      </c>
      <c r="H109" s="89">
        <v>530.88599999999997</v>
      </c>
      <c r="I109" s="89">
        <v>573.51400000000001</v>
      </c>
      <c r="J109" s="89">
        <v>600.38800000000003</v>
      </c>
      <c r="K109" s="89">
        <v>587.16300000000001</v>
      </c>
      <c r="L109" s="89">
        <v>677.51700000000005</v>
      </c>
      <c r="M109" s="89">
        <v>692.38300000000004</v>
      </c>
      <c r="N109" s="89">
        <v>691.98099999999999</v>
      </c>
      <c r="O109" s="89">
        <v>688.24400000000003</v>
      </c>
      <c r="P109" s="89">
        <v>683.95600000000002</v>
      </c>
      <c r="Q109" s="89">
        <v>700.4</v>
      </c>
      <c r="R109" s="89">
        <v>700.4</v>
      </c>
      <c r="S109" s="89">
        <v>705.59</v>
      </c>
      <c r="T109" s="89">
        <v>744.22400000000005</v>
      </c>
      <c r="U109" s="88">
        <f>T109-U197-U171</f>
        <v>741.82400000000007</v>
      </c>
      <c r="V109" s="88">
        <f>U109-V197-V171</f>
        <v>744.62400000000002</v>
      </c>
      <c r="W109" s="181">
        <f t="shared" ref="W109:W113" si="64">V109</f>
        <v>744.62400000000002</v>
      </c>
      <c r="X109" s="88"/>
      <c r="Y109" s="88"/>
      <c r="Z109" s="88"/>
      <c r="AA109" s="88"/>
      <c r="AB109" s="88">
        <f>W109-AB197-AB171</f>
        <v>794.62400000000002</v>
      </c>
      <c r="AC109" s="88"/>
      <c r="AD109" s="88"/>
      <c r="AE109" s="88"/>
      <c r="AF109" s="88"/>
      <c r="AG109" s="88">
        <f>AB109-AG197-AG171</f>
        <v>815.62400000000002</v>
      </c>
      <c r="AI109" s="126"/>
      <c r="AJ109" s="91"/>
    </row>
    <row r="110" spans="1:36" ht="12.95" customHeight="1">
      <c r="B110" s="124" t="s">
        <v>28</v>
      </c>
      <c r="C110" s="89">
        <v>2.9409999999999998</v>
      </c>
      <c r="D110" s="89">
        <v>1.9379999999999999</v>
      </c>
      <c r="E110" s="89">
        <v>1.8740000000000001</v>
      </c>
      <c r="F110" s="89">
        <v>27.442</v>
      </c>
      <c r="G110" s="89">
        <v>21.901</v>
      </c>
      <c r="H110" s="89">
        <v>15.212</v>
      </c>
      <c r="I110" s="89">
        <v>13.016</v>
      </c>
      <c r="J110" s="89">
        <v>12.747999999999999</v>
      </c>
      <c r="K110" s="89">
        <v>7.9850000000000003</v>
      </c>
      <c r="L110" s="89">
        <v>17.706</v>
      </c>
      <c r="M110" s="89">
        <v>25.384</v>
      </c>
      <c r="N110" s="89">
        <f>M110-2</f>
        <v>23.384</v>
      </c>
      <c r="O110" s="89">
        <v>17.899999999999999</v>
      </c>
      <c r="P110" s="89">
        <v>17.899999999999999</v>
      </c>
      <c r="Q110" s="89">
        <v>17.899999999999999</v>
      </c>
      <c r="R110" s="89">
        <v>17.850000000000001</v>
      </c>
      <c r="S110" s="89">
        <v>16.228999999999999</v>
      </c>
      <c r="T110" s="89">
        <v>14.4</v>
      </c>
      <c r="U110" s="88">
        <f t="shared" ref="U110:V113" si="65">T110</f>
        <v>14.4</v>
      </c>
      <c r="V110" s="88">
        <f t="shared" si="65"/>
        <v>14.4</v>
      </c>
      <c r="W110" s="181">
        <f t="shared" si="64"/>
        <v>14.4</v>
      </c>
      <c r="X110" s="88"/>
      <c r="Y110" s="88"/>
      <c r="Z110" s="88"/>
      <c r="AA110" s="88"/>
      <c r="AB110" s="88">
        <f>W110</f>
        <v>14.4</v>
      </c>
      <c r="AC110" s="88"/>
      <c r="AD110" s="88"/>
      <c r="AE110" s="88"/>
      <c r="AF110" s="88"/>
      <c r="AG110" s="88">
        <f>AB110</f>
        <v>14.4</v>
      </c>
      <c r="AI110" s="126"/>
      <c r="AJ110" s="91"/>
    </row>
    <row r="111" spans="1:36" ht="12.95" customHeight="1">
      <c r="B111" s="124" t="s">
        <v>29</v>
      </c>
      <c r="C111" s="89">
        <v>112.691</v>
      </c>
      <c r="D111" s="89">
        <v>116.375</v>
      </c>
      <c r="E111" s="89">
        <v>112.291</v>
      </c>
      <c r="F111" s="89">
        <v>161.64500000000001</v>
      </c>
      <c r="G111" s="89">
        <v>177.16399999999999</v>
      </c>
      <c r="H111" s="89">
        <v>166.327</v>
      </c>
      <c r="I111" s="89">
        <v>175.87</v>
      </c>
      <c r="J111" s="89">
        <v>198.62</v>
      </c>
      <c r="K111" s="89">
        <v>196.43799999999999</v>
      </c>
      <c r="L111" s="89">
        <v>267.46300000000002</v>
      </c>
      <c r="M111" s="89">
        <v>283.63799999999998</v>
      </c>
      <c r="N111" s="89">
        <f>301.1-N110</f>
        <v>277.71600000000001</v>
      </c>
      <c r="O111" s="89">
        <f>291.19-O110</f>
        <v>273.29000000000002</v>
      </c>
      <c r="P111" s="89">
        <v>271.89999999999998</v>
      </c>
      <c r="Q111" s="89">
        <f>R111</f>
        <v>271.85000000000002</v>
      </c>
      <c r="R111" s="89">
        <v>271.85000000000002</v>
      </c>
      <c r="S111" s="89">
        <v>270.62</v>
      </c>
      <c r="T111" s="89">
        <v>264</v>
      </c>
      <c r="U111" s="88">
        <f t="shared" si="65"/>
        <v>264</v>
      </c>
      <c r="V111" s="88">
        <f t="shared" si="65"/>
        <v>264</v>
      </c>
      <c r="W111" s="181">
        <f t="shared" si="64"/>
        <v>264</v>
      </c>
      <c r="X111" s="88"/>
      <c r="Y111" s="88"/>
      <c r="Z111" s="88"/>
      <c r="AA111" s="88"/>
      <c r="AB111" s="88">
        <f>W111</f>
        <v>264</v>
      </c>
      <c r="AC111" s="88"/>
      <c r="AD111" s="88"/>
      <c r="AE111" s="88"/>
      <c r="AF111" s="88"/>
      <c r="AG111" s="88">
        <f>AB111</f>
        <v>264</v>
      </c>
      <c r="AI111" s="126"/>
      <c r="AJ111" s="91"/>
    </row>
    <row r="112" spans="1:36" ht="12.95" customHeight="1">
      <c r="B112" s="124" t="s">
        <v>30</v>
      </c>
      <c r="C112" s="89">
        <v>0</v>
      </c>
      <c r="D112" s="89">
        <v>0</v>
      </c>
      <c r="E112" s="89">
        <v>5.1369999999999996</v>
      </c>
      <c r="F112" s="89">
        <v>7.7850000000000001</v>
      </c>
      <c r="G112" s="89">
        <v>6.9379999999999997</v>
      </c>
      <c r="H112" s="89">
        <v>7.7590000000000003</v>
      </c>
      <c r="I112" s="89">
        <v>10.212999999999999</v>
      </c>
      <c r="J112" s="89">
        <v>9.4250000000000007</v>
      </c>
      <c r="K112" s="89">
        <v>22.28</v>
      </c>
      <c r="L112" s="89">
        <v>30.117000000000001</v>
      </c>
      <c r="M112" s="89">
        <v>36.720999999999997</v>
      </c>
      <c r="N112" s="89">
        <v>35.47</v>
      </c>
      <c r="O112" s="89">
        <v>37.520000000000003</v>
      </c>
      <c r="P112" s="89">
        <v>29.116</v>
      </c>
      <c r="Q112" s="89">
        <v>28.84</v>
      </c>
      <c r="R112" s="89">
        <v>28.84</v>
      </c>
      <c r="S112" s="89">
        <v>30.635999999999999</v>
      </c>
      <c r="T112" s="89">
        <v>31.431999999999999</v>
      </c>
      <c r="U112" s="88">
        <f t="shared" si="65"/>
        <v>31.431999999999999</v>
      </c>
      <c r="V112" s="88">
        <f t="shared" si="65"/>
        <v>31.431999999999999</v>
      </c>
      <c r="W112" s="181">
        <f t="shared" si="64"/>
        <v>31.431999999999999</v>
      </c>
      <c r="X112" s="88"/>
      <c r="Y112" s="88"/>
      <c r="Z112" s="88"/>
      <c r="AA112" s="88"/>
      <c r="AB112" s="88">
        <f>W112*(1+AB$57)</f>
        <v>33.193728418804746</v>
      </c>
      <c r="AC112" s="94"/>
      <c r="AD112" s="94"/>
      <c r="AE112" s="94"/>
      <c r="AF112" s="94"/>
      <c r="AG112" s="88">
        <f>AB112</f>
        <v>33.193728418804746</v>
      </c>
      <c r="AI112" s="126"/>
      <c r="AJ112" s="91"/>
    </row>
    <row r="113" spans="1:36" s="93" customFormat="1" ht="12.95" customHeight="1">
      <c r="A113" s="92"/>
      <c r="B113" s="125" t="s">
        <v>115</v>
      </c>
      <c r="C113" s="89">
        <v>6.6130000000000004</v>
      </c>
      <c r="D113" s="89">
        <v>6.1379999999999999</v>
      </c>
      <c r="E113" s="89">
        <v>22.11</v>
      </c>
      <c r="F113" s="89">
        <v>33.308</v>
      </c>
      <c r="G113" s="89">
        <v>27.151</v>
      </c>
      <c r="H113" s="89">
        <v>21.914999999999999</v>
      </c>
      <c r="I113" s="89">
        <v>18.783999999999999</v>
      </c>
      <c r="J113" s="89">
        <v>21.387</v>
      </c>
      <c r="K113" s="89">
        <v>18.907</v>
      </c>
      <c r="L113" s="89">
        <v>35.225999999999999</v>
      </c>
      <c r="M113" s="89">
        <v>56.387</v>
      </c>
      <c r="N113" s="95">
        <f>N114-SUM(N107:N112)</f>
        <v>50.262999999999693</v>
      </c>
      <c r="O113" s="95">
        <f>O114-SUM(O107:O112)</f>
        <v>46.692000000000007</v>
      </c>
      <c r="P113" s="95">
        <f>P114-SUM(P107:P112)</f>
        <v>45.638999999999896</v>
      </c>
      <c r="Q113" s="95">
        <f>Q114-SUM(Q107:Q112)</f>
        <v>46.128000000000156</v>
      </c>
      <c r="R113" s="95">
        <v>46.7</v>
      </c>
      <c r="S113" s="95">
        <v>47</v>
      </c>
      <c r="T113" s="95">
        <v>43.314</v>
      </c>
      <c r="U113" s="88">
        <f t="shared" si="65"/>
        <v>43.314</v>
      </c>
      <c r="V113" s="88">
        <f t="shared" si="65"/>
        <v>43.314</v>
      </c>
      <c r="W113" s="181">
        <f t="shared" si="64"/>
        <v>43.314</v>
      </c>
      <c r="X113" s="94"/>
      <c r="Y113" s="94"/>
      <c r="Z113" s="94"/>
      <c r="AA113" s="94"/>
      <c r="AB113" s="88">
        <f>W113</f>
        <v>43.314</v>
      </c>
      <c r="AC113" s="94"/>
      <c r="AD113" s="94"/>
      <c r="AE113" s="94"/>
      <c r="AF113" s="94"/>
      <c r="AG113" s="88">
        <f>AB113</f>
        <v>43.314</v>
      </c>
      <c r="AH113" s="96"/>
      <c r="AI113" s="127"/>
      <c r="AJ113" s="97"/>
    </row>
    <row r="114" spans="1:36" s="98" customFormat="1" ht="12.95" customHeight="1">
      <c r="A114" s="115"/>
      <c r="B114" s="122" t="s">
        <v>32</v>
      </c>
      <c r="C114" s="116">
        <f t="shared" ref="C114:M114" si="66">SUM(C107:C113)</f>
        <v>673.02300000000014</v>
      </c>
      <c r="D114" s="116">
        <f t="shared" si="66"/>
        <v>793.52800000000002</v>
      </c>
      <c r="E114" s="116">
        <f t="shared" si="66"/>
        <v>894.70500000000004</v>
      </c>
      <c r="F114" s="116">
        <f t="shared" si="66"/>
        <v>1005.2959999999999</v>
      </c>
      <c r="G114" s="116">
        <f t="shared" si="66"/>
        <v>956.24699999999984</v>
      </c>
      <c r="H114" s="116">
        <f t="shared" si="66"/>
        <v>1058.0319999999999</v>
      </c>
      <c r="I114" s="116">
        <f t="shared" si="66"/>
        <v>1228.8120000000001</v>
      </c>
      <c r="J114" s="116">
        <f t="shared" si="66"/>
        <v>1084.4360000000001</v>
      </c>
      <c r="K114" s="116">
        <f t="shared" si="66"/>
        <v>1155.0659999999998</v>
      </c>
      <c r="L114" s="116">
        <f t="shared" si="66"/>
        <v>1334.4810000000002</v>
      </c>
      <c r="M114" s="116">
        <f t="shared" si="66"/>
        <v>1506.8039999999999</v>
      </c>
      <c r="N114" s="116">
        <v>1536.58</v>
      </c>
      <c r="O114" s="116">
        <v>1952.0709999999999</v>
      </c>
      <c r="P114" s="116">
        <v>2002.97</v>
      </c>
      <c r="Q114" s="116">
        <v>1799.7</v>
      </c>
      <c r="R114" s="116">
        <f t="shared" ref="R114:AG114" si="67">SUM(R107:R113)</f>
        <v>1799.7059999999997</v>
      </c>
      <c r="S114" s="116">
        <f t="shared" si="67"/>
        <v>1855.7170000000001</v>
      </c>
      <c r="T114" s="116">
        <f t="shared" si="67"/>
        <v>1604.3640000000003</v>
      </c>
      <c r="U114" s="116">
        <f t="shared" si="67"/>
        <v>1664.9794385795251</v>
      </c>
      <c r="V114" s="116">
        <f t="shared" si="67"/>
        <v>1708.8338048350583</v>
      </c>
      <c r="W114" s="182">
        <f t="shared" si="67"/>
        <v>1708.8338048350583</v>
      </c>
      <c r="X114" s="116">
        <f t="shared" si="67"/>
        <v>0</v>
      </c>
      <c r="Y114" s="116">
        <f t="shared" si="67"/>
        <v>0</v>
      </c>
      <c r="Z114" s="116">
        <f t="shared" si="67"/>
        <v>0</v>
      </c>
      <c r="AA114" s="116">
        <f t="shared" si="67"/>
        <v>0</v>
      </c>
      <c r="AB114" s="116">
        <f t="shared" si="67"/>
        <v>1773.0361061186113</v>
      </c>
      <c r="AC114" s="116">
        <f t="shared" si="67"/>
        <v>0</v>
      </c>
      <c r="AD114" s="116">
        <f t="shared" si="67"/>
        <v>0</v>
      </c>
      <c r="AE114" s="116">
        <f t="shared" si="67"/>
        <v>0</v>
      </c>
      <c r="AF114" s="116">
        <f t="shared" si="67"/>
        <v>0</v>
      </c>
      <c r="AG114" s="116">
        <f t="shared" si="67"/>
        <v>1861.7729953392304</v>
      </c>
      <c r="AH114" s="117"/>
      <c r="AI114" s="128">
        <v>0</v>
      </c>
      <c r="AJ114" s="118"/>
    </row>
    <row r="115" spans="1:36" ht="12.95" customHeight="1">
      <c r="B115" s="121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183"/>
      <c r="X115" s="88"/>
      <c r="Y115" s="88"/>
      <c r="Z115" s="88"/>
      <c r="AA115" s="88"/>
      <c r="AB115" s="88"/>
      <c r="AC115" s="88"/>
      <c r="AD115" s="88"/>
      <c r="AE115" s="88"/>
      <c r="AF115" s="88"/>
      <c r="AG115" s="88"/>
      <c r="AI115" s="126">
        <v>0</v>
      </c>
      <c r="AJ115" s="91"/>
    </row>
    <row r="116" spans="1:36" ht="12.95" customHeight="1">
      <c r="B116" s="124" t="s">
        <v>112</v>
      </c>
      <c r="C116" s="89">
        <v>44.08</v>
      </c>
      <c r="D116" s="89">
        <v>56.965000000000003</v>
      </c>
      <c r="E116" s="89">
        <v>60.643999999999998</v>
      </c>
      <c r="F116" s="89">
        <v>85.081999999999994</v>
      </c>
      <c r="G116" s="89">
        <v>88.882999999999996</v>
      </c>
      <c r="H116" s="89">
        <v>82.772999999999996</v>
      </c>
      <c r="I116" s="89">
        <v>93.74</v>
      </c>
      <c r="J116" s="89">
        <v>101.708</v>
      </c>
      <c r="K116" s="89">
        <v>102.958</v>
      </c>
      <c r="L116" s="89">
        <v>136.648</v>
      </c>
      <c r="M116" s="89">
        <v>152.15600000000001</v>
      </c>
      <c r="N116" s="89">
        <v>153.79</v>
      </c>
      <c r="O116" s="89">
        <v>148.18</v>
      </c>
      <c r="P116" s="89">
        <v>154.25</v>
      </c>
      <c r="Q116" s="89">
        <v>147.19999999999999</v>
      </c>
      <c r="R116" s="89">
        <v>147.44999999999999</v>
      </c>
      <c r="S116" s="89">
        <v>147.34200000000001</v>
      </c>
      <c r="T116" s="89">
        <v>147.83000000000001</v>
      </c>
      <c r="U116" s="88">
        <f>U145*(U13+U14+U15)/91</f>
        <v>150</v>
      </c>
      <c r="V116" s="88">
        <f>V145*(V13+V14+V15)/91</f>
        <v>143.42307692307693</v>
      </c>
      <c r="W116" s="181">
        <f>V116</f>
        <v>143.42307692307693</v>
      </c>
      <c r="X116" s="88"/>
      <c r="Y116" s="88"/>
      <c r="Z116" s="88"/>
      <c r="AA116" s="88"/>
      <c r="AB116" s="88">
        <f>AB145*(AB13+AB14+AB15)/365</f>
        <v>137.44328934382028</v>
      </c>
      <c r="AC116" s="88"/>
      <c r="AD116" s="88"/>
      <c r="AE116" s="88"/>
      <c r="AF116" s="88"/>
      <c r="AG116" s="88">
        <f>AG145*(AG13+AG14+AG15)/365</f>
        <v>136.69243451894206</v>
      </c>
      <c r="AI116" s="126"/>
      <c r="AJ116" s="91"/>
    </row>
    <row r="117" spans="1:36" ht="12.95" customHeight="1">
      <c r="B117" s="124" t="s">
        <v>113</v>
      </c>
      <c r="C117" s="89">
        <v>9.7210000000000001</v>
      </c>
      <c r="D117" s="89">
        <v>12.477</v>
      </c>
      <c r="E117" s="89">
        <v>15.372</v>
      </c>
      <c r="F117" s="89">
        <v>13.897</v>
      </c>
      <c r="G117" s="89">
        <v>14.518000000000001</v>
      </c>
      <c r="H117" s="89">
        <v>13.164999999999999</v>
      </c>
      <c r="I117" s="89">
        <v>10.641999999999999</v>
      </c>
      <c r="J117" s="89">
        <v>5.6360000000000001</v>
      </c>
      <c r="K117" s="89">
        <v>5.39</v>
      </c>
      <c r="L117" s="89">
        <v>4.8319999999999999</v>
      </c>
      <c r="M117" s="89">
        <v>4.17</v>
      </c>
      <c r="N117" s="89">
        <v>3.8149999999999999</v>
      </c>
      <c r="O117" s="89">
        <v>4.5</v>
      </c>
      <c r="P117" s="89">
        <v>4.5999999999999996</v>
      </c>
      <c r="Q117" s="89">
        <v>3.7</v>
      </c>
      <c r="R117" s="89">
        <v>3.7240000000000002</v>
      </c>
      <c r="S117" s="89">
        <v>3.7189999999999999</v>
      </c>
      <c r="T117" s="89">
        <v>5.4779999999999998</v>
      </c>
      <c r="U117" s="88">
        <f>T117*(1+U$57)</f>
        <v>5.8863563798882694</v>
      </c>
      <c r="V117" s="88">
        <f>U117*(1+V$57)</f>
        <v>6.2956638548535677</v>
      </c>
      <c r="W117" s="181">
        <f t="shared" ref="W117:W121" si="68">V117</f>
        <v>6.2956638548535677</v>
      </c>
      <c r="X117" s="88"/>
      <c r="Y117" s="88"/>
      <c r="Z117" s="88"/>
      <c r="AA117" s="88"/>
      <c r="AB117" s="88">
        <f>W117*(1+AB$57)</f>
        <v>6.648528767310216</v>
      </c>
      <c r="AC117" s="94"/>
      <c r="AD117" s="94"/>
      <c r="AE117" s="94"/>
      <c r="AF117" s="94"/>
      <c r="AG117" s="88">
        <f>AB117*(1+AG$57)</f>
        <v>6.9638744280759912</v>
      </c>
      <c r="AI117" s="126"/>
      <c r="AJ117" s="91"/>
    </row>
    <row r="118" spans="1:36" ht="12.95" customHeight="1">
      <c r="B118" s="124" t="s">
        <v>34</v>
      </c>
      <c r="C118" s="89">
        <v>3.819</v>
      </c>
      <c r="D118" s="89">
        <v>7.2480000000000002</v>
      </c>
      <c r="E118" s="89">
        <v>0</v>
      </c>
      <c r="F118" s="89">
        <v>3.93</v>
      </c>
      <c r="G118" s="89">
        <v>4.0049999999999999</v>
      </c>
      <c r="H118" s="89">
        <v>5.2690000000000001</v>
      </c>
      <c r="I118" s="89">
        <v>1.3140000000000001</v>
      </c>
      <c r="J118" s="89">
        <v>3.5430000000000001</v>
      </c>
      <c r="K118" s="89">
        <v>3.0819999999999999</v>
      </c>
      <c r="L118" s="89">
        <v>4.7409999999999997</v>
      </c>
      <c r="M118" s="89">
        <v>8.2840000000000007</v>
      </c>
      <c r="N118" s="89">
        <v>0</v>
      </c>
      <c r="O118" s="89">
        <v>0</v>
      </c>
      <c r="P118" s="89">
        <v>0</v>
      </c>
      <c r="Q118" s="89">
        <v>0</v>
      </c>
      <c r="R118" s="89">
        <v>8.2789999999999999</v>
      </c>
      <c r="S118" s="89">
        <v>30.443999999999999</v>
      </c>
      <c r="T118" s="89">
        <v>12.629</v>
      </c>
      <c r="U118" s="88">
        <f>T118*(1+U$57)</f>
        <v>13.570426199636538</v>
      </c>
      <c r="V118" s="88">
        <f>U118*(1+V$57)</f>
        <v>14.514045057127731</v>
      </c>
      <c r="W118" s="181">
        <f t="shared" si="68"/>
        <v>14.514045057127731</v>
      </c>
      <c r="X118" s="88"/>
      <c r="Y118" s="88"/>
      <c r="Z118" s="88"/>
      <c r="AA118" s="88"/>
      <c r="AB118" s="88">
        <f>W118*(1+AB$57)</f>
        <v>15.327541037305718</v>
      </c>
      <c r="AC118" s="94"/>
      <c r="AD118" s="94"/>
      <c r="AE118" s="94"/>
      <c r="AF118" s="94"/>
      <c r="AG118" s="88">
        <f>AB118*(1+AG$57)</f>
        <v>16.054540005872891</v>
      </c>
      <c r="AI118" s="126"/>
      <c r="AJ118" s="91"/>
    </row>
    <row r="119" spans="1:36" ht="12.95" hidden="1" customHeight="1" outlineLevel="1">
      <c r="B119" s="124" t="s">
        <v>30</v>
      </c>
      <c r="C119" s="89">
        <v>5.4379999999999997</v>
      </c>
      <c r="D119" s="89">
        <v>3.2949999999999999</v>
      </c>
      <c r="E119" s="89">
        <v>7.1909999999999998</v>
      </c>
      <c r="F119" s="89">
        <v>3.2189999999999999</v>
      </c>
      <c r="G119" s="89">
        <v>2.7679999999999998</v>
      </c>
      <c r="H119" s="89">
        <v>1.948</v>
      </c>
      <c r="I119" s="89">
        <v>1.1539999999999999</v>
      </c>
      <c r="J119" s="89">
        <v>0.44</v>
      </c>
      <c r="K119" s="89">
        <v>0</v>
      </c>
      <c r="L119" s="89">
        <v>0</v>
      </c>
      <c r="M119" s="89">
        <v>0</v>
      </c>
      <c r="N119" s="89">
        <v>0</v>
      </c>
      <c r="O119" s="89">
        <v>0</v>
      </c>
      <c r="P119" s="89">
        <v>0</v>
      </c>
      <c r="Q119" s="89">
        <v>0</v>
      </c>
      <c r="R119" s="89">
        <v>0</v>
      </c>
      <c r="S119" s="89">
        <v>0</v>
      </c>
      <c r="T119" s="89">
        <v>0</v>
      </c>
      <c r="U119" s="88">
        <v>0</v>
      </c>
      <c r="V119" s="88">
        <v>0</v>
      </c>
      <c r="W119" s="181">
        <f t="shared" si="68"/>
        <v>0</v>
      </c>
      <c r="X119" s="88"/>
      <c r="Y119" s="88"/>
      <c r="Z119" s="88"/>
      <c r="AA119" s="88"/>
      <c r="AB119" s="88">
        <f>W119</f>
        <v>0</v>
      </c>
      <c r="AC119" s="88"/>
      <c r="AD119" s="88"/>
      <c r="AE119" s="88"/>
      <c r="AF119" s="88"/>
      <c r="AG119" s="88">
        <f>AB119</f>
        <v>0</v>
      </c>
      <c r="AI119" s="126"/>
      <c r="AJ119" s="91"/>
    </row>
    <row r="120" spans="1:36" ht="12.95" customHeight="1" collapsed="1">
      <c r="B120" s="124" t="s">
        <v>259</v>
      </c>
      <c r="C120" s="89">
        <v>0</v>
      </c>
      <c r="D120" s="89">
        <v>0</v>
      </c>
      <c r="E120" s="89">
        <v>0</v>
      </c>
      <c r="F120" s="89">
        <v>0</v>
      </c>
      <c r="G120" s="89">
        <v>0</v>
      </c>
      <c r="H120" s="89">
        <v>0</v>
      </c>
      <c r="I120" s="89">
        <v>0</v>
      </c>
      <c r="J120" s="89">
        <v>50.37</v>
      </c>
      <c r="K120" s="89">
        <v>75.17</v>
      </c>
      <c r="L120" s="89">
        <v>92.337999999999994</v>
      </c>
      <c r="M120" s="89">
        <v>79.674000000000007</v>
      </c>
      <c r="N120" s="89">
        <v>76</v>
      </c>
      <c r="O120" s="89">
        <v>76</v>
      </c>
      <c r="P120" s="89">
        <v>65</v>
      </c>
      <c r="Q120" s="89">
        <v>53</v>
      </c>
      <c r="R120" s="89">
        <v>53.670999999999999</v>
      </c>
      <c r="S120" s="89">
        <v>42.420999999999999</v>
      </c>
      <c r="T120" s="89">
        <v>99.171000000000006</v>
      </c>
      <c r="U120" s="88">
        <v>0</v>
      </c>
      <c r="V120" s="88">
        <v>0</v>
      </c>
      <c r="W120" s="181">
        <f t="shared" si="68"/>
        <v>0</v>
      </c>
      <c r="X120" s="88"/>
      <c r="Y120" s="88"/>
      <c r="Z120" s="88"/>
      <c r="AA120" s="88"/>
      <c r="AB120" s="88">
        <f>W120</f>
        <v>0</v>
      </c>
      <c r="AC120" s="88"/>
      <c r="AD120" s="88"/>
      <c r="AE120" s="88"/>
      <c r="AF120" s="88"/>
      <c r="AG120" s="88">
        <f>AB120</f>
        <v>0</v>
      </c>
      <c r="AI120" s="126"/>
      <c r="AJ120" s="91"/>
    </row>
    <row r="121" spans="1:36" s="93" customFormat="1" ht="12.95" customHeight="1">
      <c r="A121" s="92"/>
      <c r="B121" s="125" t="s">
        <v>114</v>
      </c>
      <c r="C121" s="89">
        <v>0.15790000000000001</v>
      </c>
      <c r="D121" s="89">
        <v>0.126</v>
      </c>
      <c r="E121" s="89">
        <v>0.126</v>
      </c>
      <c r="F121" s="89">
        <v>0.47399999999999998</v>
      </c>
      <c r="G121" s="89">
        <v>18.077999999999999</v>
      </c>
      <c r="H121" s="89">
        <v>0.42899999999999999</v>
      </c>
      <c r="I121" s="89">
        <v>0.374</v>
      </c>
      <c r="J121" s="89">
        <v>4.9290000000000003</v>
      </c>
      <c r="K121" s="89">
        <v>0.78500000000000003</v>
      </c>
      <c r="L121" s="89">
        <v>0</v>
      </c>
      <c r="M121" s="89">
        <v>0</v>
      </c>
      <c r="N121" s="95">
        <f>N122-SUM(N116:N120)</f>
        <v>26.085000000000008</v>
      </c>
      <c r="O121" s="95">
        <f>O122-SUM(O116:O120)</f>
        <v>6.0439999999999827</v>
      </c>
      <c r="P121" s="95">
        <f>P122-SUM(P116:P120)</f>
        <v>5.5980000000000132</v>
      </c>
      <c r="Q121" s="95">
        <f>Q122-SUM(Q116:Q120)</f>
        <v>9.2260000000000275</v>
      </c>
      <c r="R121" s="95">
        <v>0</v>
      </c>
      <c r="S121" s="95">
        <v>0</v>
      </c>
      <c r="T121" s="95">
        <v>0</v>
      </c>
      <c r="U121" s="94">
        <v>0</v>
      </c>
      <c r="V121" s="94">
        <v>0</v>
      </c>
      <c r="W121" s="181">
        <f t="shared" si="68"/>
        <v>0</v>
      </c>
      <c r="X121" s="94"/>
      <c r="Y121" s="94"/>
      <c r="Z121" s="94"/>
      <c r="AA121" s="94"/>
      <c r="AB121" s="94">
        <v>0</v>
      </c>
      <c r="AC121" s="94"/>
      <c r="AD121" s="94"/>
      <c r="AE121" s="94"/>
      <c r="AF121" s="94"/>
      <c r="AG121" s="94">
        <v>0</v>
      </c>
      <c r="AH121" s="96"/>
      <c r="AI121" s="127"/>
      <c r="AJ121" s="97"/>
    </row>
    <row r="122" spans="1:36" s="98" customFormat="1" ht="12.95" customHeight="1">
      <c r="A122" s="115"/>
      <c r="B122" s="122" t="s">
        <v>83</v>
      </c>
      <c r="C122" s="116">
        <f t="shared" ref="C122:M122" si="69">SUM(C116:C121)</f>
        <v>63.215900000000005</v>
      </c>
      <c r="D122" s="116">
        <f t="shared" si="69"/>
        <v>80.111000000000018</v>
      </c>
      <c r="E122" s="116">
        <f t="shared" si="69"/>
        <v>83.332999999999998</v>
      </c>
      <c r="F122" s="116">
        <f t="shared" si="69"/>
        <v>106.602</v>
      </c>
      <c r="G122" s="116">
        <f t="shared" si="69"/>
        <v>128.25199999999998</v>
      </c>
      <c r="H122" s="116">
        <f t="shared" si="69"/>
        <v>103.58399999999999</v>
      </c>
      <c r="I122" s="116">
        <f t="shared" si="69"/>
        <v>107.22399999999999</v>
      </c>
      <c r="J122" s="116">
        <f t="shared" si="69"/>
        <v>166.626</v>
      </c>
      <c r="K122" s="116">
        <f t="shared" si="69"/>
        <v>187.38499999999999</v>
      </c>
      <c r="L122" s="116">
        <f t="shared" si="69"/>
        <v>238.559</v>
      </c>
      <c r="M122" s="116">
        <f t="shared" si="69"/>
        <v>244.28399999999999</v>
      </c>
      <c r="N122" s="116">
        <v>259.69</v>
      </c>
      <c r="O122" s="116">
        <v>234.72399999999999</v>
      </c>
      <c r="P122" s="116">
        <v>229.44800000000001</v>
      </c>
      <c r="Q122" s="116">
        <v>213.126</v>
      </c>
      <c r="R122" s="116">
        <f t="shared" ref="R122:AG122" si="70">SUM(R116:R121)</f>
        <v>213.12399999999997</v>
      </c>
      <c r="S122" s="116">
        <f t="shared" si="70"/>
        <v>223.92599999999999</v>
      </c>
      <c r="T122" s="116">
        <f t="shared" si="70"/>
        <v>265.108</v>
      </c>
      <c r="U122" s="116">
        <f t="shared" si="70"/>
        <v>169.4567825795248</v>
      </c>
      <c r="V122" s="116">
        <f t="shared" si="70"/>
        <v>164.23278583505822</v>
      </c>
      <c r="W122" s="182">
        <f t="shared" si="70"/>
        <v>164.23278583505822</v>
      </c>
      <c r="X122" s="116">
        <f t="shared" si="70"/>
        <v>0</v>
      </c>
      <c r="Y122" s="116">
        <f t="shared" si="70"/>
        <v>0</v>
      </c>
      <c r="Z122" s="116">
        <f t="shared" si="70"/>
        <v>0</v>
      </c>
      <c r="AA122" s="116">
        <f t="shared" si="70"/>
        <v>0</v>
      </c>
      <c r="AB122" s="116">
        <f t="shared" si="70"/>
        <v>159.4193591484362</v>
      </c>
      <c r="AC122" s="116">
        <f t="shared" si="70"/>
        <v>0</v>
      </c>
      <c r="AD122" s="116">
        <f t="shared" si="70"/>
        <v>0</v>
      </c>
      <c r="AE122" s="116">
        <f t="shared" si="70"/>
        <v>0</v>
      </c>
      <c r="AF122" s="116">
        <f t="shared" si="70"/>
        <v>0</v>
      </c>
      <c r="AG122" s="116">
        <f t="shared" si="70"/>
        <v>159.71084895289096</v>
      </c>
      <c r="AH122" s="117"/>
      <c r="AI122" s="128">
        <v>0</v>
      </c>
      <c r="AJ122" s="118"/>
    </row>
    <row r="123" spans="1:36" ht="12.95" customHeight="1">
      <c r="B123" s="121"/>
      <c r="C123" s="88"/>
      <c r="D123" s="88"/>
      <c r="E123" s="88"/>
      <c r="F123" s="88"/>
      <c r="G123" s="88"/>
      <c r="H123" s="88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39"/>
      <c r="U123" s="88"/>
      <c r="V123" s="88"/>
      <c r="W123" s="181"/>
      <c r="X123" s="88"/>
      <c r="Y123" s="88"/>
      <c r="Z123" s="88"/>
      <c r="AA123" s="88"/>
      <c r="AB123" s="88"/>
      <c r="AC123" s="88"/>
      <c r="AD123" s="88"/>
      <c r="AE123" s="88"/>
      <c r="AF123" s="88"/>
      <c r="AG123" s="88"/>
      <c r="AI123" s="126">
        <v>0</v>
      </c>
      <c r="AJ123" s="91"/>
    </row>
    <row r="124" spans="1:36" ht="12.95" customHeight="1">
      <c r="B124" s="124" t="s">
        <v>33</v>
      </c>
      <c r="C124" s="89">
        <v>6.3548</v>
      </c>
      <c r="D124" s="89">
        <v>2.8780000000000001</v>
      </c>
      <c r="E124" s="89">
        <v>0</v>
      </c>
      <c r="F124" s="89">
        <v>13.997999999999999</v>
      </c>
      <c r="G124" s="89">
        <v>14.044</v>
      </c>
      <c r="H124" s="89">
        <v>10.997</v>
      </c>
      <c r="I124" s="89">
        <v>9.7479999999999993</v>
      </c>
      <c r="J124" s="89">
        <v>10.057</v>
      </c>
      <c r="K124" s="89">
        <v>7.1859999999999999</v>
      </c>
      <c r="L124" s="89">
        <v>8.0709999999999997</v>
      </c>
      <c r="M124" s="89">
        <v>7.3719999999999999</v>
      </c>
      <c r="N124" s="89">
        <v>6.85</v>
      </c>
      <c r="O124" s="89">
        <v>6.32</v>
      </c>
      <c r="P124" s="89">
        <v>6.33</v>
      </c>
      <c r="Q124" s="89">
        <v>5.3220000000000001</v>
      </c>
      <c r="R124" s="89">
        <v>5.3220000000000001</v>
      </c>
      <c r="S124" s="89">
        <v>5.194</v>
      </c>
      <c r="T124" s="89">
        <v>4.8680000000000003</v>
      </c>
      <c r="U124" s="88">
        <f>T124</f>
        <v>4.8680000000000003</v>
      </c>
      <c r="V124" s="88">
        <f>U124</f>
        <v>4.8680000000000003</v>
      </c>
      <c r="W124" s="181">
        <f>V124</f>
        <v>4.8680000000000003</v>
      </c>
      <c r="X124" s="88"/>
      <c r="Y124" s="88"/>
      <c r="Z124" s="88"/>
      <c r="AA124" s="88"/>
      <c r="AB124" s="88">
        <f>W124*(1+AB$57)</f>
        <v>5.1408459513470826</v>
      </c>
      <c r="AC124" s="94"/>
      <c r="AD124" s="94"/>
      <c r="AE124" s="94"/>
      <c r="AF124" s="94"/>
      <c r="AG124" s="88">
        <f>AB124</f>
        <v>5.1408459513470826</v>
      </c>
      <c r="AI124" s="126"/>
      <c r="AJ124" s="91"/>
    </row>
    <row r="125" spans="1:36" ht="12.95" customHeight="1">
      <c r="B125" s="124" t="s">
        <v>34</v>
      </c>
      <c r="C125" s="89">
        <v>0</v>
      </c>
      <c r="D125" s="89">
        <v>0</v>
      </c>
      <c r="E125" s="89">
        <v>0</v>
      </c>
      <c r="F125" s="89">
        <v>0</v>
      </c>
      <c r="G125" s="89">
        <v>12.218999999999999</v>
      </c>
      <c r="H125" s="89">
        <v>20.265999999999998</v>
      </c>
      <c r="I125" s="89">
        <v>23.369</v>
      </c>
      <c r="J125" s="89">
        <v>24.773</v>
      </c>
      <c r="K125" s="89">
        <v>22.530999999999999</v>
      </c>
      <c r="L125" s="89">
        <v>23.091000000000001</v>
      </c>
      <c r="M125" s="89">
        <v>23.771000000000001</v>
      </c>
      <c r="N125" s="89">
        <v>21.2</v>
      </c>
      <c r="O125" s="89">
        <f>N125</f>
        <v>21.2</v>
      </c>
      <c r="P125" s="89">
        <f>O125</f>
        <v>21.2</v>
      </c>
      <c r="Q125" s="89">
        <f>P125</f>
        <v>21.2</v>
      </c>
      <c r="R125" s="89">
        <v>21.157</v>
      </c>
      <c r="S125" s="89">
        <v>22.395</v>
      </c>
      <c r="T125" s="89">
        <v>23.696000000000002</v>
      </c>
      <c r="U125" s="88">
        <f>T125*(1+U$57)</f>
        <v>25.462413431513774</v>
      </c>
      <c r="V125" s="88">
        <f>U125</f>
        <v>25.462413431513774</v>
      </c>
      <c r="W125" s="181">
        <f>V125</f>
        <v>25.462413431513774</v>
      </c>
      <c r="X125" s="88"/>
      <c r="Y125" s="88"/>
      <c r="Z125" s="88"/>
      <c r="AA125" s="88"/>
      <c r="AB125" s="88">
        <f>W125*(1+AB$57)</f>
        <v>26.889553204791117</v>
      </c>
      <c r="AC125" s="94"/>
      <c r="AD125" s="94"/>
      <c r="AE125" s="94"/>
      <c r="AF125" s="94"/>
      <c r="AG125" s="88">
        <f>AB125</f>
        <v>26.889553204791117</v>
      </c>
      <c r="AI125" s="126"/>
      <c r="AJ125" s="91"/>
    </row>
    <row r="126" spans="1:36" ht="12.95" customHeight="1">
      <c r="B126" s="124" t="s">
        <v>35</v>
      </c>
      <c r="C126" s="89">
        <v>8.8999999999999999E-3</v>
      </c>
      <c r="D126" s="89">
        <v>0</v>
      </c>
      <c r="E126" s="89">
        <v>0</v>
      </c>
      <c r="F126" s="89">
        <v>0</v>
      </c>
      <c r="G126" s="89">
        <v>0</v>
      </c>
      <c r="H126" s="89">
        <v>0</v>
      </c>
      <c r="I126" s="89">
        <v>0</v>
      </c>
      <c r="J126" s="89">
        <v>325.38600000000002</v>
      </c>
      <c r="K126" s="89">
        <v>368.95</v>
      </c>
      <c r="L126" s="89">
        <v>296.41000000000003</v>
      </c>
      <c r="M126" s="89">
        <v>223.227</v>
      </c>
      <c r="N126" s="89">
        <v>203.86799999999999</v>
      </c>
      <c r="O126" s="89">
        <v>608.23599999999999</v>
      </c>
      <c r="P126" s="89">
        <v>599.95100000000002</v>
      </c>
      <c r="Q126" s="89">
        <v>592.13499999999999</v>
      </c>
      <c r="R126" s="89">
        <v>592.13499999999999</v>
      </c>
      <c r="S126" s="89">
        <v>584.29999999999995</v>
      </c>
      <c r="T126" s="89">
        <v>576.50099999999998</v>
      </c>
      <c r="U126" s="88">
        <f>(T126+T120)+U210</f>
        <v>656.87200000000007</v>
      </c>
      <c r="V126" s="88">
        <f>U126+V210</f>
        <v>638.07200000000012</v>
      </c>
      <c r="W126" s="181">
        <f>V126</f>
        <v>638.07200000000012</v>
      </c>
      <c r="X126" s="88"/>
      <c r="Y126" s="88"/>
      <c r="Z126" s="88"/>
      <c r="AA126" s="88"/>
      <c r="AB126" s="88">
        <f>W126+AB210</f>
        <v>608.07200000000012</v>
      </c>
      <c r="AC126" s="88"/>
      <c r="AD126" s="88"/>
      <c r="AE126" s="88"/>
      <c r="AF126" s="88"/>
      <c r="AG126" s="88">
        <f>AB126+AG210</f>
        <v>578.07200000000012</v>
      </c>
      <c r="AI126" s="126"/>
      <c r="AJ126" s="91"/>
    </row>
    <row r="127" spans="1:36" s="93" customFormat="1" ht="12.95" customHeight="1">
      <c r="A127" s="92"/>
      <c r="B127" s="125" t="s">
        <v>36</v>
      </c>
      <c r="C127" s="89">
        <v>1.1729000000000001</v>
      </c>
      <c r="D127" s="89">
        <v>1.1599999999999999</v>
      </c>
      <c r="E127" s="89">
        <v>1.4019999999999999</v>
      </c>
      <c r="F127" s="89">
        <v>3.8780000000000001</v>
      </c>
      <c r="G127" s="89">
        <v>2.7360000000000002</v>
      </c>
      <c r="H127" s="89">
        <v>1.726</v>
      </c>
      <c r="I127" s="89">
        <v>1.2370000000000001</v>
      </c>
      <c r="J127" s="89">
        <v>2.4220000000000002</v>
      </c>
      <c r="K127" s="89">
        <v>7.8970000000000002</v>
      </c>
      <c r="L127" s="89">
        <v>5.9489999999999998</v>
      </c>
      <c r="M127" s="89">
        <v>4.6509999999999998</v>
      </c>
      <c r="N127" s="95">
        <f>N128-N126-N125-N124-N122</f>
        <v>7.5419999999998595</v>
      </c>
      <c r="O127" s="95">
        <f>O128-O126-O125-O124-O122</f>
        <v>8.3599999999999568</v>
      </c>
      <c r="P127" s="95">
        <f>P128-P126-P125-P124-P122</f>
        <v>10.079999999999984</v>
      </c>
      <c r="Q127" s="95">
        <f>Q128-Q126-Q125-Q124-Q122</f>
        <v>3.453000000000003</v>
      </c>
      <c r="R127" s="95">
        <v>3.7480000000000002</v>
      </c>
      <c r="S127" s="95">
        <v>3.3</v>
      </c>
      <c r="T127" s="95">
        <v>2.78</v>
      </c>
      <c r="U127" s="94">
        <f>T127</f>
        <v>2.78</v>
      </c>
      <c r="V127" s="94">
        <f>U127</f>
        <v>2.78</v>
      </c>
      <c r="W127" s="184">
        <f>V127</f>
        <v>2.78</v>
      </c>
      <c r="X127" s="94"/>
      <c r="Y127" s="94"/>
      <c r="Z127" s="94"/>
      <c r="AA127" s="94"/>
      <c r="AB127" s="94">
        <v>2.8</v>
      </c>
      <c r="AC127" s="94"/>
      <c r="AD127" s="94"/>
      <c r="AE127" s="94"/>
      <c r="AF127" s="94"/>
      <c r="AG127" s="94">
        <f>AB127</f>
        <v>2.8</v>
      </c>
      <c r="AH127" s="96"/>
      <c r="AI127" s="127"/>
      <c r="AJ127" s="97"/>
    </row>
    <row r="128" spans="1:36" s="98" customFormat="1" ht="12.95" customHeight="1">
      <c r="A128" s="115"/>
      <c r="B128" s="122" t="s">
        <v>37</v>
      </c>
      <c r="C128" s="116">
        <f t="shared" ref="C128:I128" si="71">SUM(C122:C127)</f>
        <v>70.752499999999998</v>
      </c>
      <c r="D128" s="116">
        <f t="shared" si="71"/>
        <v>84.149000000000015</v>
      </c>
      <c r="E128" s="116">
        <f t="shared" si="71"/>
        <v>84.734999999999999</v>
      </c>
      <c r="F128" s="116">
        <f t="shared" si="71"/>
        <v>124.47800000000001</v>
      </c>
      <c r="G128" s="116">
        <f t="shared" si="71"/>
        <v>157.25099999999998</v>
      </c>
      <c r="H128" s="116">
        <f t="shared" si="71"/>
        <v>136.57299999999998</v>
      </c>
      <c r="I128" s="116">
        <f t="shared" si="71"/>
        <v>141.578</v>
      </c>
      <c r="J128" s="116">
        <f t="shared" ref="J128:AG128" si="72">SUM(J122:J127)</f>
        <v>529.26400000000001</v>
      </c>
      <c r="K128" s="116">
        <f t="shared" si="72"/>
        <v>593.94900000000007</v>
      </c>
      <c r="L128" s="116">
        <f t="shared" si="72"/>
        <v>572.08000000000004</v>
      </c>
      <c r="M128" s="116">
        <f t="shared" si="72"/>
        <v>503.30500000000001</v>
      </c>
      <c r="N128" s="116">
        <f>N131-N130</f>
        <v>499.14999999999986</v>
      </c>
      <c r="O128" s="116">
        <f>O131-O130</f>
        <v>878.83999999999992</v>
      </c>
      <c r="P128" s="116">
        <f>P131-P130</f>
        <v>867.00900000000001</v>
      </c>
      <c r="Q128" s="116">
        <f>Q131-Q130</f>
        <v>835.23599999999999</v>
      </c>
      <c r="R128" s="116">
        <f t="shared" si="72"/>
        <v>835.48599999999999</v>
      </c>
      <c r="S128" s="116">
        <f t="shared" si="72"/>
        <v>839.1149999999999</v>
      </c>
      <c r="T128" s="116">
        <f t="shared" si="72"/>
        <v>872.95299999999997</v>
      </c>
      <c r="U128" s="116">
        <f t="shared" si="72"/>
        <v>859.43919601103858</v>
      </c>
      <c r="V128" s="116">
        <f t="shared" si="72"/>
        <v>835.41519926657202</v>
      </c>
      <c r="W128" s="182">
        <f t="shared" si="72"/>
        <v>835.41519926657202</v>
      </c>
      <c r="X128" s="116">
        <f t="shared" si="72"/>
        <v>0</v>
      </c>
      <c r="Y128" s="116">
        <f t="shared" si="72"/>
        <v>0</v>
      </c>
      <c r="Z128" s="116">
        <f t="shared" si="72"/>
        <v>0</v>
      </c>
      <c r="AA128" s="116">
        <f t="shared" si="72"/>
        <v>0</v>
      </c>
      <c r="AB128" s="116">
        <f t="shared" si="72"/>
        <v>802.32175830457447</v>
      </c>
      <c r="AC128" s="116">
        <f t="shared" si="72"/>
        <v>0</v>
      </c>
      <c r="AD128" s="116">
        <f t="shared" si="72"/>
        <v>0</v>
      </c>
      <c r="AE128" s="116">
        <f t="shared" si="72"/>
        <v>0</v>
      </c>
      <c r="AF128" s="116">
        <f t="shared" si="72"/>
        <v>0</v>
      </c>
      <c r="AG128" s="116">
        <f t="shared" si="72"/>
        <v>772.6132481090292</v>
      </c>
      <c r="AH128" s="117"/>
      <c r="AI128" s="128">
        <v>0</v>
      </c>
      <c r="AJ128" s="118"/>
    </row>
    <row r="129" spans="1:36" ht="12.95" customHeight="1">
      <c r="B129" s="121"/>
      <c r="C129" s="88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181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I129" s="126">
        <v>0</v>
      </c>
      <c r="AJ129" s="91"/>
    </row>
    <row r="130" spans="1:36" ht="12.95" customHeight="1">
      <c r="B130" s="121" t="s">
        <v>84</v>
      </c>
      <c r="C130" s="89">
        <v>602.26300000000003</v>
      </c>
      <c r="D130" s="89">
        <v>709.37900000000002</v>
      </c>
      <c r="E130" s="89">
        <v>809.97</v>
      </c>
      <c r="F130" s="89">
        <v>880.86599999999999</v>
      </c>
      <c r="G130" s="89">
        <v>798.99599999999998</v>
      </c>
      <c r="H130" s="89">
        <v>921.45899999999995</v>
      </c>
      <c r="I130" s="89">
        <v>1087.2339999999999</v>
      </c>
      <c r="J130" s="89">
        <v>555.17200000000003</v>
      </c>
      <c r="K130" s="89">
        <v>561.11699999999996</v>
      </c>
      <c r="L130" s="89">
        <v>762.40099999999995</v>
      </c>
      <c r="M130" s="89">
        <v>1003.499</v>
      </c>
      <c r="N130" s="89">
        <v>1037.43</v>
      </c>
      <c r="O130" s="89">
        <v>1073.23</v>
      </c>
      <c r="P130" s="89">
        <v>1135.9680000000001</v>
      </c>
      <c r="Q130" s="89">
        <v>964.46400000000006</v>
      </c>
      <c r="R130" s="89">
        <v>964.2</v>
      </c>
      <c r="S130" s="89">
        <v>1016.545</v>
      </c>
      <c r="T130" s="89">
        <v>731.4</v>
      </c>
      <c r="U130" s="88">
        <f>T130+U26+U206+U204+U174</f>
        <v>805.54065600000001</v>
      </c>
      <c r="V130" s="88">
        <f>U130+V26+V206+V204+V174</f>
        <v>873.41901900000005</v>
      </c>
      <c r="W130" s="181">
        <f>V130</f>
        <v>873.41901900000005</v>
      </c>
      <c r="X130" s="88"/>
      <c r="Y130" s="88"/>
      <c r="Z130" s="88"/>
      <c r="AA130" s="88"/>
      <c r="AB130" s="88">
        <f>W130+AB26+AB206+AB204+AB174</f>
        <v>970.67301855137009</v>
      </c>
      <c r="AC130" s="88"/>
      <c r="AD130" s="88"/>
      <c r="AE130" s="88"/>
      <c r="AF130" s="88"/>
      <c r="AG130" s="88">
        <f>AB130+AG26+AG206+AG204+AG174</f>
        <v>1089.1184179675342</v>
      </c>
      <c r="AI130" s="126">
        <v>0</v>
      </c>
      <c r="AJ130" s="91"/>
    </row>
    <row r="131" spans="1:36" s="98" customFormat="1" ht="12.95" customHeight="1">
      <c r="A131" s="115"/>
      <c r="B131" s="122" t="s">
        <v>85</v>
      </c>
      <c r="C131" s="116">
        <f>C130+C128</f>
        <v>673.01549999999997</v>
      </c>
      <c r="D131" s="116">
        <f t="shared" ref="D131:AG131" si="73">D130+D128</f>
        <v>793.52800000000002</v>
      </c>
      <c r="E131" s="116">
        <f t="shared" si="73"/>
        <v>894.70500000000004</v>
      </c>
      <c r="F131" s="116">
        <f t="shared" si="73"/>
        <v>1005.3440000000001</v>
      </c>
      <c r="G131" s="116">
        <f t="shared" si="73"/>
        <v>956.24699999999996</v>
      </c>
      <c r="H131" s="116">
        <f t="shared" si="73"/>
        <v>1058.0319999999999</v>
      </c>
      <c r="I131" s="116">
        <f t="shared" si="73"/>
        <v>1228.8119999999999</v>
      </c>
      <c r="J131" s="116">
        <f t="shared" si="73"/>
        <v>1084.4360000000001</v>
      </c>
      <c r="K131" s="116">
        <f t="shared" si="73"/>
        <v>1155.066</v>
      </c>
      <c r="L131" s="116">
        <f t="shared" si="73"/>
        <v>1334.481</v>
      </c>
      <c r="M131" s="116">
        <f t="shared" si="73"/>
        <v>1506.8040000000001</v>
      </c>
      <c r="N131" s="116">
        <v>1536.58</v>
      </c>
      <c r="O131" s="116">
        <v>1952.07</v>
      </c>
      <c r="P131" s="116">
        <v>2002.9770000000001</v>
      </c>
      <c r="Q131" s="116">
        <v>1799.7</v>
      </c>
      <c r="R131" s="116">
        <f t="shared" si="73"/>
        <v>1799.6860000000001</v>
      </c>
      <c r="S131" s="116">
        <f t="shared" si="73"/>
        <v>1855.6599999999999</v>
      </c>
      <c r="T131" s="116">
        <f t="shared" si="73"/>
        <v>1604.3530000000001</v>
      </c>
      <c r="U131" s="116">
        <f t="shared" si="73"/>
        <v>1664.9798520110385</v>
      </c>
      <c r="V131" s="116">
        <f t="shared" si="73"/>
        <v>1708.834218266572</v>
      </c>
      <c r="W131" s="182">
        <f t="shared" si="73"/>
        <v>1708.834218266572</v>
      </c>
      <c r="X131" s="116">
        <f t="shared" si="73"/>
        <v>0</v>
      </c>
      <c r="Y131" s="116">
        <f t="shared" si="73"/>
        <v>0</v>
      </c>
      <c r="Z131" s="116">
        <f t="shared" si="73"/>
        <v>0</v>
      </c>
      <c r="AA131" s="116">
        <f t="shared" si="73"/>
        <v>0</v>
      </c>
      <c r="AB131" s="116">
        <f t="shared" si="73"/>
        <v>1772.9947768559446</v>
      </c>
      <c r="AC131" s="116">
        <f t="shared" si="73"/>
        <v>0</v>
      </c>
      <c r="AD131" s="116">
        <f t="shared" si="73"/>
        <v>0</v>
      </c>
      <c r="AE131" s="116">
        <f t="shared" si="73"/>
        <v>0</v>
      </c>
      <c r="AF131" s="116">
        <f t="shared" si="73"/>
        <v>0</v>
      </c>
      <c r="AG131" s="116">
        <f t="shared" si="73"/>
        <v>1861.7316660765634</v>
      </c>
      <c r="AH131" s="117"/>
      <c r="AI131" s="128">
        <v>0</v>
      </c>
      <c r="AJ131" s="118"/>
    </row>
    <row r="132" spans="1:36" ht="12.95" customHeight="1" thickBot="1">
      <c r="B132" s="99"/>
      <c r="C132" s="100"/>
      <c r="D132" s="100"/>
      <c r="E132" s="100"/>
      <c r="F132" s="100"/>
      <c r="G132" s="100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311" t="s">
        <v>281</v>
      </c>
      <c r="U132" s="312">
        <f>U114-U131</f>
        <v>-4.1343151337969175E-4</v>
      </c>
      <c r="V132" s="312">
        <f t="shared" ref="V132:AG132" si="74">V114-V131</f>
        <v>-4.1343151360706543E-4</v>
      </c>
      <c r="W132" s="312">
        <f t="shared" si="74"/>
        <v>-4.1343151360706543E-4</v>
      </c>
      <c r="X132" s="312">
        <f t="shared" si="74"/>
        <v>0</v>
      </c>
      <c r="Y132" s="312">
        <f t="shared" si="74"/>
        <v>0</v>
      </c>
      <c r="Z132" s="312">
        <f t="shared" si="74"/>
        <v>0</v>
      </c>
      <c r="AA132" s="312">
        <f t="shared" si="74"/>
        <v>0</v>
      </c>
      <c r="AB132" s="312">
        <f t="shared" si="74"/>
        <v>4.1329262666749855E-2</v>
      </c>
      <c r="AC132" s="312">
        <f t="shared" si="74"/>
        <v>0</v>
      </c>
      <c r="AD132" s="312">
        <f t="shared" si="74"/>
        <v>0</v>
      </c>
      <c r="AE132" s="312">
        <f t="shared" si="74"/>
        <v>0</v>
      </c>
      <c r="AF132" s="312">
        <f t="shared" si="74"/>
        <v>0</v>
      </c>
      <c r="AG132" s="312">
        <f t="shared" si="74"/>
        <v>4.1329262666977229E-2</v>
      </c>
      <c r="AI132" s="54"/>
      <c r="AJ132" s="91"/>
    </row>
    <row r="133" spans="1:36" ht="12.95" customHeight="1"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181"/>
      <c r="X133" s="88"/>
      <c r="Y133" s="88"/>
      <c r="Z133" s="88"/>
      <c r="AA133" s="88"/>
      <c r="AB133" s="88"/>
      <c r="AC133" s="88"/>
      <c r="AD133" s="88"/>
      <c r="AE133" s="88"/>
      <c r="AF133" s="88"/>
      <c r="AG133" s="88"/>
      <c r="AI133" s="54">
        <v>0</v>
      </c>
      <c r="AJ133" s="91"/>
    </row>
    <row r="134" spans="1:36" ht="12.95" customHeight="1">
      <c r="B134" s="50" t="s">
        <v>346</v>
      </c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2"/>
      <c r="AI134" s="54"/>
      <c r="AJ134" s="91"/>
    </row>
    <row r="135" spans="1:36" ht="12.95" customHeight="1"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181"/>
      <c r="X135" s="88"/>
      <c r="Y135" s="88"/>
      <c r="Z135" s="88"/>
      <c r="AA135" s="88"/>
      <c r="AB135" s="88"/>
      <c r="AC135" s="88"/>
      <c r="AD135" s="88"/>
      <c r="AE135" s="88"/>
      <c r="AF135" s="88"/>
      <c r="AG135" s="88"/>
      <c r="AI135" s="54"/>
      <c r="AJ135" s="91"/>
    </row>
    <row r="136" spans="1:36" ht="12.95" customHeight="1">
      <c r="B136" s="102" t="s">
        <v>86</v>
      </c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181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I136" s="54"/>
      <c r="AJ136" s="91"/>
    </row>
    <row r="137" spans="1:36" ht="12.95" customHeight="1">
      <c r="B137" s="32" t="s">
        <v>348</v>
      </c>
      <c r="C137" s="88">
        <f>C126+C120-C100</f>
        <v>-178.31109999999998</v>
      </c>
      <c r="D137" s="88">
        <f t="shared" ref="D137:AG137" si="75">D126+D120-D100</f>
        <v>-252.548</v>
      </c>
      <c r="E137" s="88">
        <f t="shared" si="75"/>
        <v>-275.315</v>
      </c>
      <c r="F137" s="88">
        <f t="shared" si="75"/>
        <v>-200.99</v>
      </c>
      <c r="G137" s="88">
        <f t="shared" si="75"/>
        <v>-38.954000000000001</v>
      </c>
      <c r="H137" s="88">
        <f t="shared" si="75"/>
        <v>-162.691</v>
      </c>
      <c r="I137" s="88">
        <f t="shared" si="75"/>
        <v>-268.18799999999999</v>
      </c>
      <c r="J137" s="88">
        <f t="shared" si="75"/>
        <v>301.74700000000001</v>
      </c>
      <c r="K137" s="88">
        <f t="shared" si="75"/>
        <v>304.00800000000004</v>
      </c>
      <c r="L137" s="88">
        <f t="shared" si="75"/>
        <v>325.11700000000008</v>
      </c>
      <c r="M137" s="88">
        <f t="shared" si="75"/>
        <v>144.233</v>
      </c>
      <c r="N137" s="88">
        <f t="shared" si="75"/>
        <v>83.954999999999956</v>
      </c>
      <c r="O137" s="88">
        <f t="shared" si="75"/>
        <v>99.19399999999996</v>
      </c>
      <c r="P137" s="88">
        <f t="shared" si="75"/>
        <v>0.67700000000002092</v>
      </c>
      <c r="Q137" s="88">
        <f t="shared" si="75"/>
        <v>207.17899999999997</v>
      </c>
      <c r="R137" s="88">
        <f t="shared" si="75"/>
        <v>189.79600000000005</v>
      </c>
      <c r="S137" s="88">
        <f t="shared" si="75"/>
        <v>131.92099999999999</v>
      </c>
      <c r="T137" s="88">
        <f t="shared" si="75"/>
        <v>516.79100000000005</v>
      </c>
      <c r="U137" s="88">
        <f t="shared" si="75"/>
        <v>403.21785829461396</v>
      </c>
      <c r="V137" s="88">
        <f t="shared" si="75"/>
        <v>347.27904400763396</v>
      </c>
      <c r="W137" s="181">
        <f t="shared" si="75"/>
        <v>347.27904400763396</v>
      </c>
      <c r="X137" s="88">
        <f t="shared" si="75"/>
        <v>0</v>
      </c>
      <c r="Y137" s="88">
        <f t="shared" si="75"/>
        <v>0</v>
      </c>
      <c r="Z137" s="88">
        <f t="shared" si="75"/>
        <v>0</v>
      </c>
      <c r="AA137" s="88">
        <f t="shared" si="75"/>
        <v>0</v>
      </c>
      <c r="AB137" s="88">
        <f t="shared" si="75"/>
        <v>309.77183781402766</v>
      </c>
      <c r="AC137" s="88">
        <f t="shared" si="75"/>
        <v>0</v>
      </c>
      <c r="AD137" s="88">
        <f t="shared" si="75"/>
        <v>0</v>
      </c>
      <c r="AE137" s="88">
        <f t="shared" si="75"/>
        <v>0</v>
      </c>
      <c r="AF137" s="88">
        <f t="shared" si="75"/>
        <v>0</v>
      </c>
      <c r="AG137" s="88">
        <f t="shared" si="75"/>
        <v>219.87047638703365</v>
      </c>
      <c r="AI137" s="54">
        <v>0</v>
      </c>
      <c r="AJ137" s="91"/>
    </row>
    <row r="138" spans="1:36" ht="12.95" customHeight="1">
      <c r="B138" s="32" t="s">
        <v>338</v>
      </c>
      <c r="C138" s="103">
        <f t="shared" ref="C138:R138" si="76">C137/C21</f>
        <v>-1.1476228694192028</v>
      </c>
      <c r="D138" s="103">
        <f t="shared" si="76"/>
        <v>-1.612437350359138</v>
      </c>
      <c r="E138" s="103">
        <f t="shared" si="76"/>
        <v>-1.6047551322553943</v>
      </c>
      <c r="F138" s="103">
        <f t="shared" si="76"/>
        <v>-0.94443086985940905</v>
      </c>
      <c r="G138" s="103">
        <f t="shared" si="76"/>
        <v>-0.13877844755105234</v>
      </c>
      <c r="H138" s="103">
        <f t="shared" si="76"/>
        <v>-0.60173243432172818</v>
      </c>
      <c r="I138" s="103">
        <f t="shared" si="76"/>
        <v>-0.97874545640336919</v>
      </c>
      <c r="J138" s="103">
        <f t="shared" si="76"/>
        <v>0.97057839649526856</v>
      </c>
      <c r="K138" s="103">
        <f t="shared" si="76"/>
        <v>0.90893271981989265</v>
      </c>
      <c r="L138" s="103">
        <f t="shared" si="76"/>
        <v>0.95701460025903695</v>
      </c>
      <c r="M138" s="103">
        <f t="shared" si="76"/>
        <v>0.43885704201353393</v>
      </c>
      <c r="N138" s="103">
        <f t="shared" si="76"/>
        <v>0.87119168188610285</v>
      </c>
      <c r="O138" s="103">
        <f t="shared" si="76"/>
        <v>1.0797448513083987</v>
      </c>
      <c r="P138" s="103">
        <f t="shared" si="76"/>
        <v>6.3283448153377856E-3</v>
      </c>
      <c r="Q138" s="103">
        <f t="shared" si="76"/>
        <v>2.1123686008217866</v>
      </c>
      <c r="R138" s="103">
        <f t="shared" si="76"/>
        <v>0.48258046143597427</v>
      </c>
      <c r="S138" s="103">
        <f>S137/(S21+Q21+P21+O21)</f>
        <v>0.33423698925493989</v>
      </c>
      <c r="T138" s="103">
        <f>T137/(T21+S21+Q21+P21)</f>
        <v>1.2710840558322574</v>
      </c>
      <c r="U138" s="103">
        <f>U137/(U21+T21+S21+Q21)</f>
        <v>0.95349013553766593</v>
      </c>
      <c r="V138" s="103">
        <f>V137/(V21+U21+T21+S21)</f>
        <v>0.79609843755768828</v>
      </c>
      <c r="W138" s="185">
        <f t="shared" ref="W138:AG138" si="77">W137/W21</f>
        <v>0.79609843755768794</v>
      </c>
      <c r="X138" s="103" t="e">
        <f t="shared" si="77"/>
        <v>#DIV/0!</v>
      </c>
      <c r="Y138" s="103" t="e">
        <f t="shared" si="77"/>
        <v>#DIV/0!</v>
      </c>
      <c r="Z138" s="103" t="e">
        <f t="shared" si="77"/>
        <v>#DIV/0!</v>
      </c>
      <c r="AA138" s="103" t="e">
        <f t="shared" si="77"/>
        <v>#DIV/0!</v>
      </c>
      <c r="AB138" s="103">
        <f t="shared" si="77"/>
        <v>0.63769240227713297</v>
      </c>
      <c r="AC138" s="103" t="e">
        <f t="shared" si="77"/>
        <v>#DIV/0!</v>
      </c>
      <c r="AD138" s="103" t="e">
        <f t="shared" si="77"/>
        <v>#DIV/0!</v>
      </c>
      <c r="AE138" s="103" t="e">
        <f t="shared" si="77"/>
        <v>#DIV/0!</v>
      </c>
      <c r="AF138" s="103" t="e">
        <f t="shared" si="77"/>
        <v>#DIV/0!</v>
      </c>
      <c r="AG138" s="103">
        <f t="shared" si="77"/>
        <v>0.42090772861114584</v>
      </c>
      <c r="AI138" s="54">
        <v>0</v>
      </c>
      <c r="AJ138" s="91"/>
    </row>
    <row r="139" spans="1:36" ht="12.95" customHeight="1">
      <c r="B139" s="32" t="s">
        <v>339</v>
      </c>
      <c r="C139" s="103">
        <f t="shared" ref="C139:R139" si="78">(C137+C100)/C63</f>
        <v>5.7281030389267948E-5</v>
      </c>
      <c r="D139" s="103">
        <f t="shared" si="78"/>
        <v>0</v>
      </c>
      <c r="E139" s="103">
        <f t="shared" si="78"/>
        <v>0</v>
      </c>
      <c r="F139" s="103">
        <f t="shared" si="78"/>
        <v>0</v>
      </c>
      <c r="G139" s="103">
        <f t="shared" si="78"/>
        <v>0</v>
      </c>
      <c r="H139" s="103">
        <f t="shared" si="78"/>
        <v>0</v>
      </c>
      <c r="I139" s="103">
        <f t="shared" si="78"/>
        <v>0</v>
      </c>
      <c r="J139" s="103">
        <f t="shared" si="78"/>
        <v>1.208630594350486</v>
      </c>
      <c r="K139" s="103">
        <f t="shared" si="78"/>
        <v>1.3278440025473366</v>
      </c>
      <c r="L139" s="103">
        <f t="shared" si="78"/>
        <v>1.1443188508183211</v>
      </c>
      <c r="M139" s="103">
        <f t="shared" si="78"/>
        <v>0.92163538776106324</v>
      </c>
      <c r="N139" s="103">
        <f t="shared" si="78"/>
        <v>2.9041590569483646</v>
      </c>
      <c r="O139" s="103">
        <f t="shared" si="78"/>
        <v>7.4480341359341669</v>
      </c>
      <c r="P139" s="103">
        <f t="shared" si="78"/>
        <v>6.2157152338309389</v>
      </c>
      <c r="Q139" s="103">
        <f t="shared" si="78"/>
        <v>6.5777077661884809</v>
      </c>
      <c r="R139" s="103">
        <f t="shared" si="78"/>
        <v>1.6420438654034897</v>
      </c>
      <c r="S139" s="103">
        <f>(S137+S98)/(S21+Q21+P21+O21)</f>
        <v>1.5324087328632632</v>
      </c>
      <c r="T139" s="103">
        <f>(T137+T100)/(T21+S21+Q21+P21)</f>
        <v>1.6618631248847078</v>
      </c>
      <c r="U139" s="103">
        <f>(U137+U100)/(U21+T21+S21+Q21)</f>
        <v>1.5533066292249187</v>
      </c>
      <c r="V139" s="103">
        <f>(V137+V100)/(V21+U21+T21+S21)</f>
        <v>1.4627088245444004</v>
      </c>
      <c r="W139" s="185">
        <f t="shared" ref="W139:AG139" si="79">(W137+W100)/W63</f>
        <v>1.4627088245443998</v>
      </c>
      <c r="X139" s="103" t="e">
        <f t="shared" si="79"/>
        <v>#DIV/0!</v>
      </c>
      <c r="Y139" s="103" t="e">
        <f t="shared" si="79"/>
        <v>#DIV/0!</v>
      </c>
      <c r="Z139" s="103" t="e">
        <f t="shared" si="79"/>
        <v>#DIV/0!</v>
      </c>
      <c r="AA139" s="103" t="e">
        <f t="shared" si="79"/>
        <v>#DIV/0!</v>
      </c>
      <c r="AB139" s="103">
        <f t="shared" si="79"/>
        <v>1.2517693576465636</v>
      </c>
      <c r="AC139" s="103" t="e">
        <f t="shared" si="79"/>
        <v>#DIV/0!</v>
      </c>
      <c r="AD139" s="103" t="e">
        <f t="shared" si="79"/>
        <v>#DIV/0!</v>
      </c>
      <c r="AE139" s="103" t="e">
        <f t="shared" si="79"/>
        <v>#DIV/0!</v>
      </c>
      <c r="AF139" s="103" t="e">
        <f t="shared" si="79"/>
        <v>#DIV/0!</v>
      </c>
      <c r="AG139" s="103">
        <f t="shared" si="79"/>
        <v>1.1066286683501783</v>
      </c>
      <c r="AI139" s="54">
        <v>0</v>
      </c>
      <c r="AJ139" s="91"/>
    </row>
    <row r="140" spans="1:36" ht="12.95" customHeight="1">
      <c r="B140" s="32" t="s">
        <v>337</v>
      </c>
      <c r="C140" s="119">
        <f t="shared" ref="C140:AG140" si="80">C130/C27</f>
        <v>3.2779509017368005</v>
      </c>
      <c r="D140" s="119">
        <f t="shared" si="80"/>
        <v>3.8127176763985036</v>
      </c>
      <c r="E140" s="119">
        <f t="shared" si="80"/>
        <v>4.3654972808951218</v>
      </c>
      <c r="F140" s="119">
        <f t="shared" si="80"/>
        <v>4.7150393024320136</v>
      </c>
      <c r="G140" s="119">
        <f t="shared" si="80"/>
        <v>4.4500659994319038</v>
      </c>
      <c r="H140" s="119">
        <f t="shared" si="80"/>
        <v>5.444012501403158</v>
      </c>
      <c r="I140" s="119">
        <f t="shared" si="80"/>
        <v>6.39342565640528</v>
      </c>
      <c r="J140" s="119">
        <f t="shared" si="80"/>
        <v>3.6225376007308085</v>
      </c>
      <c r="K140" s="119">
        <f t="shared" si="80"/>
        <v>4.2695169831994155</v>
      </c>
      <c r="L140" s="119">
        <f t="shared" si="80"/>
        <v>5.8745193826523137</v>
      </c>
      <c r="M140" s="119">
        <f t="shared" si="80"/>
        <v>7.6468719042901787</v>
      </c>
      <c r="N140" s="119">
        <f t="shared" si="80"/>
        <v>7.8881817559707121</v>
      </c>
      <c r="O140" s="119">
        <f t="shared" si="80"/>
        <v>8.1385455372715558</v>
      </c>
      <c r="P140" s="119">
        <f t="shared" si="80"/>
        <v>8.6831110261800113</v>
      </c>
      <c r="Q140" s="119">
        <f t="shared" si="80"/>
        <v>7.3915585591862341</v>
      </c>
      <c r="R140" s="119">
        <f t="shared" si="80"/>
        <v>7.3365037093399277</v>
      </c>
      <c r="S140" s="119">
        <f t="shared" si="80"/>
        <v>8.0954447718404072</v>
      </c>
      <c r="T140" s="119">
        <f t="shared" si="80"/>
        <v>5.9511798209926763</v>
      </c>
      <c r="U140" s="119">
        <f t="shared" si="80"/>
        <v>6.5544398372660702</v>
      </c>
      <c r="V140" s="119">
        <f t="shared" si="80"/>
        <v>7.1067454759967452</v>
      </c>
      <c r="W140" s="186">
        <f t="shared" si="80"/>
        <v>7.0683555060999055</v>
      </c>
      <c r="X140" s="119" t="e">
        <f t="shared" si="80"/>
        <v>#DIV/0!</v>
      </c>
      <c r="Y140" s="119" t="e">
        <f t="shared" si="80"/>
        <v>#DIV/0!</v>
      </c>
      <c r="Z140" s="119" t="e">
        <f t="shared" si="80"/>
        <v>#DIV/0!</v>
      </c>
      <c r="AA140" s="119" t="e">
        <f t="shared" si="80"/>
        <v>#DIV/0!</v>
      </c>
      <c r="AB140" s="119">
        <f t="shared" si="80"/>
        <v>8.155405285166859</v>
      </c>
      <c r="AC140" s="119" t="e">
        <f t="shared" si="80"/>
        <v>#DIV/0!</v>
      </c>
      <c r="AD140" s="119" t="e">
        <f t="shared" si="80"/>
        <v>#DIV/0!</v>
      </c>
      <c r="AE140" s="119" t="e">
        <f t="shared" si="80"/>
        <v>#DIV/0!</v>
      </c>
      <c r="AF140" s="119" t="e">
        <f t="shared" si="80"/>
        <v>#DIV/0!</v>
      </c>
      <c r="AG140" s="119">
        <f t="shared" si="80"/>
        <v>9.4825199260278268</v>
      </c>
      <c r="AI140" s="54"/>
      <c r="AJ140" s="91"/>
    </row>
    <row r="141" spans="1:36" ht="12.95" customHeight="1">
      <c r="H141" s="88"/>
      <c r="I141" s="88"/>
      <c r="J141" s="88"/>
      <c r="K141" s="104"/>
      <c r="L141" s="104"/>
      <c r="M141" s="104"/>
      <c r="N141" s="103"/>
      <c r="O141" s="103"/>
      <c r="P141" s="103"/>
      <c r="Q141" s="103"/>
      <c r="R141" s="104"/>
      <c r="S141" s="88"/>
      <c r="T141" s="88"/>
      <c r="U141" s="88"/>
      <c r="V141" s="88"/>
      <c r="W141" s="181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I141" s="54"/>
      <c r="AJ141" s="91"/>
    </row>
    <row r="142" spans="1:36" ht="12.95" customHeight="1">
      <c r="B142" s="102" t="s">
        <v>87</v>
      </c>
      <c r="H142" s="88"/>
      <c r="I142" s="88"/>
      <c r="J142" s="88"/>
      <c r="K142" s="104"/>
      <c r="L142" s="104"/>
      <c r="M142" s="104"/>
      <c r="N142" s="103"/>
      <c r="O142" s="103"/>
      <c r="P142" s="103"/>
      <c r="Q142" s="103"/>
      <c r="R142" s="104"/>
      <c r="S142" s="88"/>
      <c r="T142" s="88"/>
      <c r="U142" s="88"/>
      <c r="V142" s="88"/>
      <c r="W142" s="181"/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I142" s="54"/>
      <c r="AJ142" s="91"/>
    </row>
    <row r="143" spans="1:36" ht="12.95" customHeight="1">
      <c r="B143" s="32" t="s">
        <v>88</v>
      </c>
      <c r="C143" s="88">
        <f t="shared" ref="C143:M143" si="81">C101/C$12*365</f>
        <v>74.342078835518777</v>
      </c>
      <c r="D143" s="88">
        <f t="shared" si="81"/>
        <v>74.046936749015345</v>
      </c>
      <c r="E143" s="88">
        <f t="shared" si="81"/>
        <v>69.025928448455261</v>
      </c>
      <c r="F143" s="88">
        <f t="shared" si="81"/>
        <v>71.541119711778563</v>
      </c>
      <c r="G143" s="88">
        <f t="shared" si="81"/>
        <v>51.939267515923568</v>
      </c>
      <c r="H143" s="88">
        <f t="shared" si="81"/>
        <v>53.662341437418753</v>
      </c>
      <c r="I143" s="88">
        <f t="shared" si="81"/>
        <v>51.505170925849974</v>
      </c>
      <c r="J143" s="88">
        <f t="shared" si="81"/>
        <v>52.062222454417217</v>
      </c>
      <c r="K143" s="88">
        <f t="shared" si="81"/>
        <v>54.883233011358044</v>
      </c>
      <c r="L143" s="88">
        <f t="shared" si="81"/>
        <v>63.734233829581051</v>
      </c>
      <c r="M143" s="88">
        <f t="shared" si="81"/>
        <v>61.796480241755617</v>
      </c>
      <c r="N143" s="88">
        <f>N101/N$12*91</f>
        <v>64.179402588279046</v>
      </c>
      <c r="O143" s="88">
        <f>O101/O$12*91</f>
        <v>77.566647843682347</v>
      </c>
      <c r="P143" s="88">
        <f>P101/P$12*91</f>
        <v>66.45688900854816</v>
      </c>
      <c r="Q143" s="88">
        <f>Q101/Q$12*91</f>
        <v>69.501576393070948</v>
      </c>
      <c r="R143" s="88">
        <f>R101/R$12*365</f>
        <v>68.663678507328015</v>
      </c>
      <c r="S143" s="88">
        <f>S101/S$12*91</f>
        <v>72.904787458713869</v>
      </c>
      <c r="T143" s="88">
        <f>T101/T$12*91</f>
        <v>85.396613053924199</v>
      </c>
      <c r="U143" s="89">
        <v>70</v>
      </c>
      <c r="V143" s="89">
        <v>74</v>
      </c>
      <c r="W143" s="181">
        <f>W101/W$12*365</f>
        <v>74.077479650838228</v>
      </c>
      <c r="X143" s="89"/>
      <c r="Y143" s="89"/>
      <c r="Z143" s="89"/>
      <c r="AA143" s="89"/>
      <c r="AB143" s="89">
        <v>70</v>
      </c>
      <c r="AC143" s="89"/>
      <c r="AD143" s="89"/>
      <c r="AE143" s="89"/>
      <c r="AF143" s="89"/>
      <c r="AG143" s="89">
        <v>68</v>
      </c>
      <c r="AI143" s="54"/>
      <c r="AJ143" s="91"/>
    </row>
    <row r="144" spans="1:36" ht="12.95" customHeight="1">
      <c r="B144" s="32" t="s">
        <v>89</v>
      </c>
      <c r="C144" s="88">
        <f t="shared" ref="C144:M144" si="82">C103/(C15+C14+C13)*365</f>
        <v>0</v>
      </c>
      <c r="D144" s="88">
        <f t="shared" si="82"/>
        <v>0</v>
      </c>
      <c r="E144" s="88">
        <f t="shared" si="82"/>
        <v>0</v>
      </c>
      <c r="F144" s="88">
        <f t="shared" si="82"/>
        <v>7.4503482512580934</v>
      </c>
      <c r="G144" s="88">
        <f t="shared" si="82"/>
        <v>4.2087252398997812</v>
      </c>
      <c r="H144" s="88">
        <f t="shared" si="82"/>
        <v>3.9539463911017032</v>
      </c>
      <c r="I144" s="88">
        <f t="shared" si="82"/>
        <v>4.2908206055022031</v>
      </c>
      <c r="J144" s="88">
        <f t="shared" si="82"/>
        <v>6.0196028408483038</v>
      </c>
      <c r="K144" s="88">
        <f t="shared" si="82"/>
        <v>6.0249914978380206</v>
      </c>
      <c r="L144" s="88">
        <f t="shared" si="82"/>
        <v>6.2651727357609719</v>
      </c>
      <c r="M144" s="88">
        <f t="shared" si="82"/>
        <v>5.1610410466876573</v>
      </c>
      <c r="N144" s="88">
        <f>N103/(N15+N14+N13)*91</f>
        <v>4.109342091171956</v>
      </c>
      <c r="O144" s="88">
        <f>O103/(O15+O14+O13)*91</f>
        <v>4.5107843683972462</v>
      </c>
      <c r="P144" s="88">
        <f>P103/(P15+P14+P13)*91</f>
        <v>4.3429076447193991</v>
      </c>
      <c r="Q144" s="88">
        <f>Q103/(Q15+Q14+Q13)*91</f>
        <v>4.786280877505213</v>
      </c>
      <c r="R144" s="88">
        <f>R103/(R15+R14+R13)*365</f>
        <v>4.7366618228678599</v>
      </c>
      <c r="S144" s="88">
        <f>S103/(S15+S14+S13)*91</f>
        <v>4.9162980646159893</v>
      </c>
      <c r="T144" s="88">
        <f>T103/(T15+T14+T13)*91</f>
        <v>4.9155758115733441</v>
      </c>
      <c r="U144" s="89">
        <v>4.7</v>
      </c>
      <c r="V144" s="89">
        <v>4.7</v>
      </c>
      <c r="W144" s="181">
        <f>W103/(W15+W14+W13)*365</f>
        <v>4.6473217896740486</v>
      </c>
      <c r="X144" s="89"/>
      <c r="Y144" s="89"/>
      <c r="Z144" s="89"/>
      <c r="AA144" s="89"/>
      <c r="AB144" s="89">
        <v>5.5</v>
      </c>
      <c r="AC144" s="89"/>
      <c r="AD144" s="89"/>
      <c r="AE144" s="89"/>
      <c r="AF144" s="89"/>
      <c r="AG144" s="89">
        <v>5.5</v>
      </c>
      <c r="AI144" s="54"/>
      <c r="AJ144" s="91"/>
    </row>
    <row r="145" spans="1:36" ht="12.95" customHeight="1">
      <c r="B145" s="32" t="s">
        <v>90</v>
      </c>
      <c r="C145" s="88">
        <f t="shared" ref="C145:M145" si="83">C116/(C13+C15+C14)*365</f>
        <v>76.99872842887504</v>
      </c>
      <c r="D145" s="88">
        <f t="shared" si="83"/>
        <v>83.993379008345926</v>
      </c>
      <c r="E145" s="88">
        <f t="shared" si="83"/>
        <v>74.272992352939198</v>
      </c>
      <c r="F145" s="88">
        <f t="shared" si="83"/>
        <v>105.66603265769979</v>
      </c>
      <c r="G145" s="88">
        <f t="shared" si="83"/>
        <v>70.132007029998547</v>
      </c>
      <c r="H145" s="88">
        <f t="shared" si="83"/>
        <v>70.126420533675017</v>
      </c>
      <c r="I145" s="88">
        <f t="shared" si="83"/>
        <v>80.832299750758949</v>
      </c>
      <c r="J145" s="88">
        <f t="shared" si="83"/>
        <v>76.377465785553809</v>
      </c>
      <c r="K145" s="88">
        <f t="shared" si="83"/>
        <v>73.030500898799986</v>
      </c>
      <c r="L145" s="88">
        <f t="shared" si="83"/>
        <v>79.743230625583578</v>
      </c>
      <c r="M145" s="88">
        <f t="shared" si="83"/>
        <v>79.918925452860478</v>
      </c>
      <c r="N145" s="88">
        <f>N116/(N13+N15+N14)*91</f>
        <v>83.264258261045484</v>
      </c>
      <c r="O145" s="88">
        <f>O116/(O13+O15+O14)*91</f>
        <v>83.551003463637983</v>
      </c>
      <c r="P145" s="88">
        <f>P116/(P13+P15+P14)*91</f>
        <v>82.702901752835473</v>
      </c>
      <c r="Q145" s="88">
        <f>Q116/(Q13+Q15+Q14)*91</f>
        <v>81.923319205670623</v>
      </c>
      <c r="R145" s="88">
        <f>R116/(R13+R15+R14)*365</f>
        <v>81.211719276961148</v>
      </c>
      <c r="S145" s="88">
        <f>S116/(S13+S15+S14)*91</f>
        <v>79.821177899355277</v>
      </c>
      <c r="T145" s="88">
        <f>T116/(T13+T15+T14)*91</f>
        <v>76.831208735978805</v>
      </c>
      <c r="U145" s="89">
        <v>78</v>
      </c>
      <c r="V145" s="89">
        <v>77</v>
      </c>
      <c r="W145" s="181">
        <f>W116/(W13+W15+W14)*365</f>
        <v>76.136974001042944</v>
      </c>
      <c r="X145" s="89"/>
      <c r="Y145" s="89"/>
      <c r="Z145" s="89"/>
      <c r="AA145" s="89"/>
      <c r="AB145" s="89">
        <v>72</v>
      </c>
      <c r="AC145" s="89"/>
      <c r="AD145" s="89"/>
      <c r="AE145" s="89"/>
      <c r="AF145" s="89"/>
      <c r="AG145" s="89">
        <v>70</v>
      </c>
      <c r="AI145" s="54"/>
      <c r="AJ145" s="91"/>
    </row>
    <row r="146" spans="1:36" ht="12.95" hidden="1" customHeight="1" outlineLevel="1">
      <c r="H146" s="88"/>
      <c r="I146" s="88"/>
      <c r="J146" s="105"/>
      <c r="K146" s="105"/>
      <c r="L146" s="105"/>
      <c r="M146" s="105"/>
      <c r="N146" s="106"/>
      <c r="O146" s="106"/>
      <c r="P146" s="106"/>
      <c r="Q146" s="106"/>
      <c r="R146" s="105"/>
      <c r="S146" s="88"/>
      <c r="T146" s="88"/>
      <c r="U146" s="88"/>
      <c r="V146" s="88"/>
      <c r="W146" s="187"/>
      <c r="X146" s="89"/>
      <c r="Y146" s="89"/>
      <c r="Z146" s="89"/>
      <c r="AA146" s="89"/>
      <c r="AB146" s="89"/>
      <c r="AC146" s="89"/>
      <c r="AD146" s="89"/>
      <c r="AE146" s="89"/>
      <c r="AF146" s="89"/>
      <c r="AG146" s="89"/>
      <c r="AI146" s="54"/>
      <c r="AJ146" s="91"/>
    </row>
    <row r="147" spans="1:36" ht="12.95" hidden="1" customHeight="1" outlineLevel="1">
      <c r="B147" s="32" t="s">
        <v>91</v>
      </c>
      <c r="C147" s="88">
        <f>(C107-C100)-(C122-C120)</f>
        <v>51.575099999999992</v>
      </c>
      <c r="D147" s="88">
        <f t="shared" ref="D147:AG147" si="84">(D107-D100)-(D122-D120)</f>
        <v>43.468999999999966</v>
      </c>
      <c r="E147" s="88">
        <f t="shared" si="84"/>
        <v>52.702000000000027</v>
      </c>
      <c r="F147" s="88">
        <f t="shared" si="84"/>
        <v>46.859999999999985</v>
      </c>
      <c r="G147" s="88">
        <f t="shared" si="84"/>
        <v>45.546999999999997</v>
      </c>
      <c r="H147" s="88">
        <f t="shared" si="84"/>
        <v>49.658000000000001</v>
      </c>
      <c r="I147" s="88">
        <f t="shared" si="84"/>
        <v>62.003000000000043</v>
      </c>
      <c r="J147" s="88">
        <f t="shared" si="84"/>
        <v>51.60299999999998</v>
      </c>
      <c r="K147" s="88">
        <f t="shared" si="84"/>
        <v>69.965999999999966</v>
      </c>
      <c r="L147" s="88">
        <f t="shared" si="84"/>
        <v>96.599999999999937</v>
      </c>
      <c r="M147" s="88">
        <f t="shared" si="84"/>
        <v>89.013000000000062</v>
      </c>
      <c r="N147" s="88">
        <f t="shared" si="84"/>
        <v>78.162999999999954</v>
      </c>
      <c r="O147" s="88">
        <f t="shared" si="84"/>
        <v>144.65899999999993</v>
      </c>
      <c r="P147" s="88">
        <f t="shared" si="84"/>
        <v>125.73699999999994</v>
      </c>
      <c r="Q147" s="88">
        <f t="shared" si="84"/>
        <v>136.49999999999997</v>
      </c>
      <c r="R147" s="88">
        <f t="shared" si="84"/>
        <v>118.60300000000007</v>
      </c>
      <c r="S147" s="88">
        <f t="shared" si="84"/>
        <v>109.33699999999993</v>
      </c>
      <c r="T147" s="88">
        <f t="shared" si="84"/>
        <v>182.17599999999993</v>
      </c>
      <c r="U147" s="88">
        <f t="shared" si="84"/>
        <v>146.89851429461393</v>
      </c>
      <c r="V147" s="88">
        <f t="shared" si="84"/>
        <v>156.03806300763375</v>
      </c>
      <c r="W147" s="181">
        <f t="shared" si="84"/>
        <v>156.03806300763375</v>
      </c>
      <c r="X147" s="88">
        <f t="shared" si="84"/>
        <v>0</v>
      </c>
      <c r="Y147" s="88">
        <f t="shared" si="84"/>
        <v>0</v>
      </c>
      <c r="Z147" s="88">
        <f t="shared" si="84"/>
        <v>0</v>
      </c>
      <c r="AA147" s="88">
        <f t="shared" si="84"/>
        <v>0</v>
      </c>
      <c r="AB147" s="88">
        <f t="shared" si="84"/>
        <v>165.7848563653977</v>
      </c>
      <c r="AC147" s="88">
        <f t="shared" si="84"/>
        <v>0</v>
      </c>
      <c r="AD147" s="88">
        <f t="shared" si="84"/>
        <v>0</v>
      </c>
      <c r="AE147" s="88">
        <f t="shared" si="84"/>
        <v>0</v>
      </c>
      <c r="AF147" s="88">
        <f t="shared" si="84"/>
        <v>0</v>
      </c>
      <c r="AG147" s="88">
        <f t="shared" si="84"/>
        <v>173.32889435456804</v>
      </c>
      <c r="AI147" s="54"/>
      <c r="AJ147" s="91"/>
    </row>
    <row r="148" spans="1:36" s="88" customFormat="1" ht="12.95" hidden="1" customHeight="1" outlineLevel="1">
      <c r="A148" s="31"/>
      <c r="B148" s="107" t="s">
        <v>182</v>
      </c>
      <c r="C148" s="32"/>
      <c r="D148" s="88">
        <f>D147-C147</f>
        <v>-8.1061000000000263</v>
      </c>
      <c r="E148" s="88">
        <f t="shared" ref="E148:M148" si="85">E147-D147</f>
        <v>9.2330000000000609</v>
      </c>
      <c r="F148" s="88">
        <f t="shared" si="85"/>
        <v>-5.8420000000000414</v>
      </c>
      <c r="G148" s="88">
        <f t="shared" si="85"/>
        <v>-1.3129999999999882</v>
      </c>
      <c r="H148" s="88">
        <f t="shared" si="85"/>
        <v>4.1110000000000042</v>
      </c>
      <c r="I148" s="88">
        <f t="shared" si="85"/>
        <v>12.345000000000041</v>
      </c>
      <c r="J148" s="88">
        <f t="shared" si="85"/>
        <v>-10.400000000000063</v>
      </c>
      <c r="K148" s="88">
        <f t="shared" si="85"/>
        <v>18.362999999999985</v>
      </c>
      <c r="L148" s="88">
        <f t="shared" si="85"/>
        <v>26.633999999999972</v>
      </c>
      <c r="M148" s="88">
        <f t="shared" si="85"/>
        <v>-7.5869999999998754</v>
      </c>
      <c r="N148" s="108">
        <f>N147-M147</f>
        <v>-10.850000000000108</v>
      </c>
      <c r="O148" s="108">
        <f>O147-N147</f>
        <v>66.495999999999981</v>
      </c>
      <c r="P148" s="108">
        <f>P147-O147</f>
        <v>-18.921999999999997</v>
      </c>
      <c r="Q148" s="108">
        <f>Q147-P147</f>
        <v>10.763000000000034</v>
      </c>
      <c r="R148" s="108">
        <f>R147-M147</f>
        <v>29.590000000000003</v>
      </c>
      <c r="S148" s="108">
        <f>S147-R147</f>
        <v>-9.2660000000001332</v>
      </c>
      <c r="T148" s="108">
        <f>T147-S147</f>
        <v>72.838999999999999</v>
      </c>
      <c r="U148" s="108">
        <f>(T101-U101)+(T103-U103)+(U116-T116)</f>
        <v>38.20866153846147</v>
      </c>
      <c r="V148" s="108">
        <f>(U101-V101)+(U103-V103)+(V116-U116)</f>
        <v>-6.2015459340658925</v>
      </c>
      <c r="W148" s="188">
        <f>W147-R147</f>
        <v>37.435063007633687</v>
      </c>
      <c r="X148" s="108"/>
      <c r="Y148" s="108"/>
      <c r="Z148" s="108"/>
      <c r="AA148" s="108"/>
      <c r="AB148" s="108">
        <f>AB147-W147</f>
        <v>9.7467933577639485</v>
      </c>
      <c r="AC148" s="108"/>
      <c r="AD148" s="108"/>
      <c r="AE148" s="108"/>
      <c r="AF148" s="108"/>
      <c r="AG148" s="108">
        <f>AG147-AB147</f>
        <v>7.5440379891703344</v>
      </c>
      <c r="AH148" s="145"/>
      <c r="AI148" s="54"/>
      <c r="AJ148" s="120"/>
    </row>
    <row r="149" spans="1:36" s="88" customFormat="1" ht="12.95" hidden="1" customHeight="1" outlineLevel="1">
      <c r="A149" s="31"/>
      <c r="B149" s="107" t="s">
        <v>73</v>
      </c>
      <c r="C149" s="39">
        <f t="shared" ref="C149:R149" si="86">C147/C12</f>
        <v>0.12868151293736346</v>
      </c>
      <c r="D149" s="39">
        <f t="shared" si="86"/>
        <v>9.6563658618399204E-2</v>
      </c>
      <c r="E149" s="39">
        <f t="shared" si="86"/>
        <v>9.9706755964205349E-2</v>
      </c>
      <c r="F149" s="39">
        <f t="shared" si="86"/>
        <v>8.3577084968252821E-2</v>
      </c>
      <c r="G149" s="39">
        <f t="shared" si="86"/>
        <v>5.8021656050955411E-2</v>
      </c>
      <c r="H149" s="39">
        <f t="shared" si="86"/>
        <v>6.6827079649352292E-2</v>
      </c>
      <c r="I149" s="39">
        <f t="shared" si="86"/>
        <v>8.0223424365262919E-2</v>
      </c>
      <c r="J149" s="39">
        <f t="shared" si="86"/>
        <v>5.9909792243526092E-2</v>
      </c>
      <c r="K149" s="39">
        <f t="shared" si="86"/>
        <v>7.5705130216589395E-2</v>
      </c>
      <c r="L149" s="39">
        <f t="shared" si="86"/>
        <v>9.2317748899545624E-2</v>
      </c>
      <c r="M149" s="39">
        <f t="shared" si="86"/>
        <v>7.6505235545845346E-2</v>
      </c>
      <c r="N149" s="39">
        <f t="shared" si="86"/>
        <v>0.26916931257016502</v>
      </c>
      <c r="O149" s="39">
        <f t="shared" si="86"/>
        <v>0.52363732452996803</v>
      </c>
      <c r="P149" s="39">
        <f t="shared" si="86"/>
        <v>0.42315743420609797</v>
      </c>
      <c r="Q149" s="39">
        <f t="shared" si="86"/>
        <v>0.48354529030429688</v>
      </c>
      <c r="R149" s="39">
        <f t="shared" si="86"/>
        <v>0.10348588535345299</v>
      </c>
      <c r="S149" s="39">
        <f>S147/(S12*4)</f>
        <v>9.4635228051710582E-2</v>
      </c>
      <c r="T149" s="39">
        <f>T147/(T12*4)</f>
        <v>0.15197544046983447</v>
      </c>
      <c r="U149" s="39">
        <f t="shared" ref="U149:AG149" si="87">U147/U12</f>
        <v>0.46007831086416517</v>
      </c>
      <c r="V149" s="39">
        <f t="shared" si="87"/>
        <v>0.51682091114244399</v>
      </c>
      <c r="W149" s="180">
        <f t="shared" si="87"/>
        <v>0.12898615098384553</v>
      </c>
      <c r="X149" s="39" t="e">
        <f t="shared" si="87"/>
        <v>#DIV/0!</v>
      </c>
      <c r="Y149" s="39" t="e">
        <f t="shared" si="87"/>
        <v>#DIV/0!</v>
      </c>
      <c r="Z149" s="39" t="e">
        <f t="shared" si="87"/>
        <v>#DIV/0!</v>
      </c>
      <c r="AA149" s="39" t="e">
        <f t="shared" si="87"/>
        <v>#DIV/0!</v>
      </c>
      <c r="AB149" s="39">
        <f t="shared" si="87"/>
        <v>0.12976972060621456</v>
      </c>
      <c r="AC149" s="39" t="e">
        <f t="shared" si="87"/>
        <v>#DIV/0!</v>
      </c>
      <c r="AD149" s="39" t="e">
        <f t="shared" si="87"/>
        <v>#DIV/0!</v>
      </c>
      <c r="AE149" s="39" t="e">
        <f t="shared" si="87"/>
        <v>#DIV/0!</v>
      </c>
      <c r="AF149" s="39" t="e">
        <f t="shared" si="87"/>
        <v>#DIV/0!</v>
      </c>
      <c r="AG149" s="39">
        <f t="shared" si="87"/>
        <v>0.12953111377593482</v>
      </c>
      <c r="AH149" s="145"/>
      <c r="AI149" s="54"/>
      <c r="AJ149" s="120"/>
    </row>
    <row r="150" spans="1:36" s="88" customFormat="1" ht="12.95" hidden="1" customHeight="1" outlineLevel="1">
      <c r="A150" s="31"/>
      <c r="B150" s="32" t="s">
        <v>87</v>
      </c>
      <c r="C150" s="88">
        <f>C107-C122</f>
        <v>229.89509999999999</v>
      </c>
      <c r="D150" s="88">
        <f t="shared" ref="D150:AG150" si="88">D107-D122</f>
        <v>296.01699999999994</v>
      </c>
      <c r="E150" s="88">
        <f t="shared" si="88"/>
        <v>328.01700000000005</v>
      </c>
      <c r="F150" s="88">
        <f t="shared" si="88"/>
        <v>247.85</v>
      </c>
      <c r="G150" s="88">
        <f t="shared" si="88"/>
        <v>84.501000000000005</v>
      </c>
      <c r="H150" s="88">
        <f t="shared" si="88"/>
        <v>212.34899999999999</v>
      </c>
      <c r="I150" s="88">
        <f t="shared" si="88"/>
        <v>330.19100000000003</v>
      </c>
      <c r="J150" s="88">
        <f t="shared" si="88"/>
        <v>75.24199999999999</v>
      </c>
      <c r="K150" s="88">
        <f t="shared" si="88"/>
        <v>134.90799999999996</v>
      </c>
      <c r="L150" s="88">
        <f t="shared" si="88"/>
        <v>67.892999999999944</v>
      </c>
      <c r="M150" s="88">
        <f t="shared" si="88"/>
        <v>168.00700000000006</v>
      </c>
      <c r="N150" s="88">
        <f t="shared" si="88"/>
        <v>198.07600000000002</v>
      </c>
      <c r="O150" s="88">
        <f t="shared" si="88"/>
        <v>653.70100000000002</v>
      </c>
      <c r="P150" s="88">
        <f t="shared" si="88"/>
        <v>725.01099999999997</v>
      </c>
      <c r="Q150" s="88">
        <f t="shared" si="88"/>
        <v>521.45600000000002</v>
      </c>
      <c r="R150" s="88">
        <f t="shared" si="88"/>
        <v>520.94200000000001</v>
      </c>
      <c r="S150" s="88">
        <f t="shared" si="88"/>
        <v>561.71599999999989</v>
      </c>
      <c r="T150" s="88">
        <f t="shared" si="88"/>
        <v>241.88599999999997</v>
      </c>
      <c r="U150" s="88">
        <f t="shared" si="88"/>
        <v>400.55265600000007</v>
      </c>
      <c r="V150" s="88">
        <f t="shared" si="88"/>
        <v>446.83101899999991</v>
      </c>
      <c r="W150" s="88">
        <f t="shared" si="88"/>
        <v>446.83101899999991</v>
      </c>
      <c r="X150" s="88">
        <f t="shared" si="88"/>
        <v>0</v>
      </c>
      <c r="Y150" s="88">
        <f t="shared" si="88"/>
        <v>0</v>
      </c>
      <c r="Z150" s="88">
        <f t="shared" si="88"/>
        <v>0</v>
      </c>
      <c r="AA150" s="88">
        <f t="shared" si="88"/>
        <v>0</v>
      </c>
      <c r="AB150" s="88">
        <f t="shared" si="88"/>
        <v>464.08501855137013</v>
      </c>
      <c r="AC150" s="88">
        <f t="shared" si="88"/>
        <v>0</v>
      </c>
      <c r="AD150" s="88">
        <f t="shared" si="88"/>
        <v>0</v>
      </c>
      <c r="AE150" s="88">
        <f t="shared" si="88"/>
        <v>0</v>
      </c>
      <c r="AF150" s="88">
        <f t="shared" si="88"/>
        <v>0</v>
      </c>
      <c r="AG150" s="88">
        <f t="shared" si="88"/>
        <v>531.5304179675345</v>
      </c>
      <c r="AH150" s="145"/>
      <c r="AI150" s="54"/>
      <c r="AJ150" s="120"/>
    </row>
    <row r="151" spans="1:36" s="88" customFormat="1" ht="12.95" hidden="1" customHeight="1" outlineLevel="1">
      <c r="A151" s="31"/>
      <c r="B151" s="107" t="s">
        <v>182</v>
      </c>
      <c r="C151" s="39"/>
      <c r="D151" s="88">
        <f>D150-C150</f>
        <v>66.121899999999954</v>
      </c>
      <c r="E151" s="88">
        <f t="shared" ref="E151" si="89">E150-D150</f>
        <v>32.000000000000114</v>
      </c>
      <c r="F151" s="88">
        <f t="shared" ref="F151" si="90">F150-E150</f>
        <v>-80.167000000000058</v>
      </c>
      <c r="G151" s="88">
        <f t="shared" ref="G151" si="91">G150-F150</f>
        <v>-163.34899999999999</v>
      </c>
      <c r="H151" s="88">
        <f t="shared" ref="H151" si="92">H150-G150</f>
        <v>127.84799999999998</v>
      </c>
      <c r="I151" s="88">
        <f t="shared" ref="I151" si="93">I150-H150</f>
        <v>117.84200000000004</v>
      </c>
      <c r="J151" s="88">
        <f t="shared" ref="J151" si="94">J150-I150</f>
        <v>-254.94900000000004</v>
      </c>
      <c r="K151" s="88">
        <f t="shared" ref="K151" si="95">K150-J150</f>
        <v>59.665999999999968</v>
      </c>
      <c r="L151" s="88">
        <f t="shared" ref="L151" si="96">L150-K150</f>
        <v>-67.015000000000015</v>
      </c>
      <c r="M151" s="88">
        <f t="shared" ref="M151" si="97">M150-L150</f>
        <v>100.11400000000012</v>
      </c>
      <c r="N151" s="108">
        <f>N150-M150</f>
        <v>30.06899999999996</v>
      </c>
      <c r="O151" s="108">
        <f>O150-N150</f>
        <v>455.625</v>
      </c>
      <c r="P151" s="108">
        <f>P150-O150</f>
        <v>71.309999999999945</v>
      </c>
      <c r="Q151" s="108">
        <f>Q150-P150</f>
        <v>-203.55499999999995</v>
      </c>
      <c r="R151" s="108">
        <f>R150-M150</f>
        <v>352.93499999999995</v>
      </c>
      <c r="S151" s="108">
        <f>S150-R150</f>
        <v>40.773999999999887</v>
      </c>
      <c r="T151" s="108">
        <f>T150-S150</f>
        <v>-319.82999999999993</v>
      </c>
      <c r="U151" s="108">
        <f>(T104-U104)+(T106-U106)+(U119-T119)</f>
        <v>-0.57652943447533289</v>
      </c>
      <c r="V151" s="108">
        <f>(U104-V104)+(U106-V106)+(V119-U119)</f>
        <v>-0.57787221821497248</v>
      </c>
      <c r="W151" s="188">
        <f>W150-R150</f>
        <v>-74.110981000000095</v>
      </c>
      <c r="X151" s="108"/>
      <c r="Y151" s="108"/>
      <c r="Z151" s="108"/>
      <c r="AA151" s="108"/>
      <c r="AB151" s="108">
        <f>AB150-W150</f>
        <v>17.253999551370214</v>
      </c>
      <c r="AC151" s="108"/>
      <c r="AD151" s="108"/>
      <c r="AE151" s="108"/>
      <c r="AF151" s="108"/>
      <c r="AG151" s="108">
        <f>AG150-AB150</f>
        <v>67.445399416164378</v>
      </c>
      <c r="AH151" s="145"/>
      <c r="AI151" s="54"/>
      <c r="AJ151" s="120"/>
    </row>
    <row r="152" spans="1:36" ht="12.95" hidden="1" customHeight="1" outlineLevel="1">
      <c r="B152" s="107" t="s">
        <v>73</v>
      </c>
      <c r="D152" s="39">
        <f t="shared" ref="D152:AG152" si="98">D150/D12</f>
        <v>0.65758320948820292</v>
      </c>
      <c r="E152" s="39">
        <f t="shared" si="98"/>
        <v>0.62057437993075659</v>
      </c>
      <c r="F152" s="39">
        <f t="shared" si="98"/>
        <v>0.4420525076692588</v>
      </c>
      <c r="G152" s="39">
        <f t="shared" si="98"/>
        <v>0.10764458598726115</v>
      </c>
      <c r="H152" s="39">
        <f t="shared" si="98"/>
        <v>0.28576792332474749</v>
      </c>
      <c r="I152" s="39">
        <f t="shared" si="98"/>
        <v>0.42722211368144303</v>
      </c>
      <c r="J152" s="39">
        <f t="shared" si="98"/>
        <v>8.7354079956347322E-2</v>
      </c>
      <c r="K152" s="39">
        <f t="shared" si="98"/>
        <v>0.14597415469313157</v>
      </c>
      <c r="L152" s="39">
        <f t="shared" si="98"/>
        <v>6.488332221570238E-2</v>
      </c>
      <c r="M152" s="39">
        <f t="shared" si="98"/>
        <v>0.14439930244291099</v>
      </c>
      <c r="N152" s="39">
        <f t="shared" si="98"/>
        <v>0.68211277403180592</v>
      </c>
      <c r="O152" s="39">
        <f t="shared" si="98"/>
        <v>2.3662699360742492</v>
      </c>
      <c r="P152" s="39">
        <f t="shared" si="98"/>
        <v>2.4399643265800632</v>
      </c>
      <c r="Q152" s="39">
        <f t="shared" si="98"/>
        <v>1.8472351128272344</v>
      </c>
      <c r="R152" s="39">
        <f t="shared" si="98"/>
        <v>0.45454283692485414</v>
      </c>
      <c r="S152" s="39">
        <f t="shared" si="98"/>
        <v>1.9447441126167604</v>
      </c>
      <c r="T152" s="39">
        <f t="shared" si="98"/>
        <v>0.80714762413240793</v>
      </c>
      <c r="U152" s="39">
        <f t="shared" si="98"/>
        <v>1.2545095521867502</v>
      </c>
      <c r="V152" s="39">
        <f t="shared" si="98"/>
        <v>1.4799697581159343</v>
      </c>
      <c r="W152" s="39">
        <f t="shared" si="98"/>
        <v>0.36936509060728273</v>
      </c>
      <c r="X152" s="39" t="e">
        <f t="shared" si="98"/>
        <v>#DIV/0!</v>
      </c>
      <c r="Y152" s="39" t="e">
        <f t="shared" si="98"/>
        <v>#DIV/0!</v>
      </c>
      <c r="Z152" s="39" t="e">
        <f t="shared" si="98"/>
        <v>#DIV/0!</v>
      </c>
      <c r="AA152" s="39" t="e">
        <f t="shared" si="98"/>
        <v>#DIV/0!</v>
      </c>
      <c r="AB152" s="39">
        <f t="shared" si="98"/>
        <v>0.36326709516944206</v>
      </c>
      <c r="AC152" s="39" t="e">
        <f t="shared" si="98"/>
        <v>#DIV/0!</v>
      </c>
      <c r="AD152" s="39" t="e">
        <f t="shared" si="98"/>
        <v>#DIV/0!</v>
      </c>
      <c r="AE152" s="39" t="e">
        <f t="shared" si="98"/>
        <v>#DIV/0!</v>
      </c>
      <c r="AF152" s="39" t="e">
        <f t="shared" si="98"/>
        <v>#DIV/0!</v>
      </c>
      <c r="AG152" s="39">
        <f t="shared" si="98"/>
        <v>0.3972201363281147</v>
      </c>
      <c r="AI152" s="54"/>
      <c r="AJ152" s="91"/>
    </row>
    <row r="153" spans="1:36" ht="12.95" customHeight="1" collapsed="1">
      <c r="B153" s="107"/>
      <c r="H153" s="88"/>
      <c r="I153" s="88"/>
      <c r="J153" s="105"/>
      <c r="K153" s="108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88"/>
      <c r="X153" s="108"/>
      <c r="Y153" s="108"/>
      <c r="Z153" s="108"/>
      <c r="AA153" s="108"/>
      <c r="AB153" s="108"/>
      <c r="AC153" s="108"/>
      <c r="AD153" s="108"/>
      <c r="AE153" s="108"/>
      <c r="AF153" s="108"/>
      <c r="AG153" s="108"/>
      <c r="AI153" s="54"/>
      <c r="AJ153" s="91"/>
    </row>
    <row r="154" spans="1:36" ht="12.95" customHeight="1">
      <c r="B154" s="102" t="s">
        <v>140</v>
      </c>
      <c r="H154" s="88"/>
      <c r="I154" s="88"/>
      <c r="J154" s="105"/>
      <c r="K154" s="108"/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88"/>
      <c r="X154" s="108"/>
      <c r="Y154" s="108"/>
      <c r="Z154" s="108"/>
      <c r="AA154" s="108"/>
      <c r="AB154" s="108"/>
      <c r="AC154" s="108"/>
      <c r="AD154" s="108"/>
      <c r="AE154" s="108"/>
      <c r="AF154" s="108"/>
      <c r="AG154" s="108"/>
      <c r="AI154" s="54"/>
      <c r="AJ154" s="91"/>
    </row>
    <row r="155" spans="1:36" ht="12.95" customHeight="1">
      <c r="B155" s="32" t="s">
        <v>32</v>
      </c>
      <c r="D155" s="88">
        <f t="shared" ref="D155:Q155" si="99">AVERAGE(C114:D114)</f>
        <v>733.27550000000008</v>
      </c>
      <c r="E155" s="88">
        <f t="shared" si="99"/>
        <v>844.11650000000009</v>
      </c>
      <c r="F155" s="88">
        <f t="shared" si="99"/>
        <v>950.00049999999999</v>
      </c>
      <c r="G155" s="88">
        <f t="shared" si="99"/>
        <v>980.77149999999983</v>
      </c>
      <c r="H155" s="88">
        <f t="shared" si="99"/>
        <v>1007.1394999999999</v>
      </c>
      <c r="I155" s="88">
        <f t="shared" si="99"/>
        <v>1143.422</v>
      </c>
      <c r="J155" s="88">
        <f t="shared" si="99"/>
        <v>1156.6240000000003</v>
      </c>
      <c r="K155" s="88">
        <f t="shared" si="99"/>
        <v>1119.751</v>
      </c>
      <c r="L155" s="88">
        <f t="shared" si="99"/>
        <v>1244.7735</v>
      </c>
      <c r="M155" s="88">
        <f t="shared" si="99"/>
        <v>1420.6424999999999</v>
      </c>
      <c r="N155" s="88">
        <f t="shared" si="99"/>
        <v>1521.692</v>
      </c>
      <c r="O155" s="88">
        <f t="shared" si="99"/>
        <v>1744.3254999999999</v>
      </c>
      <c r="P155" s="88">
        <f t="shared" si="99"/>
        <v>1977.5205000000001</v>
      </c>
      <c r="Q155" s="88">
        <f t="shared" si="99"/>
        <v>1901.335</v>
      </c>
      <c r="R155" s="105">
        <f>AVERAGE(R114,M114)</f>
        <v>1653.2549999999997</v>
      </c>
      <c r="S155" s="88">
        <f>AVERAGE(R114:S114)</f>
        <v>1827.7114999999999</v>
      </c>
      <c r="T155" s="88">
        <f>AVERAGE(S114:T114)</f>
        <v>1730.0405000000001</v>
      </c>
      <c r="U155" s="88">
        <f>AVERAGE(T114:U114)</f>
        <v>1634.6717192897627</v>
      </c>
      <c r="V155" s="88">
        <f>AVERAGE(U114:V114)</f>
        <v>1686.9066217072918</v>
      </c>
      <c r="W155" s="189">
        <f>AVERAGE(W114,R114)</f>
        <v>1754.269902417529</v>
      </c>
      <c r="X155" s="108"/>
      <c r="Y155" s="108"/>
      <c r="Z155" s="108"/>
      <c r="AA155" s="108"/>
      <c r="AB155" s="105">
        <f>AVERAGE(AB114,W114)</f>
        <v>1740.9349554768348</v>
      </c>
      <c r="AC155" s="108"/>
      <c r="AD155" s="108"/>
      <c r="AE155" s="108"/>
      <c r="AF155" s="108"/>
      <c r="AG155" s="105">
        <f>AVERAGE(AG114,AB114)</f>
        <v>1817.4045507289209</v>
      </c>
      <c r="AI155" s="54"/>
      <c r="AJ155" s="91"/>
    </row>
    <row r="156" spans="1:36" ht="12.95" customHeight="1">
      <c r="B156" s="32" t="s">
        <v>84</v>
      </c>
      <c r="D156" s="88">
        <f t="shared" ref="D156:V156" si="100">AVERAGE(C130:D130)</f>
        <v>655.82100000000003</v>
      </c>
      <c r="E156" s="88">
        <f t="shared" si="100"/>
        <v>759.67450000000008</v>
      </c>
      <c r="F156" s="88">
        <f t="shared" si="100"/>
        <v>845.41800000000001</v>
      </c>
      <c r="G156" s="88">
        <f t="shared" si="100"/>
        <v>839.93100000000004</v>
      </c>
      <c r="H156" s="88">
        <f t="shared" si="100"/>
        <v>860.22749999999996</v>
      </c>
      <c r="I156" s="88">
        <f t="shared" si="100"/>
        <v>1004.3464999999999</v>
      </c>
      <c r="J156" s="88">
        <f t="shared" si="100"/>
        <v>821.20299999999997</v>
      </c>
      <c r="K156" s="88">
        <f t="shared" si="100"/>
        <v>558.14449999999999</v>
      </c>
      <c r="L156" s="88">
        <f t="shared" si="100"/>
        <v>661.75900000000001</v>
      </c>
      <c r="M156" s="88">
        <f t="shared" si="100"/>
        <v>882.95</v>
      </c>
      <c r="N156" s="88">
        <f t="shared" ref="N156" si="101">AVERAGE(M130:N130)</f>
        <v>1020.4645</v>
      </c>
      <c r="O156" s="88">
        <f t="shared" ref="O156:Q156" si="102">AVERAGE(N130:O130)</f>
        <v>1055.33</v>
      </c>
      <c r="P156" s="88">
        <f t="shared" si="102"/>
        <v>1104.5990000000002</v>
      </c>
      <c r="Q156" s="88">
        <f t="shared" si="102"/>
        <v>1050.2160000000001</v>
      </c>
      <c r="R156" s="105">
        <f>AVERAGE(R130,M130)</f>
        <v>983.84950000000003</v>
      </c>
      <c r="S156" s="88">
        <f t="shared" si="100"/>
        <v>990.37249999999995</v>
      </c>
      <c r="T156" s="88">
        <f t="shared" si="100"/>
        <v>873.97249999999997</v>
      </c>
      <c r="U156" s="88">
        <f t="shared" si="100"/>
        <v>768.47032799999999</v>
      </c>
      <c r="V156" s="88">
        <f t="shared" si="100"/>
        <v>839.47983750000003</v>
      </c>
      <c r="W156" s="189">
        <f>AVERAGE(W130,R130)</f>
        <v>918.8095095000001</v>
      </c>
      <c r="X156" s="108"/>
      <c r="Y156" s="108"/>
      <c r="Z156" s="108"/>
      <c r="AA156" s="108"/>
      <c r="AB156" s="105">
        <f>AVERAGE(AB130,W130)</f>
        <v>922.04601877568507</v>
      </c>
      <c r="AC156" s="108"/>
      <c r="AD156" s="108"/>
      <c r="AE156" s="108"/>
      <c r="AF156" s="108"/>
      <c r="AG156" s="105">
        <f>AVERAGE(AG130,AB130)</f>
        <v>1029.8957182594522</v>
      </c>
      <c r="AI156" s="54"/>
      <c r="AJ156" s="91"/>
    </row>
    <row r="157" spans="1:36" ht="12.95" hidden="1" customHeight="1" outlineLevel="1">
      <c r="B157" s="32" t="s">
        <v>1</v>
      </c>
      <c r="C157" s="88">
        <f>C114-C122+C120-C100</f>
        <v>431.48710000000011</v>
      </c>
      <c r="D157" s="88">
        <f t="shared" ref="D157:AG157" si="103">D114-D122+D120-D100</f>
        <v>460.86900000000003</v>
      </c>
      <c r="E157" s="88">
        <f t="shared" si="103"/>
        <v>536.05700000000002</v>
      </c>
      <c r="F157" s="88">
        <f t="shared" si="103"/>
        <v>697.70399999999995</v>
      </c>
      <c r="G157" s="88">
        <f t="shared" si="103"/>
        <v>789.04099999999994</v>
      </c>
      <c r="H157" s="88">
        <f t="shared" si="103"/>
        <v>791.75699999999995</v>
      </c>
      <c r="I157" s="88">
        <f t="shared" si="103"/>
        <v>853.4000000000002</v>
      </c>
      <c r="J157" s="88">
        <f t="shared" si="103"/>
        <v>894.17100000000016</v>
      </c>
      <c r="K157" s="88">
        <f t="shared" si="103"/>
        <v>902.73899999999992</v>
      </c>
      <c r="L157" s="88">
        <f t="shared" si="103"/>
        <v>1124.6290000000001</v>
      </c>
      <c r="M157" s="88">
        <f t="shared" si="103"/>
        <v>1183.5259999999998</v>
      </c>
      <c r="N157" s="88">
        <f t="shared" si="103"/>
        <v>1156.9769999999999</v>
      </c>
      <c r="O157" s="88">
        <f t="shared" si="103"/>
        <v>1208.3049999999998</v>
      </c>
      <c r="P157" s="88">
        <f t="shared" si="103"/>
        <v>1174.248</v>
      </c>
      <c r="Q157" s="88">
        <f t="shared" si="103"/>
        <v>1201.6179999999999</v>
      </c>
      <c r="R157" s="88">
        <f t="shared" si="103"/>
        <v>1184.2429999999997</v>
      </c>
      <c r="S157" s="88">
        <f t="shared" si="103"/>
        <v>1179.4120000000003</v>
      </c>
      <c r="T157" s="88">
        <f t="shared" si="103"/>
        <v>1279.5460000000003</v>
      </c>
      <c r="U157" s="88">
        <f t="shared" si="103"/>
        <v>1241.8685142946142</v>
      </c>
      <c r="V157" s="88">
        <f t="shared" si="103"/>
        <v>1253.808063007634</v>
      </c>
      <c r="W157" s="181">
        <f t="shared" si="103"/>
        <v>1253.808063007634</v>
      </c>
      <c r="X157" s="88">
        <f t="shared" si="103"/>
        <v>0</v>
      </c>
      <c r="Y157" s="88">
        <f t="shared" si="103"/>
        <v>0</v>
      </c>
      <c r="Z157" s="88">
        <f t="shared" si="103"/>
        <v>0</v>
      </c>
      <c r="AA157" s="88">
        <f t="shared" si="103"/>
        <v>0</v>
      </c>
      <c r="AB157" s="88">
        <f t="shared" si="103"/>
        <v>1315.3165847842029</v>
      </c>
      <c r="AC157" s="88">
        <f t="shared" si="103"/>
        <v>0</v>
      </c>
      <c r="AD157" s="88">
        <f t="shared" si="103"/>
        <v>0</v>
      </c>
      <c r="AE157" s="88">
        <f t="shared" si="103"/>
        <v>0</v>
      </c>
      <c r="AF157" s="88">
        <f t="shared" si="103"/>
        <v>0</v>
      </c>
      <c r="AG157" s="88">
        <f t="shared" si="103"/>
        <v>1343.8606227733731</v>
      </c>
      <c r="AI157" s="54"/>
      <c r="AJ157" s="91"/>
    </row>
    <row r="158" spans="1:36" ht="12.95" hidden="1" customHeight="1" outlineLevel="1">
      <c r="B158" s="32" t="s">
        <v>144</v>
      </c>
      <c r="C158" s="88">
        <f t="shared" ref="C158:AG158" si="104">C157-C111-C110</f>
        <v>315.85510000000016</v>
      </c>
      <c r="D158" s="88">
        <f t="shared" si="104"/>
        <v>342.55600000000004</v>
      </c>
      <c r="E158" s="88">
        <f t="shared" si="104"/>
        <v>421.892</v>
      </c>
      <c r="F158" s="88">
        <f t="shared" si="104"/>
        <v>508.61699999999996</v>
      </c>
      <c r="G158" s="88">
        <f t="shared" si="104"/>
        <v>589.976</v>
      </c>
      <c r="H158" s="88">
        <f t="shared" si="104"/>
        <v>610.21799999999996</v>
      </c>
      <c r="I158" s="88">
        <f t="shared" si="104"/>
        <v>664.51400000000024</v>
      </c>
      <c r="J158" s="88">
        <f t="shared" si="104"/>
        <v>682.80300000000011</v>
      </c>
      <c r="K158" s="88">
        <f t="shared" si="104"/>
        <v>698.31599999999992</v>
      </c>
      <c r="L158" s="88">
        <f t="shared" si="104"/>
        <v>839.46000000000015</v>
      </c>
      <c r="M158" s="88">
        <f t="shared" si="104"/>
        <v>874.50399999999991</v>
      </c>
      <c r="N158" s="88">
        <f t="shared" si="104"/>
        <v>855.87699999999984</v>
      </c>
      <c r="O158" s="88">
        <f t="shared" si="104"/>
        <v>917.1149999999999</v>
      </c>
      <c r="P158" s="88">
        <f t="shared" si="104"/>
        <v>884.44800000000009</v>
      </c>
      <c r="Q158" s="88">
        <f t="shared" si="104"/>
        <v>911.86799999999994</v>
      </c>
      <c r="R158" s="88">
        <f t="shared" si="104"/>
        <v>894.54299999999967</v>
      </c>
      <c r="S158" s="88">
        <f t="shared" si="104"/>
        <v>892.56300000000022</v>
      </c>
      <c r="T158" s="88">
        <f t="shared" si="104"/>
        <v>1001.1460000000003</v>
      </c>
      <c r="U158" s="88">
        <f t="shared" si="104"/>
        <v>963.46851429461424</v>
      </c>
      <c r="V158" s="88">
        <f t="shared" si="104"/>
        <v>975.40806300763404</v>
      </c>
      <c r="W158" s="181">
        <f t="shared" si="104"/>
        <v>975.40806300763404</v>
      </c>
      <c r="X158" s="88">
        <f t="shared" si="104"/>
        <v>0</v>
      </c>
      <c r="Y158" s="88">
        <f t="shared" si="104"/>
        <v>0</v>
      </c>
      <c r="Z158" s="88">
        <f t="shared" si="104"/>
        <v>0</v>
      </c>
      <c r="AA158" s="88">
        <f t="shared" si="104"/>
        <v>0</v>
      </c>
      <c r="AB158" s="88">
        <f t="shared" si="104"/>
        <v>1036.9165847842028</v>
      </c>
      <c r="AC158" s="88">
        <f t="shared" si="104"/>
        <v>0</v>
      </c>
      <c r="AD158" s="88">
        <f t="shared" si="104"/>
        <v>0</v>
      </c>
      <c r="AE158" s="88">
        <f t="shared" si="104"/>
        <v>0</v>
      </c>
      <c r="AF158" s="88">
        <f t="shared" si="104"/>
        <v>0</v>
      </c>
      <c r="AG158" s="88">
        <f t="shared" si="104"/>
        <v>1065.460622773373</v>
      </c>
      <c r="AI158" s="54"/>
      <c r="AJ158" s="91"/>
    </row>
    <row r="159" spans="1:36" ht="12.95" customHeight="1" collapsed="1">
      <c r="B159" s="32" t="s">
        <v>141</v>
      </c>
      <c r="C159" s="88">
        <f>C157</f>
        <v>431.48710000000011</v>
      </c>
      <c r="D159" s="88">
        <f>AVERAGE(C157:D157)</f>
        <v>446.1780500000001</v>
      </c>
      <c r="E159" s="88">
        <f t="shared" ref="E159:M160" si="105">AVERAGE(D157:E157)</f>
        <v>498.46300000000002</v>
      </c>
      <c r="F159" s="88">
        <f t="shared" si="105"/>
        <v>616.88049999999998</v>
      </c>
      <c r="G159" s="88">
        <f t="shared" si="105"/>
        <v>743.37249999999995</v>
      </c>
      <c r="H159" s="88">
        <f t="shared" si="105"/>
        <v>790.39899999999989</v>
      </c>
      <c r="I159" s="88">
        <f t="shared" si="105"/>
        <v>822.57850000000008</v>
      </c>
      <c r="J159" s="88">
        <f t="shared" si="105"/>
        <v>873.78550000000018</v>
      </c>
      <c r="K159" s="88">
        <f t="shared" si="105"/>
        <v>898.45500000000004</v>
      </c>
      <c r="L159" s="88">
        <f t="shared" si="105"/>
        <v>1013.684</v>
      </c>
      <c r="M159" s="88">
        <f t="shared" si="105"/>
        <v>1154.0774999999999</v>
      </c>
      <c r="N159" s="88">
        <f t="shared" ref="N159" si="106">AVERAGE(M157:N157)</f>
        <v>1170.2514999999999</v>
      </c>
      <c r="O159" s="88">
        <f t="shared" ref="O159:Q159" si="107">AVERAGE(N157:O157)</f>
        <v>1182.6409999999998</v>
      </c>
      <c r="P159" s="88">
        <f t="shared" si="107"/>
        <v>1191.2764999999999</v>
      </c>
      <c r="Q159" s="88">
        <f t="shared" si="107"/>
        <v>1187.933</v>
      </c>
      <c r="R159" s="105">
        <f>AVERAGE(R157,M157)</f>
        <v>1183.8844999999997</v>
      </c>
      <c r="S159" s="88">
        <f t="shared" ref="S159:V159" si="108">AVERAGE(R157:S157)</f>
        <v>1181.8274999999999</v>
      </c>
      <c r="T159" s="88">
        <f t="shared" si="108"/>
        <v>1229.4790000000003</v>
      </c>
      <c r="U159" s="88">
        <f t="shared" si="108"/>
        <v>1260.7072571473072</v>
      </c>
      <c r="V159" s="88">
        <f t="shared" si="108"/>
        <v>1247.838288651124</v>
      </c>
      <c r="W159" s="189">
        <f>AVERAGE(W157,R157)</f>
        <v>1219.0255315038169</v>
      </c>
      <c r="X159" s="108"/>
      <c r="Y159" s="108"/>
      <c r="Z159" s="108"/>
      <c r="AA159" s="108"/>
      <c r="AB159" s="105">
        <f>AVERAGE(AB157,W157)</f>
        <v>1284.5623238959183</v>
      </c>
      <c r="AC159" s="108"/>
      <c r="AD159" s="108"/>
      <c r="AE159" s="108"/>
      <c r="AF159" s="108"/>
      <c r="AG159" s="105">
        <f>AVERAGE(AG157,AB157)</f>
        <v>1329.588603778788</v>
      </c>
      <c r="AI159" s="54"/>
      <c r="AJ159" s="91"/>
    </row>
    <row r="160" spans="1:36" ht="12.95" customHeight="1">
      <c r="B160" s="32" t="s">
        <v>145</v>
      </c>
      <c r="D160" s="88">
        <f>AVERAGE(C158:D158)</f>
        <v>329.20555000000013</v>
      </c>
      <c r="E160" s="88">
        <f t="shared" si="105"/>
        <v>382.22400000000005</v>
      </c>
      <c r="F160" s="88">
        <f t="shared" si="105"/>
        <v>465.25450000000001</v>
      </c>
      <c r="G160" s="88">
        <f t="shared" si="105"/>
        <v>549.29649999999992</v>
      </c>
      <c r="H160" s="88">
        <f t="shared" si="105"/>
        <v>600.09699999999998</v>
      </c>
      <c r="I160" s="88">
        <f t="shared" si="105"/>
        <v>637.3660000000001</v>
      </c>
      <c r="J160" s="88">
        <f t="shared" si="105"/>
        <v>673.65850000000023</v>
      </c>
      <c r="K160" s="88">
        <f t="shared" si="105"/>
        <v>690.55950000000007</v>
      </c>
      <c r="L160" s="88">
        <f t="shared" si="105"/>
        <v>768.88800000000003</v>
      </c>
      <c r="M160" s="88">
        <f t="shared" si="105"/>
        <v>856.98199999999997</v>
      </c>
      <c r="N160" s="88">
        <f t="shared" ref="N160:AF160" si="109">AVERAGE(M158:N158)</f>
        <v>865.19049999999993</v>
      </c>
      <c r="O160" s="88">
        <f t="shared" si="109"/>
        <v>886.49599999999987</v>
      </c>
      <c r="P160" s="88">
        <f t="shared" si="109"/>
        <v>900.78150000000005</v>
      </c>
      <c r="Q160" s="88">
        <f t="shared" si="109"/>
        <v>898.15800000000002</v>
      </c>
      <c r="R160" s="105">
        <f>AVERAGE(R158,M158)</f>
        <v>884.52349999999979</v>
      </c>
      <c r="S160" s="88">
        <f t="shared" si="109"/>
        <v>893.55299999999988</v>
      </c>
      <c r="T160" s="88">
        <f t="shared" si="109"/>
        <v>946.85450000000026</v>
      </c>
      <c r="U160" s="88">
        <f t="shared" si="109"/>
        <v>982.30725714730727</v>
      </c>
      <c r="V160" s="88">
        <f t="shared" si="109"/>
        <v>969.43828865112414</v>
      </c>
      <c r="W160" s="189">
        <f>AVERAGE(W158,R158)</f>
        <v>934.97553150381691</v>
      </c>
      <c r="X160" s="88">
        <f t="shared" si="109"/>
        <v>487.70403150381702</v>
      </c>
      <c r="Y160" s="88">
        <f t="shared" si="109"/>
        <v>0</v>
      </c>
      <c r="Z160" s="88">
        <f t="shared" si="109"/>
        <v>0</v>
      </c>
      <c r="AA160" s="88">
        <f t="shared" si="109"/>
        <v>0</v>
      </c>
      <c r="AB160" s="105">
        <f>AVERAGE(AB158,W158)</f>
        <v>1006.1623238959185</v>
      </c>
      <c r="AC160" s="88">
        <f t="shared" si="109"/>
        <v>518.45829239210138</v>
      </c>
      <c r="AD160" s="88">
        <f t="shared" si="109"/>
        <v>0</v>
      </c>
      <c r="AE160" s="88">
        <f t="shared" si="109"/>
        <v>0</v>
      </c>
      <c r="AF160" s="88">
        <f t="shared" si="109"/>
        <v>0</v>
      </c>
      <c r="AG160" s="105">
        <f>AVERAGE(AG158,AB158)</f>
        <v>1051.1886037787879</v>
      </c>
      <c r="AI160" s="54"/>
      <c r="AJ160" s="91"/>
    </row>
    <row r="161" spans="1:36" ht="12.95" customHeight="1">
      <c r="D161" s="88"/>
      <c r="E161" s="88"/>
      <c r="F161" s="88"/>
      <c r="G161" s="88"/>
      <c r="H161" s="88"/>
      <c r="I161" s="88"/>
      <c r="J161" s="88"/>
      <c r="K161" s="88"/>
      <c r="L161" s="88"/>
      <c r="M161" s="39"/>
      <c r="N161" s="108"/>
      <c r="O161" s="108"/>
      <c r="P161" s="108"/>
      <c r="Q161" s="108"/>
      <c r="R161" s="108"/>
      <c r="S161" s="108"/>
      <c r="T161" s="108"/>
      <c r="U161" s="108"/>
      <c r="V161" s="108"/>
      <c r="W161" s="188"/>
      <c r="X161" s="108"/>
      <c r="Y161" s="108"/>
      <c r="Z161" s="108"/>
      <c r="AA161" s="108"/>
      <c r="AB161" s="108"/>
      <c r="AC161" s="108"/>
      <c r="AD161" s="108"/>
      <c r="AE161" s="108"/>
      <c r="AF161" s="108"/>
      <c r="AG161" s="108"/>
      <c r="AI161" s="54"/>
      <c r="AJ161" s="91"/>
    </row>
    <row r="162" spans="1:36" ht="12.95" customHeight="1">
      <c r="B162" s="102" t="s">
        <v>77</v>
      </c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108"/>
      <c r="O162" s="108"/>
      <c r="P162" s="108"/>
      <c r="Q162" s="108"/>
      <c r="R162" s="108"/>
      <c r="S162" s="108"/>
      <c r="T162" s="108"/>
      <c r="U162" s="108"/>
      <c r="V162" s="108"/>
      <c r="W162" s="188"/>
      <c r="X162" s="108"/>
      <c r="Y162" s="108"/>
      <c r="Z162" s="108"/>
      <c r="AA162" s="108"/>
      <c r="AB162" s="108"/>
      <c r="AC162" s="108"/>
      <c r="AD162" s="108"/>
      <c r="AE162" s="108"/>
      <c r="AF162" s="108"/>
      <c r="AG162" s="108"/>
      <c r="AI162" s="54"/>
      <c r="AJ162" s="91"/>
    </row>
    <row r="163" spans="1:36" ht="12.95" customHeight="1">
      <c r="B163" s="32" t="s">
        <v>142</v>
      </c>
      <c r="D163" s="38">
        <f t="shared" ref="D163:M163" si="110">D26/D155</f>
        <v>0.13903096448742658</v>
      </c>
      <c r="E163" s="38">
        <f t="shared" si="110"/>
        <v>0.13357397942108701</v>
      </c>
      <c r="F163" s="38">
        <f t="shared" si="110"/>
        <v>0.14351360867704807</v>
      </c>
      <c r="G163" s="38">
        <f t="shared" si="110"/>
        <v>0.16000974742842755</v>
      </c>
      <c r="H163" s="38">
        <f t="shared" si="110"/>
        <v>0.1405227379126725</v>
      </c>
      <c r="I163" s="38">
        <f t="shared" si="110"/>
        <v>0.1253430491979339</v>
      </c>
      <c r="J163" s="38">
        <f t="shared" si="110"/>
        <v>0.14376668649448737</v>
      </c>
      <c r="K163" s="38">
        <f t="shared" si="110"/>
        <v>0.16259507694121286</v>
      </c>
      <c r="L163" s="38">
        <f t="shared" si="110"/>
        <v>0.14462470481577575</v>
      </c>
      <c r="M163" s="38">
        <f t="shared" si="110"/>
        <v>0.12577618929463252</v>
      </c>
      <c r="N163" s="38">
        <f>(N26/N155)*4</f>
        <v>0.13828291139074145</v>
      </c>
      <c r="O163" s="38">
        <f>(O26/O155)*4</f>
        <v>0.1196978430917854</v>
      </c>
      <c r="P163" s="38">
        <f>(P26/P155)*4</f>
        <v>0.11643469688430537</v>
      </c>
      <c r="Q163" s="38">
        <f>(Q26/Q155)*4</f>
        <v>0.12078250282038673</v>
      </c>
      <c r="R163" s="38">
        <f>R26/R155</f>
        <v>0.1329395646769555</v>
      </c>
      <c r="S163" s="38">
        <f>(S26/S155)*4</f>
        <v>0.11467674192562675</v>
      </c>
      <c r="T163" s="38">
        <f>(T26/T155)*4</f>
        <v>0.13626270598867471</v>
      </c>
      <c r="U163" s="38">
        <f>(U26/U155)*4</f>
        <v>0.16683143213518742</v>
      </c>
      <c r="V163" s="38">
        <f>(V26/V155)*4</f>
        <v>0.1467594286573129</v>
      </c>
      <c r="W163" s="190">
        <f t="shared" ref="W163:AG163" si="111">W26/W155</f>
        <v>0.13760996450279636</v>
      </c>
      <c r="X163" s="38" t="e">
        <f t="shared" si="111"/>
        <v>#DIV/0!</v>
      </c>
      <c r="Y163" s="38" t="e">
        <f t="shared" si="111"/>
        <v>#DIV/0!</v>
      </c>
      <c r="Z163" s="38" t="e">
        <f t="shared" si="111"/>
        <v>#DIV/0!</v>
      </c>
      <c r="AA163" s="38" t="e">
        <f t="shared" si="111"/>
        <v>#DIV/0!</v>
      </c>
      <c r="AB163" s="38">
        <f t="shared" si="111"/>
        <v>0.15691683293046793</v>
      </c>
      <c r="AC163" s="38" t="e">
        <f t="shared" si="111"/>
        <v>#DIV/0!</v>
      </c>
      <c r="AD163" s="38" t="e">
        <f t="shared" si="111"/>
        <v>#DIV/0!</v>
      </c>
      <c r="AE163" s="38" t="e">
        <f t="shared" si="111"/>
        <v>#DIV/0!</v>
      </c>
      <c r="AF163" s="38" t="e">
        <f t="shared" si="111"/>
        <v>#DIV/0!</v>
      </c>
      <c r="AG163" s="38">
        <f t="shared" si="111"/>
        <v>0.16197461335622695</v>
      </c>
      <c r="AI163" s="54"/>
      <c r="AJ163" s="91"/>
    </row>
    <row r="164" spans="1:36" ht="12.95" customHeight="1">
      <c r="B164" s="32" t="s">
        <v>143</v>
      </c>
      <c r="D164" s="38">
        <f t="shared" ref="D164:M164" si="112">D26/D156</f>
        <v>0.15545095384258811</v>
      </c>
      <c r="E164" s="38">
        <f t="shared" si="112"/>
        <v>0.14842146208672266</v>
      </c>
      <c r="F164" s="38">
        <f t="shared" si="112"/>
        <v>0.16126697089487094</v>
      </c>
      <c r="G164" s="38">
        <f t="shared" si="112"/>
        <v>0.18684034759998142</v>
      </c>
      <c r="H164" s="38">
        <f t="shared" si="112"/>
        <v>0.16452159457817847</v>
      </c>
      <c r="I164" s="38">
        <f t="shared" si="112"/>
        <v>0.14269975551266423</v>
      </c>
      <c r="J164" s="38">
        <f t="shared" si="112"/>
        <v>0.20248830070031404</v>
      </c>
      <c r="K164" s="38">
        <f t="shared" si="112"/>
        <v>0.32619868152422898</v>
      </c>
      <c r="L164" s="38">
        <f t="shared" si="112"/>
        <v>0.27204012336817485</v>
      </c>
      <c r="M164" s="38">
        <f t="shared" si="112"/>
        <v>0.20237046265360437</v>
      </c>
      <c r="N164" s="38">
        <f>(N26/N156)*4</f>
        <v>0.20620413546968086</v>
      </c>
      <c r="O164" s="38">
        <f>(O26/O156)*4</f>
        <v>0.19784522376886859</v>
      </c>
      <c r="P164" s="38">
        <f>(P26/P156)*4</f>
        <v>0.20844849578896954</v>
      </c>
      <c r="Q164" s="38">
        <f>(Q26/Q156)*4</f>
        <v>0.21866739794480369</v>
      </c>
      <c r="R164" s="38">
        <f>R26/R156</f>
        <v>0.22339087431563467</v>
      </c>
      <c r="S164" s="38">
        <f>(S26/S156)*4</f>
        <v>0.21163350153603835</v>
      </c>
      <c r="T164" s="38">
        <f>(T26/T156)*4</f>
        <v>0.26973388750790189</v>
      </c>
      <c r="U164" s="38">
        <f>(U26/U156)*4</f>
        <v>0.35487983603707884</v>
      </c>
      <c r="V164" s="38">
        <f>(V26/V156)*4</f>
        <v>0.29490815733856146</v>
      </c>
      <c r="W164" s="190">
        <f>W26/W156</f>
        <v>0.26273674412813658</v>
      </c>
      <c r="X164" s="108"/>
      <c r="Y164" s="108"/>
      <c r="Z164" s="108"/>
      <c r="AA164" s="108"/>
      <c r="AB164" s="38">
        <f>AB26/AB156</f>
        <v>0.29627805336018664</v>
      </c>
      <c r="AC164" s="108"/>
      <c r="AD164" s="108"/>
      <c r="AE164" s="108"/>
      <c r="AF164" s="108"/>
      <c r="AG164" s="38">
        <f>AG26/AG156</f>
        <v>0.28582835543161811</v>
      </c>
      <c r="AI164" s="54"/>
      <c r="AJ164" s="91"/>
    </row>
    <row r="165" spans="1:36" ht="12.95" customHeight="1">
      <c r="B165" s="32" t="s">
        <v>63</v>
      </c>
      <c r="C165" s="38">
        <f t="shared" ref="C165:M165" si="113">(C20-C25)/C159</f>
        <v>0.17031679510233314</v>
      </c>
      <c r="D165" s="38">
        <f t="shared" si="113"/>
        <v>0.21018066666435065</v>
      </c>
      <c r="E165" s="38">
        <f t="shared" si="113"/>
        <v>0.22025506406694181</v>
      </c>
      <c r="F165" s="38">
        <f t="shared" si="113"/>
        <v>0.19787138675967228</v>
      </c>
      <c r="G165" s="38">
        <f t="shared" si="113"/>
        <v>0.19532603102751328</v>
      </c>
      <c r="H165" s="38">
        <f t="shared" si="113"/>
        <v>0.17601236843670107</v>
      </c>
      <c r="I165" s="38">
        <f t="shared" si="113"/>
        <v>0.17372445304612266</v>
      </c>
      <c r="J165" s="38">
        <f t="shared" si="113"/>
        <v>0.19192124382929213</v>
      </c>
      <c r="K165" s="38">
        <f t="shared" si="113"/>
        <v>0.21187816863393269</v>
      </c>
      <c r="L165" s="38">
        <f t="shared" si="113"/>
        <v>0.18363217728601816</v>
      </c>
      <c r="M165" s="38">
        <f t="shared" si="113"/>
        <v>0.15907250596255451</v>
      </c>
      <c r="N165" s="38">
        <f>4*(N20-N25)/N159</f>
        <v>0.18045009982896854</v>
      </c>
      <c r="O165" s="38">
        <f>4*(O20-O25)/O159</f>
        <v>0.17776146776578869</v>
      </c>
      <c r="P165" s="38">
        <f>4*(P20-P25)/P159</f>
        <v>0.21500298209525659</v>
      </c>
      <c r="Q165" s="38">
        <f>4*(Q20-Q25)/Q159</f>
        <v>0.21121729929213179</v>
      </c>
      <c r="R165" s="38">
        <f>(R20-R25)/R159</f>
        <v>0.19606220032444049</v>
      </c>
      <c r="S165" s="38">
        <f>4*(S20-S25)/S159</f>
        <v>0.19257971235226815</v>
      </c>
      <c r="T165" s="38">
        <f>4*(T20-T25)/T159</f>
        <v>0.19348032784618502</v>
      </c>
      <c r="U165" s="38">
        <f>4*(U20-U25)/U159</f>
        <v>0.23535568810113591</v>
      </c>
      <c r="V165" s="38">
        <f>4*(V20-V25)/V159</f>
        <v>0.21122084039023256</v>
      </c>
      <c r="W165" s="190">
        <f>(W20-W25)/W159</f>
        <v>0.21036476461953194</v>
      </c>
      <c r="X165" s="108"/>
      <c r="Y165" s="108"/>
      <c r="Z165" s="108"/>
      <c r="AA165" s="108"/>
      <c r="AB165" s="38">
        <f>(AB20-AB25)/AB159</f>
        <v>0.22472401235921641</v>
      </c>
      <c r="AC165" s="108"/>
      <c r="AD165" s="108"/>
      <c r="AE165" s="108"/>
      <c r="AF165" s="108"/>
      <c r="AG165" s="38">
        <f>(AG20-AG25)/AG159</f>
        <v>0.23305208734153551</v>
      </c>
      <c r="AI165" s="54"/>
      <c r="AJ165" s="91"/>
    </row>
    <row r="166" spans="1:36" ht="12.95" customHeight="1">
      <c r="B166" s="32" t="s">
        <v>78</v>
      </c>
      <c r="D166" s="38">
        <f t="shared" ref="D166:M166" si="114">(D20-D25)/D160</f>
        <v>0.28486154015325671</v>
      </c>
      <c r="E166" s="38">
        <f t="shared" si="114"/>
        <v>0.28723732680313113</v>
      </c>
      <c r="F166" s="38">
        <f t="shared" si="114"/>
        <v>0.26235748391471769</v>
      </c>
      <c r="G166" s="38">
        <f t="shared" si="114"/>
        <v>0.26433811247659528</v>
      </c>
      <c r="H166" s="38">
        <f t="shared" si="114"/>
        <v>0.23182918761466909</v>
      </c>
      <c r="I166" s="38">
        <f t="shared" si="114"/>
        <v>0.22420712745894822</v>
      </c>
      <c r="J166" s="38">
        <f t="shared" si="114"/>
        <v>0.2489362191674267</v>
      </c>
      <c r="K166" s="38">
        <f t="shared" si="114"/>
        <v>0.27566487753770669</v>
      </c>
      <c r="L166" s="38">
        <f t="shared" si="114"/>
        <v>0.24209637814610194</v>
      </c>
      <c r="M166" s="38">
        <f t="shared" si="114"/>
        <v>0.21421920180353846</v>
      </c>
      <c r="N166" s="38">
        <f>4*(N20-N25)/N160</f>
        <v>0.24407572667522373</v>
      </c>
      <c r="O166" s="38">
        <f>4*(O20-O25)/O160</f>
        <v>0.23714489405479561</v>
      </c>
      <c r="P166" s="38">
        <f>4*(P20-P25)/P160</f>
        <v>0.28433976497075031</v>
      </c>
      <c r="Q166" s="38">
        <f>4*(Q20-Q25)/Q160</f>
        <v>0.27936287379280705</v>
      </c>
      <c r="R166" s="38">
        <f>(R20-R25)/R160</f>
        <v>0.26241812682195564</v>
      </c>
      <c r="S166" s="38">
        <f>4*(S20-S25)/S160</f>
        <v>0.25470900998597751</v>
      </c>
      <c r="T166" s="38">
        <f>4*(T20-T25)/T160</f>
        <v>0.2512318418510972</v>
      </c>
      <c r="U166" s="38">
        <f>4*(U20-U25)/U160</f>
        <v>0.30205887398376891</v>
      </c>
      <c r="V166" s="38">
        <f>4*(V20-V25)/V160</f>
        <v>0.271878525003103</v>
      </c>
      <c r="W166" s="190">
        <f>(W20-W25)/W160</f>
        <v>0.2742745776325734</v>
      </c>
      <c r="X166" s="108"/>
      <c r="Y166" s="108"/>
      <c r="Z166" s="108"/>
      <c r="AA166" s="108"/>
      <c r="AB166" s="38">
        <f>(AB20-AB25)/AB160</f>
        <v>0.28690400415075723</v>
      </c>
      <c r="AC166" s="108"/>
      <c r="AD166" s="108"/>
      <c r="AE166" s="108"/>
      <c r="AF166" s="108"/>
      <c r="AG166" s="38">
        <f>(AG20-AG25)/AG160</f>
        <v>0.29477431385982944</v>
      </c>
      <c r="AI166" s="54"/>
      <c r="AJ166" s="91"/>
    </row>
    <row r="167" spans="1:36" ht="12.95" customHeight="1">
      <c r="D167" s="3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39"/>
      <c r="U167" s="88"/>
      <c r="V167" s="88"/>
      <c r="W167" s="181"/>
      <c r="X167" s="88"/>
      <c r="Y167" s="88"/>
      <c r="Z167" s="88"/>
      <c r="AA167" s="88"/>
      <c r="AB167" s="88"/>
      <c r="AC167" s="88"/>
      <c r="AD167" s="88"/>
      <c r="AE167" s="88"/>
      <c r="AF167" s="88"/>
      <c r="AG167" s="39"/>
      <c r="AI167" s="54">
        <v>0</v>
      </c>
      <c r="AJ167" s="91"/>
    </row>
    <row r="168" spans="1:36" s="112" customFormat="1" ht="12.95" customHeight="1">
      <c r="A168" s="109"/>
      <c r="B168" s="50" t="s">
        <v>92</v>
      </c>
      <c r="C168" s="409" t="s">
        <v>347</v>
      </c>
      <c r="D168" s="409">
        <v>2005</v>
      </c>
      <c r="E168" s="409">
        <f t="shared" ref="E168:M168" si="115">D168+1</f>
        <v>2006</v>
      </c>
      <c r="F168" s="409">
        <f t="shared" si="115"/>
        <v>2007</v>
      </c>
      <c r="G168" s="409">
        <f t="shared" si="115"/>
        <v>2008</v>
      </c>
      <c r="H168" s="409">
        <f t="shared" si="115"/>
        <v>2009</v>
      </c>
      <c r="I168" s="409">
        <f t="shared" si="115"/>
        <v>2010</v>
      </c>
      <c r="J168" s="409">
        <f t="shared" si="115"/>
        <v>2011</v>
      </c>
      <c r="K168" s="409">
        <f t="shared" si="115"/>
        <v>2012</v>
      </c>
      <c r="L168" s="409">
        <f t="shared" si="115"/>
        <v>2013</v>
      </c>
      <c r="M168" s="409">
        <f t="shared" si="115"/>
        <v>2014</v>
      </c>
      <c r="N168" s="51"/>
      <c r="O168" s="51"/>
      <c r="P168" s="51"/>
      <c r="Q168" s="51"/>
      <c r="R168" s="409">
        <v>2015</v>
      </c>
      <c r="S168" s="51"/>
      <c r="T168" s="51"/>
      <c r="U168" s="51"/>
      <c r="V168" s="51"/>
      <c r="W168" s="409" t="s">
        <v>10</v>
      </c>
      <c r="X168" s="51"/>
      <c r="Y168" s="51"/>
      <c r="Z168" s="51"/>
      <c r="AA168" s="51"/>
      <c r="AB168" s="409" t="s">
        <v>11</v>
      </c>
      <c r="AC168" s="51"/>
      <c r="AD168" s="51"/>
      <c r="AE168" s="51"/>
      <c r="AF168" s="51"/>
      <c r="AG168" s="409" t="s">
        <v>51</v>
      </c>
      <c r="AH168" s="110"/>
      <c r="AI168" s="53">
        <v>0</v>
      </c>
      <c r="AJ168" s="111"/>
    </row>
    <row r="169" spans="1:36" ht="12.95" customHeight="1">
      <c r="K169" s="113"/>
      <c r="L169" s="113"/>
      <c r="M169" s="113"/>
      <c r="R169" s="113"/>
      <c r="AI169" s="54">
        <v>0</v>
      </c>
      <c r="AJ169" s="91"/>
    </row>
    <row r="170" spans="1:36" s="98" customFormat="1" ht="12.95" customHeight="1">
      <c r="A170" s="115"/>
      <c r="B170" s="98" t="s">
        <v>38</v>
      </c>
      <c r="C170" s="116">
        <v>79.220300000000009</v>
      </c>
      <c r="D170" s="116">
        <v>102.116</v>
      </c>
      <c r="E170" s="116">
        <v>96.947000000000003</v>
      </c>
      <c r="F170" s="116">
        <v>136.33799999999999</v>
      </c>
      <c r="G170" s="116">
        <v>156.93199999999999</v>
      </c>
      <c r="H170" s="116">
        <v>141.10300000000001</v>
      </c>
      <c r="I170" s="116">
        <v>151.62700000000001</v>
      </c>
      <c r="J170" s="116">
        <v>166.375</v>
      </c>
      <c r="K170" s="116">
        <v>182.119</v>
      </c>
      <c r="L170" s="116">
        <v>180.02500000000001</v>
      </c>
      <c r="M170" s="116">
        <v>178.68700000000001</v>
      </c>
      <c r="N170" s="116">
        <f>N26</f>
        <v>52.606000000000037</v>
      </c>
      <c r="O170" s="116">
        <f>O26</f>
        <v>52.198000000000022</v>
      </c>
      <c r="P170" s="116">
        <f>P26</f>
        <v>57.563000000000002</v>
      </c>
      <c r="Q170" s="116">
        <f>Q26</f>
        <v>57.411999999999999</v>
      </c>
      <c r="R170" s="116">
        <v>219.78</v>
      </c>
      <c r="S170" s="116">
        <v>52.412999999999997</v>
      </c>
      <c r="T170" s="116">
        <f>111.376-S170</f>
        <v>58.963000000000008</v>
      </c>
      <c r="U170" s="116">
        <f>U26</f>
        <v>68.178656000000046</v>
      </c>
      <c r="V170" s="116">
        <f>V26</f>
        <v>61.892363000000003</v>
      </c>
      <c r="W170" s="182">
        <f>SUM(S170:V170)</f>
        <v>241.44701900000007</v>
      </c>
      <c r="X170" s="116"/>
      <c r="Y170" s="116"/>
      <c r="Z170" s="116"/>
      <c r="AA170" s="116"/>
      <c r="AB170" s="116">
        <f>AB26</f>
        <v>273.1819995513701</v>
      </c>
      <c r="AC170" s="116"/>
      <c r="AD170" s="116"/>
      <c r="AE170" s="116"/>
      <c r="AF170" s="116"/>
      <c r="AG170" s="116">
        <f>AG26</f>
        <v>294.37339941616432</v>
      </c>
      <c r="AH170" s="152"/>
      <c r="AI170" s="77"/>
      <c r="AJ170" s="153"/>
    </row>
    <row r="171" spans="1:36" ht="12.95" customHeight="1">
      <c r="B171" s="6" t="s">
        <v>146</v>
      </c>
      <c r="C171" s="89">
        <v>30.808299999999999</v>
      </c>
      <c r="D171" s="89">
        <v>31.295999999999999</v>
      </c>
      <c r="E171" s="89">
        <v>31.456</v>
      </c>
      <c r="F171" s="89">
        <v>37.088999999999999</v>
      </c>
      <c r="G171" s="89">
        <v>42.804000000000002</v>
      </c>
      <c r="H171" s="89">
        <v>41.353999999999999</v>
      </c>
      <c r="I171" s="89">
        <v>43.241999999999997</v>
      </c>
      <c r="J171" s="89">
        <v>45.694000000000003</v>
      </c>
      <c r="K171" s="89">
        <v>48.167000000000002</v>
      </c>
      <c r="L171" s="89">
        <v>56.728000000000002</v>
      </c>
      <c r="M171" s="89">
        <v>53.725999999999999</v>
      </c>
      <c r="N171" s="89">
        <v>13.967000000000001</v>
      </c>
      <c r="O171" s="89">
        <v>11.4</v>
      </c>
      <c r="P171" s="89">
        <v>12.212</v>
      </c>
      <c r="Q171" s="89">
        <v>11.314</v>
      </c>
      <c r="R171" s="89">
        <v>48.893000000000001</v>
      </c>
      <c r="S171" s="89">
        <v>11.56</v>
      </c>
      <c r="T171" s="89">
        <f>23.29-S171</f>
        <v>11.729999999999999</v>
      </c>
      <c r="U171" s="89">
        <f>U18+U14</f>
        <v>12.4</v>
      </c>
      <c r="V171" s="89">
        <f>V18+V14</f>
        <v>12.2</v>
      </c>
      <c r="W171" s="181">
        <f t="shared" ref="W171:W190" si="116">SUM(S171:V171)</f>
        <v>47.89</v>
      </c>
      <c r="X171" s="88"/>
      <c r="Y171" s="88"/>
      <c r="Z171" s="88"/>
      <c r="AA171" s="88"/>
      <c r="AB171" s="105">
        <f>AB18+AB14</f>
        <v>50</v>
      </c>
      <c r="AC171" s="88"/>
      <c r="AD171" s="88"/>
      <c r="AE171" s="88"/>
      <c r="AF171" s="88"/>
      <c r="AG171" s="105">
        <f>AG18+AG14</f>
        <v>54</v>
      </c>
      <c r="AH171" s="145"/>
      <c r="AI171" s="54"/>
      <c r="AJ171" s="120"/>
    </row>
    <row r="172" spans="1:36" ht="12.95" customHeight="1">
      <c r="B172" s="6" t="s">
        <v>147</v>
      </c>
      <c r="C172" s="89">
        <v>0.76029999999999998</v>
      </c>
      <c r="D172" s="89">
        <v>-0.51700000000000002</v>
      </c>
      <c r="E172" s="89">
        <v>0.54800000000000004</v>
      </c>
      <c r="F172" s="89">
        <v>0.41599999999999998</v>
      </c>
      <c r="G172" s="89">
        <v>0.34899999999999998</v>
      </c>
      <c r="H172" s="89">
        <v>-0.17399999999999999</v>
      </c>
      <c r="I172" s="89">
        <v>0.442</v>
      </c>
      <c r="J172" s="89">
        <v>0.27</v>
      </c>
      <c r="K172" s="89">
        <v>-0.192</v>
      </c>
      <c r="L172" s="89">
        <v>-0.35599999999999998</v>
      </c>
      <c r="M172" s="89">
        <v>1.087</v>
      </c>
      <c r="N172" s="89">
        <v>0</v>
      </c>
      <c r="O172" s="89">
        <v>0</v>
      </c>
      <c r="P172" s="89">
        <v>0</v>
      </c>
      <c r="Q172" s="89">
        <v>0</v>
      </c>
      <c r="R172" s="89">
        <v>0</v>
      </c>
      <c r="S172" s="89">
        <v>0</v>
      </c>
      <c r="T172" s="89">
        <v>0</v>
      </c>
      <c r="U172" s="88">
        <v>0</v>
      </c>
      <c r="V172" s="88">
        <v>0</v>
      </c>
      <c r="W172" s="181">
        <f t="shared" si="116"/>
        <v>0</v>
      </c>
      <c r="X172" s="88"/>
      <c r="Y172" s="88"/>
      <c r="Z172" s="88"/>
      <c r="AA172" s="88"/>
      <c r="AB172" s="88">
        <v>0</v>
      </c>
      <c r="AC172" s="88"/>
      <c r="AD172" s="88"/>
      <c r="AE172" s="88"/>
      <c r="AF172" s="88"/>
      <c r="AG172" s="88">
        <v>0</v>
      </c>
      <c r="AH172" s="145"/>
      <c r="AI172" s="54"/>
      <c r="AJ172" s="120"/>
    </row>
    <row r="173" spans="1:36" ht="12.95" hidden="1" customHeight="1" outlineLevel="1">
      <c r="B173" s="6" t="s">
        <v>148</v>
      </c>
      <c r="C173" s="89">
        <v>-7.4200000000000002E-2</v>
      </c>
      <c r="D173" s="89">
        <v>-1.2999999999999999E-2</v>
      </c>
      <c r="E173" s="89">
        <v>0.24199999999999999</v>
      </c>
      <c r="F173" s="89">
        <v>0.161</v>
      </c>
      <c r="G173" s="89">
        <v>-0.505</v>
      </c>
      <c r="H173" s="89">
        <v>-1.171</v>
      </c>
      <c r="I173" s="89">
        <v>-0.44</v>
      </c>
      <c r="J173" s="89">
        <v>0</v>
      </c>
      <c r="K173" s="89">
        <v>0</v>
      </c>
      <c r="L173" s="89">
        <v>0</v>
      </c>
      <c r="M173" s="89">
        <v>0</v>
      </c>
      <c r="N173" s="89">
        <v>0</v>
      </c>
      <c r="O173" s="89">
        <v>0</v>
      </c>
      <c r="P173" s="89">
        <v>0</v>
      </c>
      <c r="Q173" s="89">
        <v>0</v>
      </c>
      <c r="R173" s="89">
        <v>0</v>
      </c>
      <c r="S173" s="89">
        <v>0</v>
      </c>
      <c r="T173" s="89">
        <v>0</v>
      </c>
      <c r="U173" s="88">
        <v>0</v>
      </c>
      <c r="V173" s="88">
        <v>0</v>
      </c>
      <c r="W173" s="181">
        <f t="shared" si="116"/>
        <v>0</v>
      </c>
      <c r="X173" s="88"/>
      <c r="Y173" s="88"/>
      <c r="Z173" s="88"/>
      <c r="AA173" s="88"/>
      <c r="AB173" s="88">
        <v>0</v>
      </c>
      <c r="AC173" s="88"/>
      <c r="AD173" s="88"/>
      <c r="AE173" s="88"/>
      <c r="AF173" s="88"/>
      <c r="AG173" s="88">
        <v>0</v>
      </c>
      <c r="AH173" s="145"/>
      <c r="AI173" s="54"/>
      <c r="AJ173" s="120"/>
    </row>
    <row r="174" spans="1:36" ht="12.95" customHeight="1" collapsed="1">
      <c r="B174" s="6" t="s">
        <v>149</v>
      </c>
      <c r="C174" s="89">
        <v>0</v>
      </c>
      <c r="D174" s="89">
        <v>0</v>
      </c>
      <c r="E174" s="89">
        <v>3.53</v>
      </c>
      <c r="F174" s="89">
        <v>3.4239999999999999</v>
      </c>
      <c r="G174" s="89">
        <v>6.3559999999999999</v>
      </c>
      <c r="H174" s="89">
        <v>9.4130000000000003</v>
      </c>
      <c r="I174" s="89">
        <v>17.954999999999998</v>
      </c>
      <c r="J174" s="89">
        <v>19.007000000000001</v>
      </c>
      <c r="K174" s="89">
        <v>21.791</v>
      </c>
      <c r="L174" s="89">
        <v>19.556999999999999</v>
      </c>
      <c r="M174" s="89">
        <v>22.099</v>
      </c>
      <c r="N174" s="89">
        <v>0</v>
      </c>
      <c r="O174" s="89">
        <v>0</v>
      </c>
      <c r="P174" s="89">
        <v>0</v>
      </c>
      <c r="Q174" s="89">
        <v>0</v>
      </c>
      <c r="R174" s="89">
        <v>18.154</v>
      </c>
      <c r="S174" s="89">
        <v>5.4139999999999997</v>
      </c>
      <c r="T174" s="89">
        <f>10.8-S174</f>
        <v>5.386000000000001</v>
      </c>
      <c r="U174" s="88">
        <f>T174</f>
        <v>5.386000000000001</v>
      </c>
      <c r="V174" s="88">
        <f>U174</f>
        <v>5.386000000000001</v>
      </c>
      <c r="W174" s="181">
        <f t="shared" si="116"/>
        <v>21.572000000000003</v>
      </c>
      <c r="X174" s="88"/>
      <c r="Y174" s="88"/>
      <c r="Z174" s="88"/>
      <c r="AA174" s="88"/>
      <c r="AB174" s="88">
        <f>W174</f>
        <v>21.572000000000003</v>
      </c>
      <c r="AC174" s="88"/>
      <c r="AD174" s="88"/>
      <c r="AE174" s="88"/>
      <c r="AF174" s="88"/>
      <c r="AG174" s="88">
        <f>AB174</f>
        <v>21.572000000000003</v>
      </c>
      <c r="AH174" s="145"/>
      <c r="AI174" s="54"/>
      <c r="AJ174" s="120"/>
    </row>
    <row r="175" spans="1:36" ht="12.95" customHeight="1">
      <c r="B175" s="6" t="s">
        <v>168</v>
      </c>
      <c r="C175" s="89">
        <v>0</v>
      </c>
      <c r="D175" s="89">
        <v>0</v>
      </c>
      <c r="E175" s="89">
        <v>0</v>
      </c>
      <c r="F175" s="89">
        <v>0</v>
      </c>
      <c r="G175" s="89">
        <v>0</v>
      </c>
      <c r="H175" s="89">
        <v>-4.57</v>
      </c>
      <c r="I175" s="89">
        <v>-5.6429999999999998</v>
      </c>
      <c r="J175" s="89">
        <v>-3.5470000000000002</v>
      </c>
      <c r="K175" s="89">
        <v>-4.367</v>
      </c>
      <c r="L175" s="89">
        <v>-6.0970000000000004</v>
      </c>
      <c r="M175" s="89">
        <v>-2.2890000000000001</v>
      </c>
      <c r="N175" s="89">
        <v>0</v>
      </c>
      <c r="O175" s="89">
        <v>0</v>
      </c>
      <c r="P175" s="89">
        <v>0</v>
      </c>
      <c r="Q175" s="89">
        <v>0</v>
      </c>
      <c r="R175" s="89">
        <v>-2.9710000000000001</v>
      </c>
      <c r="S175" s="89">
        <v>0</v>
      </c>
      <c r="T175" s="89">
        <v>0</v>
      </c>
      <c r="U175" s="88">
        <v>0</v>
      </c>
      <c r="V175" s="88">
        <v>0</v>
      </c>
      <c r="W175" s="181">
        <f t="shared" si="116"/>
        <v>0</v>
      </c>
      <c r="X175" s="88"/>
      <c r="Y175" s="88"/>
      <c r="Z175" s="88"/>
      <c r="AA175" s="88"/>
      <c r="AB175" s="88">
        <v>0</v>
      </c>
      <c r="AC175" s="88">
        <v>0</v>
      </c>
      <c r="AD175" s="88">
        <v>0</v>
      </c>
      <c r="AE175" s="88">
        <v>0</v>
      </c>
      <c r="AF175" s="88">
        <v>0</v>
      </c>
      <c r="AG175" s="88">
        <v>0</v>
      </c>
      <c r="AH175" s="145"/>
      <c r="AI175" s="54"/>
      <c r="AJ175" s="120"/>
    </row>
    <row r="176" spans="1:36" ht="12.95" customHeight="1">
      <c r="B176" s="6" t="s">
        <v>167</v>
      </c>
      <c r="C176" s="89">
        <v>-1.2394000000000001</v>
      </c>
      <c r="D176" s="89">
        <v>-0.752</v>
      </c>
      <c r="E176" s="89">
        <v>18.7</v>
      </c>
      <c r="F176" s="89">
        <v>0.219</v>
      </c>
      <c r="G176" s="89">
        <v>0.123</v>
      </c>
      <c r="H176" s="89">
        <v>0.64700000000000002</v>
      </c>
      <c r="I176" s="89">
        <v>0.65900000000000003</v>
      </c>
      <c r="J176" s="89">
        <v>1.8819999999999999</v>
      </c>
      <c r="K176" s="89">
        <v>-0.14299999999999999</v>
      </c>
      <c r="L176" s="89">
        <v>-0.96199999999999997</v>
      </c>
      <c r="M176" s="89">
        <v>-1.4610000000000001</v>
      </c>
      <c r="N176" s="89">
        <v>0</v>
      </c>
      <c r="O176" s="89">
        <v>0</v>
      </c>
      <c r="P176" s="89">
        <v>0</v>
      </c>
      <c r="Q176" s="89">
        <v>0</v>
      </c>
      <c r="R176" s="89">
        <v>-0.91800000000000004</v>
      </c>
      <c r="S176" s="89">
        <v>0</v>
      </c>
      <c r="T176" s="89">
        <v>0</v>
      </c>
      <c r="U176" s="88">
        <v>0</v>
      </c>
      <c r="V176" s="88">
        <v>0</v>
      </c>
      <c r="W176" s="181">
        <f t="shared" si="116"/>
        <v>0</v>
      </c>
      <c r="X176" s="88"/>
      <c r="Y176" s="88"/>
      <c r="Z176" s="88"/>
      <c r="AA176" s="88"/>
      <c r="AB176" s="88">
        <v>0</v>
      </c>
      <c r="AC176" s="88">
        <v>0</v>
      </c>
      <c r="AD176" s="88">
        <v>0</v>
      </c>
      <c r="AE176" s="88">
        <v>0</v>
      </c>
      <c r="AF176" s="88">
        <v>0</v>
      </c>
      <c r="AG176" s="88">
        <v>0</v>
      </c>
      <c r="AH176" s="145"/>
      <c r="AI176" s="54"/>
      <c r="AJ176" s="120"/>
    </row>
    <row r="177" spans="1:36" ht="12.95" customHeight="1">
      <c r="B177" s="6" t="s">
        <v>150</v>
      </c>
      <c r="C177" s="89">
        <v>-0.1222</v>
      </c>
      <c r="D177" s="89">
        <v>-5.62</v>
      </c>
      <c r="E177" s="89">
        <v>-4.12</v>
      </c>
      <c r="F177" s="89">
        <v>-8.9480000000000004</v>
      </c>
      <c r="G177" s="89">
        <v>5.69</v>
      </c>
      <c r="H177" s="89">
        <v>-4.8</v>
      </c>
      <c r="I177" s="89">
        <v>-4.5119999999999996</v>
      </c>
      <c r="J177" s="89">
        <v>-2.0990000000000002</v>
      </c>
      <c r="K177" s="89">
        <v>-17.579000000000001</v>
      </c>
      <c r="L177" s="89">
        <v>-3.605</v>
      </c>
      <c r="M177" s="89">
        <v>-10.837999999999999</v>
      </c>
      <c r="N177" s="89">
        <v>0</v>
      </c>
      <c r="O177" s="89">
        <v>0</v>
      </c>
      <c r="P177" s="89">
        <v>0</v>
      </c>
      <c r="Q177" s="89">
        <v>0</v>
      </c>
      <c r="R177" s="89">
        <v>4.3650000000000002</v>
      </c>
      <c r="S177" s="89">
        <v>-0.87</v>
      </c>
      <c r="T177" s="89">
        <v>0</v>
      </c>
      <c r="U177" s="88">
        <v>0</v>
      </c>
      <c r="V177" s="88">
        <v>0</v>
      </c>
      <c r="W177" s="181">
        <f t="shared" si="116"/>
        <v>-0.87</v>
      </c>
      <c r="X177" s="88"/>
      <c r="Y177" s="88"/>
      <c r="Z177" s="88"/>
      <c r="AA177" s="88"/>
      <c r="AB177" s="88">
        <v>0</v>
      </c>
      <c r="AC177" s="88">
        <v>0</v>
      </c>
      <c r="AD177" s="88">
        <v>0</v>
      </c>
      <c r="AE177" s="88">
        <v>0</v>
      </c>
      <c r="AF177" s="88">
        <v>0</v>
      </c>
      <c r="AG177" s="88">
        <v>0</v>
      </c>
      <c r="AH177" s="145"/>
      <c r="AI177" s="54"/>
      <c r="AJ177" s="120"/>
    </row>
    <row r="178" spans="1:36" ht="12.95" hidden="1" customHeight="1" outlineLevel="1">
      <c r="B178" s="6" t="s">
        <v>151</v>
      </c>
      <c r="C178" s="89">
        <v>0</v>
      </c>
      <c r="D178" s="89">
        <v>0</v>
      </c>
      <c r="E178" s="89">
        <v>6.7839999999999998</v>
      </c>
      <c r="F178" s="89">
        <v>2.2160000000000002</v>
      </c>
      <c r="G178" s="89">
        <v>0</v>
      </c>
      <c r="H178" s="89">
        <v>0</v>
      </c>
      <c r="I178" s="89">
        <v>0</v>
      </c>
      <c r="J178" s="89">
        <v>0</v>
      </c>
      <c r="K178" s="89">
        <v>0</v>
      </c>
      <c r="L178" s="89">
        <v>0</v>
      </c>
      <c r="M178" s="89">
        <v>0</v>
      </c>
      <c r="N178" s="89">
        <v>0</v>
      </c>
      <c r="O178" s="89">
        <v>0</v>
      </c>
      <c r="P178" s="89">
        <v>0</v>
      </c>
      <c r="Q178" s="89">
        <v>0</v>
      </c>
      <c r="R178" s="89">
        <v>0</v>
      </c>
      <c r="S178" s="89">
        <v>0</v>
      </c>
      <c r="T178" s="89">
        <v>0</v>
      </c>
      <c r="U178" s="88">
        <v>0</v>
      </c>
      <c r="V178" s="88">
        <v>0</v>
      </c>
      <c r="W178" s="181">
        <f t="shared" si="116"/>
        <v>0</v>
      </c>
      <c r="X178" s="88"/>
      <c r="Y178" s="88"/>
      <c r="Z178" s="88"/>
      <c r="AA178" s="88"/>
      <c r="AB178" s="88">
        <v>0</v>
      </c>
      <c r="AC178" s="88">
        <v>0</v>
      </c>
      <c r="AD178" s="88">
        <v>0</v>
      </c>
      <c r="AE178" s="88">
        <v>0</v>
      </c>
      <c r="AF178" s="88">
        <v>0</v>
      </c>
      <c r="AG178" s="88">
        <v>0</v>
      </c>
      <c r="AH178" s="145"/>
      <c r="AI178" s="54"/>
      <c r="AJ178" s="120"/>
    </row>
    <row r="179" spans="1:36" ht="12.95" hidden="1" customHeight="1" outlineLevel="1">
      <c r="B179" s="6" t="s">
        <v>152</v>
      </c>
      <c r="C179" s="89">
        <v>0</v>
      </c>
      <c r="D179" s="89">
        <v>0</v>
      </c>
      <c r="E179" s="89">
        <v>0</v>
      </c>
      <c r="F179" s="89">
        <v>0</v>
      </c>
      <c r="G179" s="89">
        <v>0</v>
      </c>
      <c r="H179" s="89">
        <v>0</v>
      </c>
      <c r="I179" s="89">
        <v>0</v>
      </c>
      <c r="J179" s="89">
        <v>-0.42799999999999999</v>
      </c>
      <c r="K179" s="89">
        <v>8.7710000000000008</v>
      </c>
      <c r="L179" s="89">
        <v>0</v>
      </c>
      <c r="M179" s="89">
        <v>29.103999999999999</v>
      </c>
      <c r="N179" s="89">
        <v>0</v>
      </c>
      <c r="O179" s="89">
        <v>0</v>
      </c>
      <c r="P179" s="89">
        <v>0</v>
      </c>
      <c r="Q179" s="89">
        <v>0</v>
      </c>
      <c r="R179" s="89">
        <v>0</v>
      </c>
      <c r="S179" s="89">
        <v>0</v>
      </c>
      <c r="T179" s="89">
        <v>0</v>
      </c>
      <c r="U179" s="88">
        <v>0</v>
      </c>
      <c r="V179" s="88">
        <v>0</v>
      </c>
      <c r="W179" s="181">
        <f t="shared" si="116"/>
        <v>0</v>
      </c>
      <c r="X179" s="88"/>
      <c r="Y179" s="88"/>
      <c r="Z179" s="88"/>
      <c r="AA179" s="88"/>
      <c r="AB179" s="88">
        <v>0</v>
      </c>
      <c r="AC179" s="88">
        <v>0</v>
      </c>
      <c r="AD179" s="88">
        <v>0</v>
      </c>
      <c r="AE179" s="88">
        <v>0</v>
      </c>
      <c r="AF179" s="88">
        <v>0</v>
      </c>
      <c r="AG179" s="88">
        <v>0</v>
      </c>
      <c r="AH179" s="145"/>
      <c r="AI179" s="54"/>
      <c r="AJ179" s="120"/>
    </row>
    <row r="180" spans="1:36" ht="12.95" hidden="1" customHeight="1" outlineLevel="1">
      <c r="B180" s="147" t="s">
        <v>153</v>
      </c>
      <c r="C180" s="89">
        <v>-10.628399999999999</v>
      </c>
      <c r="D180" s="89">
        <v>-8.8819999999999997</v>
      </c>
      <c r="E180" s="89">
        <v>-10.865</v>
      </c>
      <c r="F180" s="89">
        <v>-2.4159999999999999</v>
      </c>
      <c r="G180" s="89">
        <v>0.27</v>
      </c>
      <c r="H180" s="89">
        <v>0.98199999999999998</v>
      </c>
      <c r="I180" s="89">
        <v>2.4359999999999999</v>
      </c>
      <c r="J180" s="89">
        <v>-12.865</v>
      </c>
      <c r="K180" s="89">
        <v>-16.202000000000002</v>
      </c>
      <c r="L180" s="89">
        <v>-31.170999999999999</v>
      </c>
      <c r="M180" s="89">
        <v>-12.87</v>
      </c>
      <c r="N180" s="89">
        <v>0</v>
      </c>
      <c r="O180" s="89">
        <v>0</v>
      </c>
      <c r="P180" s="89">
        <v>0</v>
      </c>
      <c r="Q180" s="89">
        <v>0</v>
      </c>
      <c r="R180" s="89">
        <v>-20.417000000000002</v>
      </c>
      <c r="S180" s="89">
        <v>-16.91</v>
      </c>
      <c r="T180" s="89">
        <f>-68.68-S180</f>
        <v>-51.77000000000001</v>
      </c>
      <c r="U180" s="89">
        <f t="shared" ref="U180:V182" si="117">T101-U101</f>
        <v>35.619123076923017</v>
      </c>
      <c r="V180" s="89">
        <f t="shared" si="117"/>
        <v>9.1311208791239551E-2</v>
      </c>
      <c r="W180" s="181">
        <f t="shared" si="116"/>
        <v>-32.96956571428575</v>
      </c>
      <c r="X180" s="88"/>
      <c r="Y180" s="88"/>
      <c r="Z180" s="88"/>
      <c r="AA180" s="88"/>
      <c r="AB180" s="105">
        <f>W101-AB101</f>
        <v>0.51059770606650545</v>
      </c>
      <c r="AC180" s="105"/>
      <c r="AD180" s="105"/>
      <c r="AE180" s="105"/>
      <c r="AF180" s="105"/>
      <c r="AG180" s="105">
        <f>AB101-AG101</f>
        <v>-4.2886571499944921</v>
      </c>
      <c r="AH180" s="145"/>
      <c r="AI180" s="54"/>
      <c r="AJ180" s="120"/>
    </row>
    <row r="181" spans="1:36" ht="12.95" hidden="1" customHeight="1" outlineLevel="1">
      <c r="B181" s="147" t="s">
        <v>154</v>
      </c>
      <c r="C181" s="89">
        <v>-0.375</v>
      </c>
      <c r="D181" s="89">
        <v>-1.2509999999999999</v>
      </c>
      <c r="E181" s="89">
        <v>-2.2589999999999999</v>
      </c>
      <c r="F181" s="89">
        <v>1.1040000000000001</v>
      </c>
      <c r="G181" s="89">
        <v>-0.78400000000000003</v>
      </c>
      <c r="H181" s="89">
        <v>1.361</v>
      </c>
      <c r="I181" s="89">
        <v>-1.21</v>
      </c>
      <c r="J181" s="89">
        <v>13.201000000000001</v>
      </c>
      <c r="K181" s="89">
        <v>1.1419999999999999</v>
      </c>
      <c r="L181" s="89">
        <v>-2.7014999999999998</v>
      </c>
      <c r="M181" s="89">
        <v>-1.5</v>
      </c>
      <c r="N181" s="89">
        <v>0</v>
      </c>
      <c r="O181" s="89">
        <v>0</v>
      </c>
      <c r="P181" s="89">
        <v>0</v>
      </c>
      <c r="Q181" s="89">
        <v>0</v>
      </c>
      <c r="R181" s="89">
        <v>-0.89100000000000001</v>
      </c>
      <c r="S181" s="89">
        <v>-1.7410000000000001</v>
      </c>
      <c r="T181" s="89">
        <f>-5.139-S181</f>
        <v>-3.3980000000000001</v>
      </c>
      <c r="U181" s="89">
        <f t="shared" si="117"/>
        <v>-2.2135331041260109</v>
      </c>
      <c r="V181" s="89">
        <f t="shared" si="117"/>
        <v>-2.2186886019750958</v>
      </c>
      <c r="W181" s="181">
        <f t="shared" si="116"/>
        <v>-9.571221706101106</v>
      </c>
      <c r="X181" s="88"/>
      <c r="Y181" s="88"/>
      <c r="Z181" s="88"/>
      <c r="AA181" s="88"/>
      <c r="AB181" s="105">
        <f>W102-AB102</f>
        <v>-1.9127365298444161</v>
      </c>
      <c r="AC181" s="105"/>
      <c r="AD181" s="105"/>
      <c r="AE181" s="105"/>
      <c r="AF181" s="105"/>
      <c r="AG181" s="105">
        <f>AB102-AG102</f>
        <v>-1.7093599946657463</v>
      </c>
      <c r="AH181" s="145"/>
      <c r="AI181" s="54"/>
      <c r="AJ181" s="120"/>
    </row>
    <row r="182" spans="1:36" ht="12.95" hidden="1" customHeight="1" outlineLevel="1">
      <c r="B182" s="147" t="s">
        <v>155</v>
      </c>
      <c r="C182" s="89">
        <v>0</v>
      </c>
      <c r="D182" s="89">
        <v>0</v>
      </c>
      <c r="E182" s="89">
        <v>0</v>
      </c>
      <c r="F182" s="89">
        <v>1.361</v>
      </c>
      <c r="G182" s="89">
        <v>1.4890000000000001</v>
      </c>
      <c r="H182" s="89">
        <v>-5.3999999999999999E-2</v>
      </c>
      <c r="I182" s="89">
        <v>-0.25600000000000001</v>
      </c>
      <c r="J182" s="89">
        <v>-2.6659999999999999</v>
      </c>
      <c r="K182" s="89">
        <v>-0.218</v>
      </c>
      <c r="L182" s="89">
        <v>-2.7014999999999998</v>
      </c>
      <c r="M182" s="89">
        <v>1.899</v>
      </c>
      <c r="N182" s="89">
        <v>0</v>
      </c>
      <c r="O182" s="89">
        <v>0</v>
      </c>
      <c r="P182" s="89">
        <v>0</v>
      </c>
      <c r="Q182" s="89">
        <v>0</v>
      </c>
      <c r="R182" s="89">
        <v>-1.7310000000000001</v>
      </c>
      <c r="S182" s="89">
        <v>-0.51100000000000001</v>
      </c>
      <c r="T182" s="89">
        <f>-1.3-S182</f>
        <v>-0.78900000000000003</v>
      </c>
      <c r="U182" s="89">
        <f t="shared" si="117"/>
        <v>0.41953846153846186</v>
      </c>
      <c r="V182" s="89">
        <f t="shared" si="117"/>
        <v>0.28406593406593394</v>
      </c>
      <c r="W182" s="181">
        <f t="shared" si="116"/>
        <v>-0.59639560439560424</v>
      </c>
      <c r="X182" s="88"/>
      <c r="Y182" s="88"/>
      <c r="Z182" s="88"/>
      <c r="AA182" s="88"/>
      <c r="AB182" s="105">
        <f>W103-AB103</f>
        <v>-1.7447445538128878</v>
      </c>
      <c r="AC182" s="105"/>
      <c r="AD182" s="105"/>
      <c r="AE182" s="105"/>
      <c r="AF182" s="105"/>
      <c r="AG182" s="105">
        <f>AB103-AG103</f>
        <v>-0.24097969685124099</v>
      </c>
      <c r="AH182" s="145"/>
      <c r="AI182" s="54"/>
      <c r="AJ182" s="120"/>
    </row>
    <row r="183" spans="1:36" ht="12.95" hidden="1" customHeight="1" outlineLevel="1">
      <c r="B183" s="147" t="s">
        <v>156</v>
      </c>
      <c r="C183" s="89">
        <v>0.39960000000000001</v>
      </c>
      <c r="D183" s="89">
        <v>-1.39</v>
      </c>
      <c r="E183" s="89">
        <v>1.4630000000000001</v>
      </c>
      <c r="F183" s="89">
        <v>1.3879999999999999</v>
      </c>
      <c r="G183" s="89">
        <v>-0.99099999999999999</v>
      </c>
      <c r="H183" s="89">
        <v>1.3759999999999999</v>
      </c>
      <c r="I183" s="89">
        <v>-8.8960000000000008</v>
      </c>
      <c r="J183" s="89">
        <v>4.7850000000000001</v>
      </c>
      <c r="K183" s="89">
        <v>6.0259999999999998</v>
      </c>
      <c r="L183" s="89">
        <v>-5.9710000000000001</v>
      </c>
      <c r="M183" s="89">
        <v>-4.5</v>
      </c>
      <c r="N183" s="89">
        <v>0</v>
      </c>
      <c r="O183" s="89">
        <v>0</v>
      </c>
      <c r="P183" s="89">
        <v>0</v>
      </c>
      <c r="Q183" s="89">
        <v>0</v>
      </c>
      <c r="R183" s="89">
        <v>6.8999999999999999E-3</v>
      </c>
      <c r="S183" s="89">
        <v>-1.115</v>
      </c>
      <c r="T183" s="89">
        <f>-0.2-S183</f>
        <v>0.91500000000000004</v>
      </c>
      <c r="U183" s="89">
        <f>T105-U105</f>
        <v>-1.4908958739987952</v>
      </c>
      <c r="V183" s="89">
        <f>U105-V105</f>
        <v>-1.4943682912205141</v>
      </c>
      <c r="W183" s="181">
        <f t="shared" si="116"/>
        <v>-3.1852641652193094</v>
      </c>
      <c r="X183" s="88"/>
      <c r="Y183" s="88"/>
      <c r="Z183" s="88"/>
      <c r="AA183" s="88"/>
      <c r="AB183" s="105">
        <f>W105-AB105</f>
        <v>-1.2882983295240891</v>
      </c>
      <c r="AC183" s="105"/>
      <c r="AD183" s="105"/>
      <c r="AE183" s="105"/>
      <c r="AF183" s="105"/>
      <c r="AG183" s="105">
        <f>AB105-AG105</f>
        <v>-1.1513167607366768</v>
      </c>
      <c r="AH183" s="145"/>
      <c r="AI183" s="54"/>
      <c r="AJ183" s="120"/>
    </row>
    <row r="184" spans="1:36" ht="12.95" hidden="1" customHeight="1" outlineLevel="1">
      <c r="B184" s="148" t="s">
        <v>31</v>
      </c>
      <c r="C184" s="89">
        <v>1.2437</v>
      </c>
      <c r="D184" s="89">
        <v>0.47599999999999998</v>
      </c>
      <c r="E184" s="89">
        <v>0.94799999999999995</v>
      </c>
      <c r="F184" s="89">
        <v>0.69499999999999995</v>
      </c>
      <c r="G184" s="89">
        <v>-7.7949999999999999</v>
      </c>
      <c r="H184" s="89">
        <v>-6.3860000000000001</v>
      </c>
      <c r="I184" s="89">
        <v>0.311</v>
      </c>
      <c r="J184" s="89">
        <v>0.73899999999999999</v>
      </c>
      <c r="K184" s="89">
        <v>-0.32900000000000001</v>
      </c>
      <c r="L184" s="89">
        <v>-18.713999999999999</v>
      </c>
      <c r="M184" s="89">
        <v>-8.9</v>
      </c>
      <c r="N184" s="89">
        <v>0</v>
      </c>
      <c r="O184" s="89">
        <v>0</v>
      </c>
      <c r="P184" s="89">
        <v>0</v>
      </c>
      <c r="Q184" s="89">
        <v>0</v>
      </c>
      <c r="R184" s="89">
        <v>10.125</v>
      </c>
      <c r="S184" s="89">
        <v>-1.036</v>
      </c>
      <c r="T184" s="89">
        <f>0.5-S184</f>
        <v>1.536</v>
      </c>
      <c r="U184" s="89">
        <f>T104-U104</f>
        <v>-0.57652943447533289</v>
      </c>
      <c r="V184" s="89">
        <f>U104-V104</f>
        <v>-0.57787221821497248</v>
      </c>
      <c r="W184" s="181">
        <f t="shared" si="116"/>
        <v>-0.65440165269030537</v>
      </c>
      <c r="X184" s="88"/>
      <c r="Y184" s="88"/>
      <c r="Z184" s="88"/>
      <c r="AA184" s="88"/>
      <c r="AB184" s="105">
        <f>W104-AB104</f>
        <v>-0.4981849640269651</v>
      </c>
      <c r="AC184" s="105"/>
      <c r="AD184" s="105"/>
      <c r="AE184" s="105"/>
      <c r="AF184" s="105"/>
      <c r="AG184" s="105">
        <f>AB104-AG104</f>
        <v>-0.44521419137687168</v>
      </c>
      <c r="AH184" s="145"/>
      <c r="AI184" s="54"/>
      <c r="AJ184" s="120"/>
    </row>
    <row r="185" spans="1:36" ht="12.95" hidden="1" customHeight="1" outlineLevel="1">
      <c r="B185" s="147" t="s">
        <v>157</v>
      </c>
      <c r="C185" s="89">
        <v>5.7542</v>
      </c>
      <c r="D185" s="89">
        <v>13.247999999999999</v>
      </c>
      <c r="E185" s="89">
        <v>4.3710000000000004</v>
      </c>
      <c r="F185" s="89">
        <v>8.6479999999999997</v>
      </c>
      <c r="G185" s="89">
        <v>1.208</v>
      </c>
      <c r="H185" s="89">
        <v>-2.4790000000000001</v>
      </c>
      <c r="I185" s="89">
        <v>8.0980000000000008</v>
      </c>
      <c r="J185" s="89">
        <v>5.6139999999999999</v>
      </c>
      <c r="K185" s="89">
        <v>-3.6070000000000002</v>
      </c>
      <c r="L185" s="89">
        <v>14.749000000000001</v>
      </c>
      <c r="M185" s="89">
        <v>5.4249999999999998</v>
      </c>
      <c r="N185" s="89">
        <v>0</v>
      </c>
      <c r="O185" s="89">
        <v>0</v>
      </c>
      <c r="P185" s="89">
        <v>0</v>
      </c>
      <c r="Q185" s="89">
        <v>0</v>
      </c>
      <c r="R185" s="89">
        <v>-3.9260000000000002</v>
      </c>
      <c r="S185" s="89">
        <v>0</v>
      </c>
      <c r="T185" s="89">
        <f>3.7-S185</f>
        <v>3.7</v>
      </c>
      <c r="U185" s="89">
        <f>U116-T116</f>
        <v>2.1699999999999875</v>
      </c>
      <c r="V185" s="89">
        <f>V116-U116</f>
        <v>-6.576923076923066</v>
      </c>
      <c r="W185" s="181">
        <f t="shared" si="116"/>
        <v>-0.70692307692307832</v>
      </c>
      <c r="X185" s="88"/>
      <c r="Y185" s="88"/>
      <c r="Z185" s="88"/>
      <c r="AA185" s="88"/>
      <c r="AB185" s="105">
        <f>AB116-W116</f>
        <v>-5.9797875792566515</v>
      </c>
      <c r="AC185" s="105"/>
      <c r="AD185" s="105"/>
      <c r="AE185" s="105"/>
      <c r="AF185" s="105"/>
      <c r="AG185" s="105">
        <f>AG116-AB116</f>
        <v>-0.75085482487821764</v>
      </c>
      <c r="AH185" s="145"/>
      <c r="AI185" s="54"/>
      <c r="AJ185" s="120"/>
    </row>
    <row r="186" spans="1:36" ht="12.95" hidden="1" customHeight="1" outlineLevel="1">
      <c r="B186" s="147" t="s">
        <v>113</v>
      </c>
      <c r="C186" s="89">
        <v>1.32E-2</v>
      </c>
      <c r="D186" s="89">
        <v>2.7570000000000001</v>
      </c>
      <c r="E186" s="89">
        <v>2.9180000000000001</v>
      </c>
      <c r="F186" s="89">
        <v>-1.7989999999999999</v>
      </c>
      <c r="G186" s="89">
        <v>0.61899999999999999</v>
      </c>
      <c r="H186" s="89">
        <v>-1.3240000000000001</v>
      </c>
      <c r="I186" s="89">
        <v>-2.5270000000000001</v>
      </c>
      <c r="J186" s="89">
        <v>-5.0149999999999997</v>
      </c>
      <c r="K186" s="89">
        <v>-0.24299999999999999</v>
      </c>
      <c r="L186" s="89">
        <v>-0.871</v>
      </c>
      <c r="M186" s="89">
        <v>-0.66100000000000003</v>
      </c>
      <c r="N186" s="89">
        <v>0</v>
      </c>
      <c r="O186" s="89">
        <v>0</v>
      </c>
      <c r="P186" s="89">
        <v>0</v>
      </c>
      <c r="Q186" s="89">
        <v>0</v>
      </c>
      <c r="R186" s="89">
        <v>-0.438</v>
      </c>
      <c r="S186" s="89">
        <v>0</v>
      </c>
      <c r="T186" s="89">
        <f>1.8-S186</f>
        <v>1.8</v>
      </c>
      <c r="U186" s="89">
        <f>U117-T117</f>
        <v>0.40835637988826967</v>
      </c>
      <c r="V186" s="89">
        <f>V117-U117</f>
        <v>0.40930747496529829</v>
      </c>
      <c r="W186" s="181">
        <f t="shared" si="116"/>
        <v>2.6176638548535678</v>
      </c>
      <c r="X186" s="88"/>
      <c r="Y186" s="88"/>
      <c r="Z186" s="88"/>
      <c r="AA186" s="88"/>
      <c r="AB186" s="105">
        <f>AB117-W117</f>
        <v>0.35286491245664831</v>
      </c>
      <c r="AC186" s="105"/>
      <c r="AD186" s="105"/>
      <c r="AE186" s="105"/>
      <c r="AF186" s="105"/>
      <c r="AG186" s="105">
        <f>AG117-AB117</f>
        <v>0.31534566076577519</v>
      </c>
      <c r="AH186" s="145"/>
      <c r="AI186" s="54"/>
      <c r="AJ186" s="120"/>
    </row>
    <row r="187" spans="1:36" ht="12.95" hidden="1" customHeight="1" outlineLevel="1">
      <c r="B187" s="147" t="s">
        <v>108</v>
      </c>
      <c r="C187" s="89">
        <v>0</v>
      </c>
      <c r="D187" s="89">
        <v>0</v>
      </c>
      <c r="E187" s="89">
        <v>-2.0640000000000001</v>
      </c>
      <c r="F187" s="89">
        <v>-0.875</v>
      </c>
      <c r="G187" s="89">
        <v>-21.673999999999999</v>
      </c>
      <c r="H187" s="89">
        <v>18.021000000000001</v>
      </c>
      <c r="I187" s="89">
        <v>0.86099999999999999</v>
      </c>
      <c r="J187" s="89">
        <v>9.4559999999999995</v>
      </c>
      <c r="K187" s="89">
        <v>7.0819999999999999</v>
      </c>
      <c r="L187" s="89">
        <v>-0.752</v>
      </c>
      <c r="M187" s="89">
        <v>9.2669999999999995</v>
      </c>
      <c r="N187" s="89">
        <v>0</v>
      </c>
      <c r="O187" s="89">
        <v>0</v>
      </c>
      <c r="P187" s="89">
        <v>0</v>
      </c>
      <c r="Q187" s="89">
        <v>0</v>
      </c>
      <c r="R187" s="89">
        <v>-0.80600000000000005</v>
      </c>
      <c r="S187" s="89">
        <v>5.3330000000000002</v>
      </c>
      <c r="T187" s="89">
        <f>-1.4-S187</f>
        <v>-6.7330000000000005</v>
      </c>
      <c r="U187" s="89">
        <v>0</v>
      </c>
      <c r="V187" s="89">
        <v>0</v>
      </c>
      <c r="W187" s="181">
        <f t="shared" si="116"/>
        <v>-1.4000000000000004</v>
      </c>
      <c r="X187" s="88"/>
      <c r="Y187" s="88"/>
      <c r="Z187" s="88"/>
      <c r="AA187" s="88"/>
      <c r="AB187" s="105">
        <v>0</v>
      </c>
      <c r="AC187" s="105"/>
      <c r="AD187" s="105"/>
      <c r="AE187" s="105"/>
      <c r="AF187" s="105"/>
      <c r="AG187" s="105">
        <v>0</v>
      </c>
      <c r="AH187" s="145"/>
      <c r="AI187" s="54"/>
      <c r="AJ187" s="120"/>
    </row>
    <row r="188" spans="1:36" ht="12.95" hidden="1" customHeight="1" outlineLevel="1">
      <c r="B188" s="147" t="s">
        <v>34</v>
      </c>
      <c r="C188" s="89">
        <v>9.4408999999999992</v>
      </c>
      <c r="D188" s="89">
        <v>4.5229999999999997</v>
      </c>
      <c r="E188" s="89">
        <v>-7.2480000000000002</v>
      </c>
      <c r="F188" s="89">
        <v>3.032</v>
      </c>
      <c r="G188" s="89">
        <v>9.9719999999999995</v>
      </c>
      <c r="H188" s="89">
        <v>10.073</v>
      </c>
      <c r="I188" s="89">
        <v>-2.74</v>
      </c>
      <c r="J188" s="89">
        <v>2.5289999999999999</v>
      </c>
      <c r="K188" s="89">
        <v>-2.5449999999999999</v>
      </c>
      <c r="L188" s="89">
        <v>1.609</v>
      </c>
      <c r="M188" s="89">
        <v>2.8159999999999998</v>
      </c>
      <c r="N188" s="89">
        <v>0</v>
      </c>
      <c r="O188" s="89">
        <v>0</v>
      </c>
      <c r="P188" s="89">
        <v>0</v>
      </c>
      <c r="Q188" s="89">
        <v>0</v>
      </c>
      <c r="R188" s="89">
        <v>-1.9710000000000001</v>
      </c>
      <c r="S188" s="89">
        <v>23.483000000000001</v>
      </c>
      <c r="T188" s="89">
        <f>7.897-S188</f>
        <v>-15.586</v>
      </c>
      <c r="U188" s="89">
        <f>U118-T118</f>
        <v>0.94142619963653829</v>
      </c>
      <c r="V188" s="89">
        <f>V118-U118</f>
        <v>0.94361885749119345</v>
      </c>
      <c r="W188" s="181">
        <f t="shared" si="116"/>
        <v>9.782045057127732</v>
      </c>
      <c r="X188" s="88"/>
      <c r="Y188" s="88"/>
      <c r="Z188" s="88"/>
      <c r="AA188" s="88"/>
      <c r="AB188" s="105">
        <f>AB118-W118</f>
        <v>0.81349598017798641</v>
      </c>
      <c r="AC188" s="105"/>
      <c r="AD188" s="105"/>
      <c r="AE188" s="105"/>
      <c r="AF188" s="105"/>
      <c r="AG188" s="105">
        <f>AG118-AB118</f>
        <v>0.72699896856717316</v>
      </c>
      <c r="AH188" s="145"/>
      <c r="AI188" s="54"/>
      <c r="AJ188" s="120"/>
    </row>
    <row r="189" spans="1:36" s="93" customFormat="1" ht="12.95" hidden="1" customHeight="1" outlineLevel="1">
      <c r="A189" s="92"/>
      <c r="B189" s="149" t="s">
        <v>166</v>
      </c>
      <c r="C189" s="95">
        <v>0</v>
      </c>
      <c r="D189" s="95">
        <v>0</v>
      </c>
      <c r="E189" s="95">
        <v>0.68799999999999994</v>
      </c>
      <c r="F189" s="95">
        <v>0</v>
      </c>
      <c r="G189" s="95">
        <v>0</v>
      </c>
      <c r="H189" s="95">
        <v>0</v>
      </c>
      <c r="I189" s="95">
        <v>0</v>
      </c>
      <c r="J189" s="95">
        <v>0</v>
      </c>
      <c r="K189" s="95">
        <v>0</v>
      </c>
      <c r="L189" s="95">
        <v>0.56000000000000005</v>
      </c>
      <c r="M189" s="95">
        <v>1.5029999999999999</v>
      </c>
      <c r="N189" s="89">
        <v>0</v>
      </c>
      <c r="O189" s="89">
        <v>0</v>
      </c>
      <c r="P189" s="89">
        <v>0</v>
      </c>
      <c r="Q189" s="89">
        <v>0</v>
      </c>
      <c r="R189" s="95">
        <v>-1.6659999999999999</v>
      </c>
      <c r="S189" s="95">
        <v>-0.433</v>
      </c>
      <c r="T189" s="95">
        <f>-0.789-S189</f>
        <v>-0.35600000000000004</v>
      </c>
      <c r="U189" s="95">
        <v>21.3</v>
      </c>
      <c r="V189" s="95">
        <v>0</v>
      </c>
      <c r="W189" s="181">
        <f t="shared" si="116"/>
        <v>20.510999999999999</v>
      </c>
      <c r="X189" s="94"/>
      <c r="Y189" s="94"/>
      <c r="Z189" s="94"/>
      <c r="AA189" s="94"/>
      <c r="AB189" s="94">
        <v>0</v>
      </c>
      <c r="AC189" s="94"/>
      <c r="AD189" s="94"/>
      <c r="AE189" s="94"/>
      <c r="AF189" s="94"/>
      <c r="AG189" s="94">
        <v>0</v>
      </c>
      <c r="AH189" s="154"/>
      <c r="AI189" s="123"/>
      <c r="AJ189" s="155"/>
    </row>
    <row r="190" spans="1:36" ht="12.95" customHeight="1" collapsed="1">
      <c r="B190" s="7" t="s">
        <v>159</v>
      </c>
      <c r="C190" s="88">
        <v>5.8482000000000003</v>
      </c>
      <c r="D190" s="88">
        <v>9.4809999999999981</v>
      </c>
      <c r="E190" s="88">
        <v>-12.048</v>
      </c>
      <c r="F190" s="88">
        <v>11.138</v>
      </c>
      <c r="G190" s="88">
        <v>-17.686</v>
      </c>
      <c r="H190" s="88">
        <v>21.57</v>
      </c>
      <c r="I190" s="88">
        <v>-3.9230000000000009</v>
      </c>
      <c r="J190" s="88">
        <v>15.777999999999999</v>
      </c>
      <c r="K190" s="88">
        <v>-8.8940000000000019</v>
      </c>
      <c r="L190" s="88">
        <v>-45.963999999999999</v>
      </c>
      <c r="M190" s="88">
        <v>-7.5210000000000043</v>
      </c>
      <c r="N190" s="89">
        <v>14.222</v>
      </c>
      <c r="O190" s="89">
        <v>-60.834000000000003</v>
      </c>
      <c r="P190" s="89">
        <v>35.567</v>
      </c>
      <c r="Q190" s="89">
        <v>-10.606999999999999</v>
      </c>
      <c r="R190" s="88">
        <f>SUM(R180:R189)</f>
        <v>-21.714100000000002</v>
      </c>
      <c r="S190" s="88">
        <f>SUM(S180:S189)</f>
        <v>7.0700000000000021</v>
      </c>
      <c r="T190" s="88">
        <f>SUM(T180:T189)</f>
        <v>-70.681000000000012</v>
      </c>
      <c r="U190" s="88">
        <f>SUM(U180:U189)</f>
        <v>56.577485705386138</v>
      </c>
      <c r="V190" s="88">
        <f>SUM(V180:V189)</f>
        <v>-9.1395487130199822</v>
      </c>
      <c r="W190" s="181">
        <f t="shared" si="116"/>
        <v>-16.173063007633857</v>
      </c>
      <c r="X190" s="88">
        <f t="shared" ref="X190:AG190" si="118">SUM(X180:X189)</f>
        <v>0</v>
      </c>
      <c r="Y190" s="88">
        <f t="shared" si="118"/>
        <v>0</v>
      </c>
      <c r="Z190" s="88">
        <f t="shared" si="118"/>
        <v>0</v>
      </c>
      <c r="AA190" s="88">
        <f t="shared" si="118"/>
        <v>0</v>
      </c>
      <c r="AB190" s="88">
        <f t="shared" si="118"/>
        <v>-9.7467933577638703</v>
      </c>
      <c r="AC190" s="88">
        <f t="shared" si="118"/>
        <v>0</v>
      </c>
      <c r="AD190" s="88">
        <f t="shared" si="118"/>
        <v>0</v>
      </c>
      <c r="AE190" s="88">
        <f t="shared" si="118"/>
        <v>0</v>
      </c>
      <c r="AF190" s="88">
        <f t="shared" si="118"/>
        <v>0</v>
      </c>
      <c r="AG190" s="88">
        <f t="shared" si="118"/>
        <v>-7.5440379891702971</v>
      </c>
      <c r="AH190" s="145"/>
      <c r="AI190" s="54"/>
      <c r="AJ190" s="120"/>
    </row>
    <row r="191" spans="1:36" ht="12.95" customHeight="1">
      <c r="B191" s="98" t="s">
        <v>158</v>
      </c>
      <c r="C191" s="116">
        <f>C190+SUM(C170:C179)</f>
        <v>115.2013</v>
      </c>
      <c r="D191" s="116">
        <f t="shared" ref="D191:AG191" si="119">D190+SUM(D170:D179)</f>
        <v>135.99099999999999</v>
      </c>
      <c r="E191" s="116">
        <f t="shared" si="119"/>
        <v>142.03899999999996</v>
      </c>
      <c r="F191" s="116">
        <f t="shared" si="119"/>
        <v>182.053</v>
      </c>
      <c r="G191" s="116">
        <f t="shared" si="119"/>
        <v>194.06299999999996</v>
      </c>
      <c r="H191" s="116">
        <f t="shared" si="119"/>
        <v>203.37199999999999</v>
      </c>
      <c r="I191" s="116">
        <f t="shared" si="119"/>
        <v>199.40700000000001</v>
      </c>
      <c r="J191" s="116">
        <f t="shared" si="119"/>
        <v>242.93200000000004</v>
      </c>
      <c r="K191" s="116">
        <f t="shared" si="119"/>
        <v>229.673</v>
      </c>
      <c r="L191" s="116">
        <f t="shared" si="119"/>
        <v>199.32600000000002</v>
      </c>
      <c r="M191" s="116">
        <f t="shared" si="119"/>
        <v>262.59399999999999</v>
      </c>
      <c r="N191" s="116">
        <f t="shared" si="119"/>
        <v>80.79500000000003</v>
      </c>
      <c r="O191" s="116">
        <f t="shared" si="119"/>
        <v>2.7640000000000171</v>
      </c>
      <c r="P191" s="116">
        <f t="shared" si="119"/>
        <v>105.34200000000001</v>
      </c>
      <c r="Q191" s="116">
        <f t="shared" si="119"/>
        <v>58.119</v>
      </c>
      <c r="R191" s="116">
        <f t="shared" si="119"/>
        <v>265.58889999999997</v>
      </c>
      <c r="S191" s="116">
        <f t="shared" si="119"/>
        <v>75.587000000000003</v>
      </c>
      <c r="T191" s="116">
        <f t="shared" si="119"/>
        <v>5.3979999999999961</v>
      </c>
      <c r="U191" s="116">
        <f t="shared" si="119"/>
        <v>142.5421417053862</v>
      </c>
      <c r="V191" s="116">
        <f t="shared" si="119"/>
        <v>70.338814286980025</v>
      </c>
      <c r="W191" s="116">
        <f t="shared" si="119"/>
        <v>293.8659559923662</v>
      </c>
      <c r="X191" s="116">
        <f t="shared" si="119"/>
        <v>0</v>
      </c>
      <c r="Y191" s="116">
        <f t="shared" si="119"/>
        <v>0</v>
      </c>
      <c r="Z191" s="116">
        <f t="shared" si="119"/>
        <v>0</v>
      </c>
      <c r="AA191" s="116">
        <f t="shared" si="119"/>
        <v>0</v>
      </c>
      <c r="AB191" s="116">
        <f t="shared" si="119"/>
        <v>335.00720619360624</v>
      </c>
      <c r="AC191" s="116">
        <f t="shared" si="119"/>
        <v>0</v>
      </c>
      <c r="AD191" s="116">
        <f t="shared" si="119"/>
        <v>0</v>
      </c>
      <c r="AE191" s="116">
        <f t="shared" si="119"/>
        <v>0</v>
      </c>
      <c r="AF191" s="116">
        <f t="shared" si="119"/>
        <v>0</v>
      </c>
      <c r="AG191" s="116">
        <f t="shared" si="119"/>
        <v>362.40136142699401</v>
      </c>
      <c r="AH191" s="145"/>
      <c r="AI191" s="54"/>
      <c r="AJ191" s="120"/>
    </row>
    <row r="192" spans="1:36" ht="12.95" customHeight="1">
      <c r="J192" s="39"/>
      <c r="K192" s="39"/>
      <c r="L192" s="39"/>
      <c r="M192" s="39"/>
      <c r="N192" s="88"/>
      <c r="O192" s="88"/>
      <c r="P192" s="88"/>
      <c r="Q192" s="88"/>
      <c r="R192" s="39"/>
      <c r="S192" s="88"/>
      <c r="T192" s="88"/>
      <c r="U192" s="88"/>
      <c r="V192" s="88"/>
      <c r="W192" s="181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145"/>
      <c r="AI192" s="54"/>
      <c r="AJ192" s="120"/>
    </row>
    <row r="193" spans="1:36" ht="12.95" customHeight="1">
      <c r="B193" s="3" t="s">
        <v>160</v>
      </c>
      <c r="C193" s="89">
        <v>0</v>
      </c>
      <c r="D193" s="89">
        <v>-755.42</v>
      </c>
      <c r="E193" s="89">
        <v>-717.12</v>
      </c>
      <c r="F193" s="89">
        <v>-921.75</v>
      </c>
      <c r="G193" s="89">
        <v>-154.36000000000001</v>
      </c>
      <c r="H193" s="89">
        <v>0</v>
      </c>
      <c r="I193" s="89">
        <v>0</v>
      </c>
      <c r="J193" s="89">
        <v>0</v>
      </c>
      <c r="K193" s="89">
        <v>0</v>
      </c>
      <c r="L193" s="89">
        <v>0</v>
      </c>
      <c r="M193" s="89">
        <v>0</v>
      </c>
      <c r="N193" s="89">
        <v>0</v>
      </c>
      <c r="O193" s="89">
        <v>0</v>
      </c>
      <c r="P193" s="89">
        <v>0</v>
      </c>
      <c r="Q193" s="89">
        <v>0</v>
      </c>
      <c r="R193" s="89">
        <v>0</v>
      </c>
      <c r="S193" s="89">
        <v>-21.119</v>
      </c>
      <c r="T193" s="89">
        <f>-21.119-S193</f>
        <v>0</v>
      </c>
      <c r="U193" s="89">
        <v>0</v>
      </c>
      <c r="V193" s="89">
        <v>0</v>
      </c>
      <c r="W193" s="181">
        <f t="shared" ref="W193:W196" si="120">SUM(S193:V193)</f>
        <v>-21.119</v>
      </c>
      <c r="X193" s="88"/>
      <c r="Y193" s="88"/>
      <c r="Z193" s="88"/>
      <c r="AA193" s="88"/>
      <c r="AB193" s="88">
        <v>0</v>
      </c>
      <c r="AC193" s="88"/>
      <c r="AD193" s="88"/>
      <c r="AE193" s="88"/>
      <c r="AF193" s="88"/>
      <c r="AG193" s="88">
        <v>0</v>
      </c>
      <c r="AH193" s="145"/>
      <c r="AI193" s="54"/>
      <c r="AJ193" s="120"/>
    </row>
    <row r="194" spans="1:36" ht="12.95" hidden="1" customHeight="1" outlineLevel="1">
      <c r="B194" s="3" t="s">
        <v>161</v>
      </c>
      <c r="C194" s="89">
        <v>0</v>
      </c>
      <c r="D194" s="89">
        <v>928.02</v>
      </c>
      <c r="E194" s="89">
        <v>568.39499999999998</v>
      </c>
      <c r="F194" s="89">
        <v>967.85</v>
      </c>
      <c r="G194" s="89">
        <v>256.98500000000001</v>
      </c>
      <c r="H194" s="89">
        <v>0</v>
      </c>
      <c r="I194" s="89">
        <v>0</v>
      </c>
      <c r="J194" s="89">
        <v>0</v>
      </c>
      <c r="K194" s="89">
        <v>0</v>
      </c>
      <c r="L194" s="89">
        <v>0</v>
      </c>
      <c r="M194" s="89">
        <v>0</v>
      </c>
      <c r="N194" s="89">
        <v>0</v>
      </c>
      <c r="O194" s="89">
        <v>0</v>
      </c>
      <c r="P194" s="89">
        <v>0</v>
      </c>
      <c r="Q194" s="89">
        <v>0</v>
      </c>
      <c r="R194" s="89">
        <v>0</v>
      </c>
      <c r="S194" s="89">
        <v>0</v>
      </c>
      <c r="T194" s="89">
        <v>0</v>
      </c>
      <c r="U194" s="89">
        <v>0</v>
      </c>
      <c r="V194" s="89">
        <v>0</v>
      </c>
      <c r="W194" s="181">
        <f t="shared" si="120"/>
        <v>0</v>
      </c>
      <c r="X194" s="88"/>
      <c r="Y194" s="88"/>
      <c r="Z194" s="88"/>
      <c r="AA194" s="88"/>
      <c r="AB194" s="88">
        <v>0</v>
      </c>
      <c r="AC194" s="88"/>
      <c r="AD194" s="88"/>
      <c r="AE194" s="88"/>
      <c r="AF194" s="88"/>
      <c r="AG194" s="88">
        <v>0</v>
      </c>
      <c r="AH194" s="145"/>
      <c r="AI194" s="54"/>
      <c r="AJ194" s="120"/>
    </row>
    <row r="195" spans="1:36" ht="12.95" hidden="1" customHeight="1" outlineLevel="1">
      <c r="B195" s="3" t="s">
        <v>169</v>
      </c>
      <c r="C195" s="89">
        <v>0</v>
      </c>
      <c r="D195" s="89">
        <v>0</v>
      </c>
      <c r="E195" s="89">
        <v>0</v>
      </c>
      <c r="F195" s="89">
        <v>-9.1479999999999997</v>
      </c>
      <c r="G195" s="89">
        <v>9.1479999999999997</v>
      </c>
      <c r="H195" s="89">
        <v>0</v>
      </c>
      <c r="I195" s="89">
        <v>0</v>
      </c>
      <c r="J195" s="89">
        <v>0</v>
      </c>
      <c r="K195" s="89">
        <v>0</v>
      </c>
      <c r="L195" s="89">
        <v>0</v>
      </c>
      <c r="M195" s="89">
        <v>0</v>
      </c>
      <c r="N195" s="89">
        <v>0</v>
      </c>
      <c r="O195" s="89">
        <v>0</v>
      </c>
      <c r="P195" s="89">
        <v>0</v>
      </c>
      <c r="Q195" s="89">
        <v>0</v>
      </c>
      <c r="R195" s="89">
        <v>0</v>
      </c>
      <c r="S195" s="89">
        <v>0</v>
      </c>
      <c r="T195" s="89">
        <v>0</v>
      </c>
      <c r="U195" s="89">
        <v>0</v>
      </c>
      <c r="V195" s="89">
        <v>0</v>
      </c>
      <c r="W195" s="181">
        <f t="shared" si="120"/>
        <v>0</v>
      </c>
      <c r="X195" s="88"/>
      <c r="Y195" s="88"/>
      <c r="Z195" s="88"/>
      <c r="AA195" s="88"/>
      <c r="AB195" s="88">
        <v>0</v>
      </c>
      <c r="AC195" s="88"/>
      <c r="AD195" s="88"/>
      <c r="AE195" s="88"/>
      <c r="AF195" s="88"/>
      <c r="AG195" s="88">
        <v>0</v>
      </c>
      <c r="AH195" s="145"/>
      <c r="AI195" s="54"/>
      <c r="AJ195" s="120"/>
    </row>
    <row r="196" spans="1:36" ht="12.95" hidden="1" customHeight="1" outlineLevel="1">
      <c r="B196" s="3" t="s">
        <v>164</v>
      </c>
      <c r="C196" s="89">
        <v>0</v>
      </c>
      <c r="D196" s="89">
        <v>0</v>
      </c>
      <c r="E196" s="89">
        <v>0</v>
      </c>
      <c r="F196" s="89">
        <v>-2.25</v>
      </c>
      <c r="G196" s="89">
        <v>0</v>
      </c>
      <c r="H196" s="89">
        <v>12</v>
      </c>
      <c r="I196" s="89">
        <v>-1.3</v>
      </c>
      <c r="J196" s="89">
        <v>0</v>
      </c>
      <c r="K196" s="89">
        <v>0</v>
      </c>
      <c r="L196" s="89">
        <v>0</v>
      </c>
      <c r="M196" s="89">
        <v>0</v>
      </c>
      <c r="N196" s="89">
        <v>0</v>
      </c>
      <c r="O196" s="89">
        <v>0</v>
      </c>
      <c r="P196" s="89">
        <v>0</v>
      </c>
      <c r="Q196" s="89">
        <v>0</v>
      </c>
      <c r="R196" s="89">
        <v>0</v>
      </c>
      <c r="S196" s="89">
        <v>0</v>
      </c>
      <c r="T196" s="89">
        <v>0</v>
      </c>
      <c r="U196" s="89">
        <v>0</v>
      </c>
      <c r="V196" s="89">
        <v>0</v>
      </c>
      <c r="W196" s="181">
        <f t="shared" si="120"/>
        <v>0</v>
      </c>
      <c r="X196" s="88"/>
      <c r="Y196" s="88"/>
      <c r="Z196" s="88"/>
      <c r="AA196" s="88"/>
      <c r="AB196" s="88">
        <v>0</v>
      </c>
      <c r="AC196" s="88"/>
      <c r="AD196" s="88"/>
      <c r="AE196" s="88"/>
      <c r="AF196" s="88"/>
      <c r="AG196" s="88">
        <v>0</v>
      </c>
      <c r="AH196" s="145"/>
      <c r="AI196" s="54"/>
      <c r="AJ196" s="120"/>
    </row>
    <row r="197" spans="1:36" ht="12.95" customHeight="1" collapsed="1">
      <c r="B197" s="3" t="s">
        <v>165</v>
      </c>
      <c r="C197" s="89">
        <v>-64.551400000000001</v>
      </c>
      <c r="D197" s="89">
        <v>-66.257999999999996</v>
      </c>
      <c r="E197" s="89">
        <v>-97.036000000000001</v>
      </c>
      <c r="F197" s="89">
        <v>-76.846999999999994</v>
      </c>
      <c r="G197" s="89">
        <v>-113.364</v>
      </c>
      <c r="H197" s="89">
        <v>-78.912000000000006</v>
      </c>
      <c r="I197" s="89">
        <v>-75.84</v>
      </c>
      <c r="J197" s="89">
        <v>-70.17</v>
      </c>
      <c r="K197" s="89">
        <v>-54.832000000000001</v>
      </c>
      <c r="L197" s="89">
        <v>-130.26499999999999</v>
      </c>
      <c r="M197" s="89">
        <v>-95.81</v>
      </c>
      <c r="N197" s="89">
        <v>-23.388000000000002</v>
      </c>
      <c r="O197" s="89">
        <v>-16.07</v>
      </c>
      <c r="P197" s="89">
        <v>-9.6199999999999992</v>
      </c>
      <c r="Q197" s="89">
        <v>-30.074000000000002</v>
      </c>
      <c r="R197" s="89">
        <v>-79.153000000000006</v>
      </c>
      <c r="S197" s="89">
        <v>-20.167000000000002</v>
      </c>
      <c r="T197" s="89">
        <f>-77.763-S197</f>
        <v>-57.596000000000004</v>
      </c>
      <c r="U197" s="89">
        <v>-10</v>
      </c>
      <c r="V197" s="89">
        <v>-15</v>
      </c>
      <c r="W197" s="181">
        <f>SUM(S197:V197)</f>
        <v>-102.76300000000001</v>
      </c>
      <c r="X197" s="88"/>
      <c r="Y197" s="88"/>
      <c r="Z197" s="88"/>
      <c r="AA197" s="88"/>
      <c r="AB197" s="89">
        <v>-100</v>
      </c>
      <c r="AC197" s="88"/>
      <c r="AD197" s="88"/>
      <c r="AE197" s="88"/>
      <c r="AF197" s="88"/>
      <c r="AG197" s="89">
        <v>-75</v>
      </c>
      <c r="AH197" s="145"/>
      <c r="AI197" s="54">
        <v>0</v>
      </c>
      <c r="AJ197" s="120"/>
    </row>
    <row r="198" spans="1:36" ht="12.95" customHeight="1">
      <c r="B198" s="3" t="s">
        <v>170</v>
      </c>
      <c r="C198" s="89">
        <v>19.890499999999999</v>
      </c>
      <c r="D198" s="89">
        <v>5.649</v>
      </c>
      <c r="E198" s="89">
        <v>9.5559999999999992</v>
      </c>
      <c r="F198" s="89">
        <v>26.597999999999999</v>
      </c>
      <c r="G198" s="89">
        <v>7.22</v>
      </c>
      <c r="H198" s="89">
        <v>7.008</v>
      </c>
      <c r="I198" s="89">
        <v>2.4769999999999999</v>
      </c>
      <c r="J198" s="89">
        <v>20.602</v>
      </c>
      <c r="K198" s="89">
        <v>9.3089999999999993</v>
      </c>
      <c r="L198" s="89">
        <v>6.266</v>
      </c>
      <c r="M198" s="89">
        <v>3.7069999999999999</v>
      </c>
      <c r="N198" s="89">
        <v>0</v>
      </c>
      <c r="O198" s="89">
        <v>0</v>
      </c>
      <c r="P198" s="89">
        <v>0</v>
      </c>
      <c r="Q198" s="89">
        <v>0</v>
      </c>
      <c r="R198" s="89">
        <v>1.5209999999999999</v>
      </c>
      <c r="S198" s="89">
        <v>0.34300000000000003</v>
      </c>
      <c r="T198" s="89">
        <v>0</v>
      </c>
      <c r="U198" s="88">
        <v>0</v>
      </c>
      <c r="V198" s="88">
        <v>0</v>
      </c>
      <c r="W198" s="181">
        <f t="shared" ref="W198:W201" si="121">SUM(S198:V198)</f>
        <v>0.34300000000000003</v>
      </c>
      <c r="X198" s="88"/>
      <c r="Y198" s="88"/>
      <c r="Z198" s="88"/>
      <c r="AA198" s="88"/>
      <c r="AB198" s="88">
        <v>0</v>
      </c>
      <c r="AC198" s="88"/>
      <c r="AD198" s="88"/>
      <c r="AE198" s="88"/>
      <c r="AF198" s="88"/>
      <c r="AG198" s="88">
        <v>0</v>
      </c>
      <c r="AH198" s="145"/>
      <c r="AI198" s="54"/>
      <c r="AJ198" s="120"/>
    </row>
    <row r="199" spans="1:36" ht="12.95" customHeight="1">
      <c r="B199" s="5" t="s">
        <v>199</v>
      </c>
      <c r="C199" s="89">
        <v>-4.6752000000000002</v>
      </c>
      <c r="D199" s="89">
        <v>-4.5430000000000001</v>
      </c>
      <c r="E199" s="89">
        <v>-22.975999999999999</v>
      </c>
      <c r="F199" s="89">
        <v>-120.014</v>
      </c>
      <c r="G199" s="89">
        <v>-38.228999999999999</v>
      </c>
      <c r="H199" s="89">
        <v>0</v>
      </c>
      <c r="I199" s="89">
        <v>-21.361999999999998</v>
      </c>
      <c r="J199" s="89">
        <v>-34.911999999999999</v>
      </c>
      <c r="K199" s="89">
        <v>-2.5640000000000001</v>
      </c>
      <c r="L199" s="89">
        <v>-84.022000000000006</v>
      </c>
      <c r="M199" s="89">
        <v>0</v>
      </c>
      <c r="N199" s="89">
        <v>0</v>
      </c>
      <c r="O199" s="89">
        <v>0</v>
      </c>
      <c r="P199" s="89">
        <v>0</v>
      </c>
      <c r="Q199" s="89">
        <v>0</v>
      </c>
      <c r="R199" s="89">
        <v>0.217</v>
      </c>
      <c r="S199" s="89">
        <v>0.1</v>
      </c>
      <c r="T199" s="89">
        <v>0</v>
      </c>
      <c r="U199" s="88">
        <v>0</v>
      </c>
      <c r="V199" s="88">
        <v>0</v>
      </c>
      <c r="W199" s="181">
        <f t="shared" si="121"/>
        <v>0.1</v>
      </c>
      <c r="X199" s="88"/>
      <c r="Y199" s="88"/>
      <c r="Z199" s="88"/>
      <c r="AA199" s="88"/>
      <c r="AB199" s="88">
        <v>0</v>
      </c>
      <c r="AC199" s="88"/>
      <c r="AD199" s="88"/>
      <c r="AE199" s="88"/>
      <c r="AF199" s="88"/>
      <c r="AG199" s="88">
        <v>0</v>
      </c>
      <c r="AH199" s="145"/>
      <c r="AI199" s="54"/>
      <c r="AJ199" s="120"/>
    </row>
    <row r="200" spans="1:36" ht="12.95" hidden="1" customHeight="1" outlineLevel="1">
      <c r="B200" s="4" t="s">
        <v>162</v>
      </c>
      <c r="C200" s="89">
        <v>0</v>
      </c>
      <c r="D200" s="89">
        <v>0</v>
      </c>
      <c r="E200" s="89">
        <v>0</v>
      </c>
      <c r="F200" s="89">
        <v>0</v>
      </c>
      <c r="G200" s="89">
        <v>0</v>
      </c>
      <c r="H200" s="89">
        <v>0</v>
      </c>
      <c r="I200" s="89">
        <v>0</v>
      </c>
      <c r="J200" s="89">
        <v>0</v>
      </c>
      <c r="K200" s="89">
        <v>0</v>
      </c>
      <c r="L200" s="89">
        <v>0</v>
      </c>
      <c r="M200" s="89">
        <v>0</v>
      </c>
      <c r="N200" s="89">
        <v>0</v>
      </c>
      <c r="O200" s="89">
        <v>0</v>
      </c>
      <c r="P200" s="89">
        <v>0</v>
      </c>
      <c r="Q200" s="89">
        <v>0</v>
      </c>
      <c r="R200" s="89">
        <v>-4.5</v>
      </c>
      <c r="S200" s="89">
        <v>0</v>
      </c>
      <c r="T200" s="89">
        <v>0</v>
      </c>
      <c r="U200" s="88">
        <v>0</v>
      </c>
      <c r="V200" s="88">
        <v>0</v>
      </c>
      <c r="W200" s="181">
        <f t="shared" si="121"/>
        <v>0</v>
      </c>
      <c r="X200" s="88"/>
      <c r="Y200" s="88"/>
      <c r="Z200" s="88"/>
      <c r="AA200" s="88"/>
      <c r="AB200" s="88">
        <v>0</v>
      </c>
      <c r="AC200" s="88"/>
      <c r="AD200" s="88"/>
      <c r="AE200" s="88"/>
      <c r="AF200" s="88"/>
      <c r="AG200" s="88">
        <v>0</v>
      </c>
      <c r="AH200" s="145"/>
      <c r="AI200" s="54"/>
      <c r="AJ200" s="120"/>
    </row>
    <row r="201" spans="1:36" s="93" customFormat="1" ht="12.95" hidden="1" customHeight="1" outlineLevel="1">
      <c r="A201" s="92"/>
      <c r="B201" s="8" t="s">
        <v>166</v>
      </c>
      <c r="C201" s="95">
        <v>0</v>
      </c>
      <c r="D201" s="95">
        <v>0</v>
      </c>
      <c r="E201" s="95">
        <v>0</v>
      </c>
      <c r="F201" s="95">
        <v>0</v>
      </c>
      <c r="G201" s="95">
        <v>0</v>
      </c>
      <c r="H201" s="95">
        <v>0</v>
      </c>
      <c r="I201" s="95">
        <v>0</v>
      </c>
      <c r="J201" s="95">
        <v>0</v>
      </c>
      <c r="K201" s="95">
        <v>0</v>
      </c>
      <c r="L201" s="95">
        <v>0</v>
      </c>
      <c r="M201" s="95">
        <v>0</v>
      </c>
      <c r="N201" s="89">
        <v>0</v>
      </c>
      <c r="O201" s="89">
        <v>0</v>
      </c>
      <c r="P201" s="89">
        <v>0</v>
      </c>
      <c r="Q201" s="89">
        <v>0</v>
      </c>
      <c r="R201" s="95">
        <v>0</v>
      </c>
      <c r="S201" s="89">
        <v>0</v>
      </c>
      <c r="T201" s="89">
        <v>0</v>
      </c>
      <c r="U201" s="88">
        <v>0</v>
      </c>
      <c r="V201" s="88">
        <v>0</v>
      </c>
      <c r="W201" s="181">
        <f t="shared" si="121"/>
        <v>0</v>
      </c>
      <c r="X201" s="94"/>
      <c r="Y201" s="94"/>
      <c r="Z201" s="94"/>
      <c r="AA201" s="94"/>
      <c r="AB201" s="94">
        <v>0</v>
      </c>
      <c r="AC201" s="94"/>
      <c r="AD201" s="94"/>
      <c r="AE201" s="94"/>
      <c r="AF201" s="94"/>
      <c r="AG201" s="94">
        <v>0</v>
      </c>
      <c r="AH201" s="154"/>
      <c r="AI201" s="123"/>
      <c r="AJ201" s="155"/>
    </row>
    <row r="202" spans="1:36" ht="12.95" customHeight="1" collapsed="1">
      <c r="B202" s="98" t="s">
        <v>163</v>
      </c>
      <c r="C202" s="116">
        <f>SUM(C193:C201)</f>
        <v>-49.336100000000002</v>
      </c>
      <c r="D202" s="116">
        <f t="shared" ref="D202:M202" si="122">SUM(D193:D201)</f>
        <v>107.44800000000002</v>
      </c>
      <c r="E202" s="116">
        <f t="shared" si="122"/>
        <v>-259.18100000000004</v>
      </c>
      <c r="F202" s="116">
        <f t="shared" si="122"/>
        <v>-135.56099999999998</v>
      </c>
      <c r="G202" s="116">
        <f t="shared" si="122"/>
        <v>-32.600000000000009</v>
      </c>
      <c r="H202" s="116">
        <f t="shared" si="122"/>
        <v>-59.904000000000003</v>
      </c>
      <c r="I202" s="116">
        <f t="shared" si="122"/>
        <v>-96.024999999999991</v>
      </c>
      <c r="J202" s="116">
        <f t="shared" si="122"/>
        <v>-84.47999999999999</v>
      </c>
      <c r="K202" s="116">
        <f t="shared" si="122"/>
        <v>-48.087000000000003</v>
      </c>
      <c r="L202" s="116">
        <f t="shared" si="122"/>
        <v>-208.02099999999999</v>
      </c>
      <c r="M202" s="116">
        <f t="shared" si="122"/>
        <v>-92.103000000000009</v>
      </c>
      <c r="N202" s="116">
        <v>-22.699000000000002</v>
      </c>
      <c r="O202" s="116">
        <v>-16.018000000000001</v>
      </c>
      <c r="P202" s="116">
        <v>-9.2750000000000004</v>
      </c>
      <c r="Q202" s="116">
        <v>-33.923000000000002</v>
      </c>
      <c r="R202" s="116">
        <f>SUM(R193:R201)</f>
        <v>-81.915000000000006</v>
      </c>
      <c r="S202" s="116">
        <f>SUM(S193:S201)</f>
        <v>-40.842999999999996</v>
      </c>
      <c r="T202" s="116">
        <f>-98.486-S202</f>
        <v>-57.643000000000008</v>
      </c>
      <c r="U202" s="116">
        <f>SUM(U193:U201)</f>
        <v>-10</v>
      </c>
      <c r="V202" s="116">
        <f>SUM(V193:V201)</f>
        <v>-15</v>
      </c>
      <c r="W202" s="182">
        <f>SUM(S202:V202)</f>
        <v>-123.486</v>
      </c>
      <c r="X202" s="116"/>
      <c r="Y202" s="116"/>
      <c r="Z202" s="116"/>
      <c r="AA202" s="116"/>
      <c r="AB202" s="116">
        <f>SUM(AB193:AB201)</f>
        <v>-100</v>
      </c>
      <c r="AC202" s="116"/>
      <c r="AD202" s="116"/>
      <c r="AE202" s="116"/>
      <c r="AF202" s="116"/>
      <c r="AG202" s="116">
        <f>SUM(AG193:AG201)</f>
        <v>-75</v>
      </c>
      <c r="AH202" s="145"/>
      <c r="AI202" s="54"/>
      <c r="AJ202" s="120"/>
    </row>
    <row r="203" spans="1:36" ht="12.95" customHeight="1"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181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145"/>
      <c r="AI203" s="54"/>
      <c r="AJ203" s="120"/>
    </row>
    <row r="204" spans="1:36" ht="12.95" customHeight="1">
      <c r="B204" s="3" t="s">
        <v>171</v>
      </c>
      <c r="C204" s="89">
        <v>5.0823</v>
      </c>
      <c r="D204" s="89">
        <v>1.7909999999999999</v>
      </c>
      <c r="E204" s="89">
        <v>5.4210000000000003</v>
      </c>
      <c r="F204" s="89">
        <v>10.865</v>
      </c>
      <c r="G204" s="89">
        <v>12.675000000000001</v>
      </c>
      <c r="H204" s="89">
        <v>3.1190000000000002</v>
      </c>
      <c r="I204" s="89">
        <v>6.2850000000000001</v>
      </c>
      <c r="J204" s="89">
        <v>7.0819999999999999</v>
      </c>
      <c r="K204" s="89">
        <v>13.651</v>
      </c>
      <c r="L204" s="89">
        <v>21.442</v>
      </c>
      <c r="M204" s="89">
        <v>10.412000000000001</v>
      </c>
      <c r="N204" s="89">
        <v>0</v>
      </c>
      <c r="O204" s="89">
        <v>0</v>
      </c>
      <c r="P204" s="89">
        <v>0</v>
      </c>
      <c r="Q204" s="89">
        <v>0</v>
      </c>
      <c r="R204" s="89">
        <v>3.6339999999999999</v>
      </c>
      <c r="S204" s="89">
        <v>0.36799999999999999</v>
      </c>
      <c r="T204" s="89">
        <f>0.944-S204</f>
        <v>0.57599999999999996</v>
      </c>
      <c r="U204" s="89">
        <f>T204</f>
        <v>0.57599999999999996</v>
      </c>
      <c r="V204" s="89">
        <v>0.6</v>
      </c>
      <c r="W204" s="181">
        <f t="shared" ref="W204:W210" si="123">SUM(S204:V204)</f>
        <v>2.12</v>
      </c>
      <c r="X204" s="88"/>
      <c r="Y204" s="88"/>
      <c r="Z204" s="88"/>
      <c r="AA204" s="88"/>
      <c r="AB204" s="89">
        <v>2.5</v>
      </c>
      <c r="AC204" s="88"/>
      <c r="AD204" s="88"/>
      <c r="AE204" s="88"/>
      <c r="AF204" s="88"/>
      <c r="AG204" s="89">
        <v>2.5</v>
      </c>
      <c r="AH204" s="145"/>
      <c r="AI204" s="54"/>
      <c r="AJ204" s="120"/>
    </row>
    <row r="205" spans="1:36" ht="12.95" customHeight="1">
      <c r="B205" s="3" t="s">
        <v>175</v>
      </c>
      <c r="C205" s="89">
        <v>1.3452999999999999</v>
      </c>
      <c r="D205" s="89">
        <v>1.444</v>
      </c>
      <c r="E205" s="89">
        <v>1.64</v>
      </c>
      <c r="F205" s="89">
        <v>1.542</v>
      </c>
      <c r="G205" s="89">
        <v>1.7110000000000001</v>
      </c>
      <c r="H205" s="89">
        <v>1.9419999999999999</v>
      </c>
      <c r="I205" s="89">
        <v>2.044</v>
      </c>
      <c r="J205" s="89">
        <v>1.9570000000000001</v>
      </c>
      <c r="K205" s="89">
        <v>1.9570000000000001</v>
      </c>
      <c r="L205" s="89">
        <v>1.948</v>
      </c>
      <c r="M205" s="89">
        <v>0</v>
      </c>
      <c r="N205" s="89">
        <v>0</v>
      </c>
      <c r="O205" s="89">
        <v>0</v>
      </c>
      <c r="P205" s="89">
        <v>0</v>
      </c>
      <c r="Q205" s="89">
        <v>0</v>
      </c>
      <c r="R205" s="89">
        <v>3</v>
      </c>
      <c r="S205" s="89">
        <v>0</v>
      </c>
      <c r="T205" s="89">
        <v>0</v>
      </c>
      <c r="U205" s="89">
        <v>0</v>
      </c>
      <c r="V205" s="89">
        <v>0</v>
      </c>
      <c r="W205" s="181">
        <f t="shared" si="123"/>
        <v>0</v>
      </c>
      <c r="X205" s="88"/>
      <c r="Y205" s="88"/>
      <c r="Z205" s="88"/>
      <c r="AA205" s="88"/>
      <c r="AB205" s="88">
        <v>0</v>
      </c>
      <c r="AC205" s="88"/>
      <c r="AD205" s="88"/>
      <c r="AE205" s="88"/>
      <c r="AF205" s="88"/>
      <c r="AG205" s="88">
        <v>0</v>
      </c>
      <c r="AH205" s="145"/>
      <c r="AI205" s="54"/>
      <c r="AJ205" s="120"/>
    </row>
    <row r="206" spans="1:36" ht="12.95" customHeight="1">
      <c r="B206" s="4" t="s">
        <v>172</v>
      </c>
      <c r="C206" s="89">
        <v>-10.723100000000001</v>
      </c>
      <c r="D206" s="89">
        <v>0</v>
      </c>
      <c r="E206" s="89">
        <v>-8.8729999999999993</v>
      </c>
      <c r="F206" s="89">
        <v>-89.578999999999994</v>
      </c>
      <c r="G206" s="89">
        <v>-269.25099999999998</v>
      </c>
      <c r="H206" s="89">
        <v>-9.7690000000000001</v>
      </c>
      <c r="I206" s="89">
        <v>-12.706</v>
      </c>
      <c r="J206" s="89">
        <v>-739.63800000000003</v>
      </c>
      <c r="K206" s="89">
        <v>-203.285</v>
      </c>
      <c r="L206" s="89">
        <v>-15.009</v>
      </c>
      <c r="M206" s="89">
        <v>-0.57199999999999995</v>
      </c>
      <c r="N206" s="89">
        <v>-1.121</v>
      </c>
      <c r="O206" s="89">
        <v>0</v>
      </c>
      <c r="P206" s="89">
        <v>-0.61599999999999999</v>
      </c>
      <c r="Q206" s="89">
        <v>-235.56899999999999</v>
      </c>
      <c r="R206" s="89">
        <v>-237.30600000000001</v>
      </c>
      <c r="S206" s="89">
        <v>0</v>
      </c>
      <c r="T206" s="89">
        <f>-325-S206</f>
        <v>-325</v>
      </c>
      <c r="U206" s="88">
        <v>0</v>
      </c>
      <c r="V206" s="88">
        <v>0</v>
      </c>
      <c r="W206" s="181">
        <f t="shared" si="123"/>
        <v>-325</v>
      </c>
      <c r="X206" s="88"/>
      <c r="Y206" s="88"/>
      <c r="Z206" s="88"/>
      <c r="AA206" s="88"/>
      <c r="AB206" s="264">
        <f>Drivers!H33</f>
        <v>-200</v>
      </c>
      <c r="AC206" s="264"/>
      <c r="AD206" s="264"/>
      <c r="AE206" s="264"/>
      <c r="AF206" s="264"/>
      <c r="AG206" s="264">
        <f>Drivers!I33</f>
        <v>-200</v>
      </c>
      <c r="AH206" s="145"/>
      <c r="AI206" s="54"/>
      <c r="AJ206" s="120"/>
    </row>
    <row r="207" spans="1:36" ht="12.95" customHeight="1">
      <c r="B207" s="3" t="s">
        <v>349</v>
      </c>
      <c r="C207" s="89">
        <v>0</v>
      </c>
      <c r="D207" s="89">
        <v>0</v>
      </c>
      <c r="E207" s="89">
        <v>0</v>
      </c>
      <c r="F207" s="89">
        <v>0</v>
      </c>
      <c r="G207" s="89">
        <v>0</v>
      </c>
      <c r="H207" s="89">
        <v>0</v>
      </c>
      <c r="I207" s="89">
        <v>0</v>
      </c>
      <c r="J207" s="89">
        <v>372.97699999999998</v>
      </c>
      <c r="K207" s="89">
        <v>124.687</v>
      </c>
      <c r="L207" s="89">
        <v>0</v>
      </c>
      <c r="M207" s="89">
        <v>0</v>
      </c>
      <c r="N207" s="89">
        <v>0</v>
      </c>
      <c r="O207" s="89">
        <v>698.9</v>
      </c>
      <c r="P207" s="89">
        <v>0</v>
      </c>
      <c r="Q207" s="89">
        <v>0</v>
      </c>
      <c r="R207" s="89">
        <v>698.93899999999996</v>
      </c>
      <c r="S207" s="89">
        <v>0</v>
      </c>
      <c r="T207" s="89">
        <v>68</v>
      </c>
      <c r="U207" s="89">
        <v>0</v>
      </c>
      <c r="V207" s="89">
        <v>0</v>
      </c>
      <c r="W207" s="181">
        <f t="shared" si="123"/>
        <v>68</v>
      </c>
      <c r="X207" s="88"/>
      <c r="Y207" s="88"/>
      <c r="Z207" s="88"/>
      <c r="AA207" s="88"/>
      <c r="AB207" s="88">
        <v>0</v>
      </c>
      <c r="AC207" s="88"/>
      <c r="AD207" s="88"/>
      <c r="AE207" s="88"/>
      <c r="AF207" s="88"/>
      <c r="AG207" s="88">
        <v>0</v>
      </c>
      <c r="AH207" s="145"/>
      <c r="AI207" s="54"/>
      <c r="AJ207" s="120"/>
    </row>
    <row r="208" spans="1:36" ht="12.95" customHeight="1">
      <c r="B208" s="3" t="s">
        <v>176</v>
      </c>
      <c r="C208" s="89">
        <v>0</v>
      </c>
      <c r="D208" s="89">
        <v>0</v>
      </c>
      <c r="E208" s="89">
        <v>2.3170000000000002</v>
      </c>
      <c r="F208" s="89">
        <v>3.82</v>
      </c>
      <c r="G208" s="89">
        <v>16.942</v>
      </c>
      <c r="H208" s="89">
        <v>4.57</v>
      </c>
      <c r="I208" s="89">
        <v>5.6429999999999998</v>
      </c>
      <c r="J208" s="89">
        <v>3.5470000000000002</v>
      </c>
      <c r="K208" s="89">
        <v>4.367</v>
      </c>
      <c r="L208" s="89">
        <v>6.0970000000000004</v>
      </c>
      <c r="M208" s="89">
        <v>4.5999999999999996</v>
      </c>
      <c r="N208" s="89">
        <v>0</v>
      </c>
      <c r="O208" s="89">
        <v>0</v>
      </c>
      <c r="P208" s="89">
        <v>0</v>
      </c>
      <c r="Q208" s="89">
        <v>0</v>
      </c>
      <c r="R208" s="89">
        <v>3.1</v>
      </c>
      <c r="S208" s="89">
        <v>0.19700000000000001</v>
      </c>
      <c r="T208" s="89">
        <v>0</v>
      </c>
      <c r="U208" s="89">
        <v>0</v>
      </c>
      <c r="V208" s="89">
        <v>0</v>
      </c>
      <c r="W208" s="181">
        <f t="shared" si="123"/>
        <v>0.19700000000000001</v>
      </c>
      <c r="X208" s="88"/>
      <c r="Y208" s="88"/>
      <c r="Z208" s="88"/>
      <c r="AA208" s="88"/>
      <c r="AB208" s="89">
        <v>0</v>
      </c>
      <c r="AC208" s="89"/>
      <c r="AD208" s="89"/>
      <c r="AE208" s="89"/>
      <c r="AF208" s="89"/>
      <c r="AG208" s="89">
        <v>0</v>
      </c>
      <c r="AH208" s="145"/>
      <c r="AI208" s="54"/>
      <c r="AJ208" s="120"/>
    </row>
    <row r="209" spans="1:36" ht="12.95" customHeight="1">
      <c r="B209" s="3" t="s">
        <v>173</v>
      </c>
      <c r="C209" s="89">
        <v>0</v>
      </c>
      <c r="D209" s="89">
        <v>0</v>
      </c>
      <c r="E209" s="89">
        <v>0</v>
      </c>
      <c r="F209" s="89">
        <v>0</v>
      </c>
      <c r="G209" s="89">
        <v>8.2460000000000004</v>
      </c>
      <c r="H209" s="89">
        <v>-17.501999999999999</v>
      </c>
      <c r="I209" s="89">
        <v>0</v>
      </c>
      <c r="J209" s="89">
        <v>0</v>
      </c>
      <c r="K209" s="89">
        <v>0</v>
      </c>
      <c r="L209" s="89">
        <v>16.291</v>
      </c>
      <c r="M209" s="89">
        <v>-16.291</v>
      </c>
      <c r="N209" s="89">
        <v>0</v>
      </c>
      <c r="O209" s="89">
        <v>0</v>
      </c>
      <c r="P209" s="89">
        <v>0</v>
      </c>
      <c r="Q209" s="89">
        <v>0</v>
      </c>
      <c r="R209" s="89">
        <v>-0.95499999999999996</v>
      </c>
      <c r="S209" s="89">
        <v>0</v>
      </c>
      <c r="T209" s="89">
        <v>0</v>
      </c>
      <c r="U209" s="89">
        <v>0</v>
      </c>
      <c r="V209" s="89">
        <v>0</v>
      </c>
      <c r="W209" s="181">
        <f t="shared" si="123"/>
        <v>0</v>
      </c>
      <c r="X209" s="88"/>
      <c r="Y209" s="88"/>
      <c r="Z209" s="88"/>
      <c r="AA209" s="88"/>
      <c r="AB209" s="88">
        <v>0</v>
      </c>
      <c r="AC209" s="88"/>
      <c r="AD209" s="88"/>
      <c r="AE209" s="88"/>
      <c r="AF209" s="88"/>
      <c r="AG209" s="88">
        <v>0</v>
      </c>
      <c r="AH209" s="145"/>
      <c r="AI209" s="54"/>
      <c r="AJ209" s="120"/>
    </row>
    <row r="210" spans="1:36" s="93" customFormat="1" ht="12.95" customHeight="1">
      <c r="A210" s="92"/>
      <c r="B210" s="7" t="s">
        <v>350</v>
      </c>
      <c r="C210" s="95">
        <v>-9.1200000000000003E-2</v>
      </c>
      <c r="D210" s="95">
        <v>0</v>
      </c>
      <c r="E210" s="95">
        <v>0</v>
      </c>
      <c r="F210" s="95">
        <v>-2.0329999999999999</v>
      </c>
      <c r="G210" s="95">
        <v>0</v>
      </c>
      <c r="H210" s="95">
        <v>0</v>
      </c>
      <c r="I210" s="95">
        <v>0</v>
      </c>
      <c r="J210" s="95">
        <v>0</v>
      </c>
      <c r="K210" s="95">
        <v>-56.25</v>
      </c>
      <c r="L210" s="95">
        <v>-96.66</v>
      </c>
      <c r="M210" s="95">
        <v>-75</v>
      </c>
      <c r="N210" s="95">
        <v>-18.8</v>
      </c>
      <c r="O210" s="95">
        <v>-293.75</v>
      </c>
      <c r="P210" s="95">
        <v>-18.75</v>
      </c>
      <c r="Q210" s="95">
        <v>-18.75</v>
      </c>
      <c r="R210" s="95">
        <v>-350</v>
      </c>
      <c r="S210" s="95">
        <v>-18.75</v>
      </c>
      <c r="T210" s="95">
        <f>-37.5-S210</f>
        <v>-18.75</v>
      </c>
      <c r="U210" s="95">
        <v>-18.8</v>
      </c>
      <c r="V210" s="95">
        <v>-18.8</v>
      </c>
      <c r="W210" s="181">
        <f t="shared" si="123"/>
        <v>-75.099999999999994</v>
      </c>
      <c r="X210" s="94"/>
      <c r="Y210" s="94"/>
      <c r="Z210" s="94"/>
      <c r="AA210" s="94"/>
      <c r="AB210" s="95">
        <v>-30</v>
      </c>
      <c r="AC210" s="95"/>
      <c r="AD210" s="95"/>
      <c r="AE210" s="95"/>
      <c r="AF210" s="95"/>
      <c r="AG210" s="95">
        <v>-30</v>
      </c>
      <c r="AH210" s="154"/>
      <c r="AI210" s="123"/>
      <c r="AJ210" s="155"/>
    </row>
    <row r="211" spans="1:36" s="116" customFormat="1" ht="12.95" customHeight="1">
      <c r="A211" s="151"/>
      <c r="B211" s="150" t="s">
        <v>174</v>
      </c>
      <c r="C211" s="116">
        <f t="shared" ref="C211:M211" si="124">SUM(C204:C210)</f>
        <v>-4.3867000000000003</v>
      </c>
      <c r="D211" s="116">
        <f t="shared" si="124"/>
        <v>3.2349999999999999</v>
      </c>
      <c r="E211" s="116">
        <f t="shared" si="124"/>
        <v>0.50500000000000078</v>
      </c>
      <c r="F211" s="116">
        <f t="shared" si="124"/>
        <v>-75.385000000000005</v>
      </c>
      <c r="G211" s="116">
        <f t="shared" si="124"/>
        <v>-229.67699999999996</v>
      </c>
      <c r="H211" s="116">
        <f t="shared" si="124"/>
        <v>-17.64</v>
      </c>
      <c r="I211" s="116">
        <f t="shared" si="124"/>
        <v>1.2660000000000009</v>
      </c>
      <c r="J211" s="116">
        <f t="shared" si="124"/>
        <v>-354.07500000000005</v>
      </c>
      <c r="K211" s="116">
        <f t="shared" si="124"/>
        <v>-114.87299999999999</v>
      </c>
      <c r="L211" s="116">
        <f t="shared" si="124"/>
        <v>-65.890999999999991</v>
      </c>
      <c r="M211" s="116">
        <f t="shared" si="124"/>
        <v>-76.850999999999999</v>
      </c>
      <c r="N211" s="116">
        <v>-17.579000000000001</v>
      </c>
      <c r="O211" s="156">
        <v>406.274</v>
      </c>
      <c r="P211" s="156">
        <v>-17.552</v>
      </c>
      <c r="Q211" s="156">
        <v>-250.78100000000001</v>
      </c>
      <c r="R211" s="116">
        <f>SUM(R204:R210)</f>
        <v>120.41199999999998</v>
      </c>
      <c r="S211" s="116">
        <f>SUM(S204:S210)</f>
        <v>-18.184999999999999</v>
      </c>
      <c r="T211" s="116">
        <f>-291.675-S211</f>
        <v>-273.49</v>
      </c>
      <c r="U211" s="116">
        <f>SUM(U204:U210)</f>
        <v>-18.224</v>
      </c>
      <c r="V211" s="116">
        <f>SUM(V204:V210)</f>
        <v>-18.2</v>
      </c>
      <c r="W211" s="182">
        <f>SUM(S211:V211)</f>
        <v>-328.09899999999999</v>
      </c>
      <c r="AB211" s="116">
        <f>SUM(AB204:AB210)</f>
        <v>-227.5</v>
      </c>
      <c r="AG211" s="116">
        <f>SUM(AG204:AG210)</f>
        <v>-227.5</v>
      </c>
      <c r="AH211" s="152"/>
      <c r="AI211" s="77"/>
      <c r="AJ211" s="153"/>
    </row>
    <row r="212" spans="1:36" ht="12.95" customHeight="1">
      <c r="B212" s="5"/>
      <c r="H212" s="88"/>
      <c r="I212" s="88"/>
      <c r="J212" s="89"/>
      <c r="K212" s="89"/>
      <c r="L212" s="89"/>
      <c r="M212" s="89"/>
      <c r="N212" s="89"/>
      <c r="O212" s="89"/>
      <c r="P212" s="89"/>
      <c r="Q212" s="89"/>
      <c r="R212" s="89"/>
      <c r="S212" s="88"/>
      <c r="T212" s="88"/>
      <c r="U212" s="88"/>
      <c r="V212" s="88"/>
      <c r="W212" s="181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145"/>
      <c r="AI212" s="54"/>
      <c r="AJ212" s="120"/>
    </row>
    <row r="213" spans="1:36" ht="12.95" customHeight="1">
      <c r="B213" s="5" t="s">
        <v>94</v>
      </c>
      <c r="C213" s="89">
        <v>9.5200000000000007E-2</v>
      </c>
      <c r="D213" s="89">
        <v>0.154</v>
      </c>
      <c r="E213" s="89">
        <v>-0.49199999999999999</v>
      </c>
      <c r="F213" s="89">
        <v>0.66800000000000004</v>
      </c>
      <c r="G213" s="89">
        <v>-0.45300000000000001</v>
      </c>
      <c r="H213" s="89">
        <v>-2.0579999999999998</v>
      </c>
      <c r="I213" s="89">
        <v>0.84899999999999998</v>
      </c>
      <c r="J213" s="89">
        <v>1.444</v>
      </c>
      <c r="K213" s="89">
        <v>-0.61</v>
      </c>
      <c r="L213" s="89">
        <v>-1.895</v>
      </c>
      <c r="M213" s="89">
        <v>1.369</v>
      </c>
      <c r="N213" s="89">
        <v>-3.2719999999999998</v>
      </c>
      <c r="O213" s="89">
        <v>-3.891</v>
      </c>
      <c r="P213" s="89">
        <v>0.71699999999999997</v>
      </c>
      <c r="Q213" s="89">
        <v>0.26700000000000002</v>
      </c>
      <c r="R213" s="89">
        <v>-6.1790000000000003</v>
      </c>
      <c r="S213" s="89">
        <v>-0.66200000000000003</v>
      </c>
      <c r="T213" s="89">
        <f>-7.5-S213</f>
        <v>-6.8380000000000001</v>
      </c>
      <c r="U213" s="88">
        <v>0</v>
      </c>
      <c r="V213" s="88">
        <v>0</v>
      </c>
      <c r="W213" s="181">
        <f>SUM(S213:V213)</f>
        <v>-7.5</v>
      </c>
      <c r="X213" s="88"/>
      <c r="Y213" s="88"/>
      <c r="Z213" s="88"/>
      <c r="AA213" s="88"/>
      <c r="AB213" s="88">
        <v>0</v>
      </c>
      <c r="AC213" s="88"/>
      <c r="AD213" s="88"/>
      <c r="AE213" s="88"/>
      <c r="AF213" s="88"/>
      <c r="AG213" s="88">
        <v>0</v>
      </c>
      <c r="AH213" s="145"/>
      <c r="AI213" s="54"/>
      <c r="AJ213" s="120"/>
    </row>
    <row r="214" spans="1:36" ht="12.95" customHeight="1">
      <c r="B214" s="32" t="s">
        <v>95</v>
      </c>
      <c r="C214" s="88">
        <f t="shared" ref="C214:M214" si="125">C213+C211+C202+C191</f>
        <v>61.573700000000002</v>
      </c>
      <c r="D214" s="88">
        <f t="shared" si="125"/>
        <v>246.828</v>
      </c>
      <c r="E214" s="88">
        <f t="shared" si="125"/>
        <v>-117.1290000000001</v>
      </c>
      <c r="F214" s="88">
        <f t="shared" si="125"/>
        <v>-28.224999999999966</v>
      </c>
      <c r="G214" s="88">
        <f t="shared" si="125"/>
        <v>-68.667000000000002</v>
      </c>
      <c r="H214" s="88">
        <f t="shared" si="125"/>
        <v>123.76999999999998</v>
      </c>
      <c r="I214" s="88">
        <f t="shared" si="125"/>
        <v>105.49700000000001</v>
      </c>
      <c r="J214" s="88">
        <f t="shared" si="125"/>
        <v>-194.17899999999995</v>
      </c>
      <c r="K214" s="88">
        <f t="shared" si="125"/>
        <v>66.103000000000009</v>
      </c>
      <c r="L214" s="88">
        <f t="shared" si="125"/>
        <v>-76.480999999999938</v>
      </c>
      <c r="M214" s="88">
        <f t="shared" si="125"/>
        <v>95.008999999999986</v>
      </c>
      <c r="N214" s="88">
        <f>N211+N202+N191+N213</f>
        <v>37.245000000000026</v>
      </c>
      <c r="O214" s="88">
        <f>O211+O202+O191+O213</f>
        <v>389.12899999999996</v>
      </c>
      <c r="P214" s="88">
        <f>P211+P202+P191+P213</f>
        <v>79.232000000000014</v>
      </c>
      <c r="Q214" s="88">
        <f>Q211+Q202+Q191+Q213</f>
        <v>-226.31800000000001</v>
      </c>
      <c r="R214" s="88">
        <f t="shared" ref="R214:AG214" si="126">R213+R211+R202+R191</f>
        <v>297.90689999999995</v>
      </c>
      <c r="S214" s="88">
        <f t="shared" si="126"/>
        <v>15.897000000000006</v>
      </c>
      <c r="T214" s="88">
        <f t="shared" si="126"/>
        <v>-332.57300000000009</v>
      </c>
      <c r="U214" s="88">
        <f t="shared" si="126"/>
        <v>114.3181417053862</v>
      </c>
      <c r="V214" s="88">
        <f t="shared" si="126"/>
        <v>37.138814286980022</v>
      </c>
      <c r="W214" s="181">
        <f t="shared" si="126"/>
        <v>-165.21904400763378</v>
      </c>
      <c r="X214" s="88">
        <f t="shared" si="126"/>
        <v>0</v>
      </c>
      <c r="Y214" s="88">
        <f t="shared" si="126"/>
        <v>0</v>
      </c>
      <c r="Z214" s="88">
        <f t="shared" si="126"/>
        <v>0</v>
      </c>
      <c r="AA214" s="88">
        <f t="shared" si="126"/>
        <v>0</v>
      </c>
      <c r="AB214" s="88">
        <f t="shared" si="126"/>
        <v>7.5072061936062369</v>
      </c>
      <c r="AC214" s="88">
        <f t="shared" si="126"/>
        <v>0</v>
      </c>
      <c r="AD214" s="88">
        <f t="shared" si="126"/>
        <v>0</v>
      </c>
      <c r="AE214" s="88">
        <f t="shared" si="126"/>
        <v>0</v>
      </c>
      <c r="AF214" s="88">
        <f t="shared" si="126"/>
        <v>0</v>
      </c>
      <c r="AG214" s="88">
        <f t="shared" si="126"/>
        <v>59.901361426994015</v>
      </c>
      <c r="AH214" s="145"/>
      <c r="AI214" s="54">
        <v>0</v>
      </c>
      <c r="AJ214" s="120"/>
    </row>
    <row r="215" spans="1:36" ht="12.95" customHeight="1">
      <c r="B215" s="32" t="s">
        <v>96</v>
      </c>
      <c r="C215" s="88">
        <v>116.47</v>
      </c>
      <c r="D215" s="88">
        <f>C216</f>
        <v>178.32</v>
      </c>
      <c r="E215" s="88">
        <f t="shared" ref="E215:M215" si="127">D216</f>
        <v>252.548</v>
      </c>
      <c r="F215" s="88">
        <f t="shared" si="127"/>
        <v>275.315</v>
      </c>
      <c r="G215" s="88">
        <f t="shared" si="127"/>
        <v>200.99</v>
      </c>
      <c r="H215" s="88">
        <f t="shared" si="127"/>
        <v>38.954000000000001</v>
      </c>
      <c r="I215" s="88">
        <f t="shared" si="127"/>
        <v>162.691</v>
      </c>
      <c r="J215" s="88">
        <f t="shared" si="127"/>
        <v>268.18799999999999</v>
      </c>
      <c r="K215" s="88">
        <f t="shared" si="127"/>
        <v>74.009</v>
      </c>
      <c r="L215" s="88">
        <f t="shared" si="127"/>
        <v>140.11199999999999</v>
      </c>
      <c r="M215" s="88">
        <f t="shared" si="127"/>
        <v>63.631</v>
      </c>
      <c r="N215" s="88">
        <f>M216</f>
        <v>158.66800000000001</v>
      </c>
      <c r="O215" s="88">
        <f>N216</f>
        <v>195.91300000000004</v>
      </c>
      <c r="P215" s="88">
        <f>O216</f>
        <v>585.04200000000003</v>
      </c>
      <c r="Q215" s="88">
        <f>P216</f>
        <v>664.274</v>
      </c>
      <c r="R215" s="88">
        <f>M216</f>
        <v>158.66800000000001</v>
      </c>
      <c r="S215" s="88">
        <f>R216</f>
        <v>456.012</v>
      </c>
      <c r="T215" s="88">
        <f>S216</f>
        <v>471.90899999999999</v>
      </c>
      <c r="U215" s="88">
        <f>T216</f>
        <v>139.3359999999999</v>
      </c>
      <c r="V215" s="88">
        <f>U216</f>
        <v>253.65414170538611</v>
      </c>
      <c r="W215" s="181">
        <f t="shared" ref="W215:AG215" si="128">R216</f>
        <v>456.012</v>
      </c>
      <c r="X215" s="88">
        <f t="shared" si="128"/>
        <v>471.90899999999999</v>
      </c>
      <c r="Y215" s="88">
        <f t="shared" si="128"/>
        <v>139.3359999999999</v>
      </c>
      <c r="Z215" s="88">
        <f t="shared" si="128"/>
        <v>253.65414170538611</v>
      </c>
      <c r="AA215" s="88">
        <f t="shared" si="128"/>
        <v>290.79295599236616</v>
      </c>
      <c r="AB215" s="88">
        <f t="shared" si="128"/>
        <v>290.79295599236622</v>
      </c>
      <c r="AC215" s="88">
        <f t="shared" si="128"/>
        <v>471.90899999999999</v>
      </c>
      <c r="AD215" s="88">
        <f t="shared" si="128"/>
        <v>139.3359999999999</v>
      </c>
      <c r="AE215" s="88">
        <f t="shared" si="128"/>
        <v>253.65414170538611</v>
      </c>
      <c r="AF215" s="88">
        <f t="shared" si="128"/>
        <v>290.79295599236616</v>
      </c>
      <c r="AG215" s="88">
        <f t="shared" si="128"/>
        <v>298.30016218597245</v>
      </c>
      <c r="AH215" s="145"/>
      <c r="AI215" s="54">
        <v>0</v>
      </c>
      <c r="AJ215" s="120"/>
    </row>
    <row r="216" spans="1:36" ht="12.95" customHeight="1">
      <c r="B216" s="32" t="s">
        <v>97</v>
      </c>
      <c r="C216" s="88">
        <f t="shared" ref="C216:M216" si="129">C100</f>
        <v>178.32</v>
      </c>
      <c r="D216" s="88">
        <f t="shared" si="129"/>
        <v>252.548</v>
      </c>
      <c r="E216" s="88">
        <f t="shared" si="129"/>
        <v>275.315</v>
      </c>
      <c r="F216" s="88">
        <f t="shared" si="129"/>
        <v>200.99</v>
      </c>
      <c r="G216" s="88">
        <f t="shared" si="129"/>
        <v>38.954000000000001</v>
      </c>
      <c r="H216" s="88">
        <f t="shared" si="129"/>
        <v>162.691</v>
      </c>
      <c r="I216" s="88">
        <f t="shared" si="129"/>
        <v>268.18799999999999</v>
      </c>
      <c r="J216" s="88">
        <f t="shared" si="129"/>
        <v>74.009</v>
      </c>
      <c r="K216" s="88">
        <f t="shared" si="129"/>
        <v>140.11199999999999</v>
      </c>
      <c r="L216" s="88">
        <f t="shared" si="129"/>
        <v>63.631</v>
      </c>
      <c r="M216" s="88">
        <f t="shared" si="129"/>
        <v>158.66800000000001</v>
      </c>
      <c r="N216" s="88">
        <f>N215+N214</f>
        <v>195.91300000000004</v>
      </c>
      <c r="O216" s="88">
        <f>O215+O214</f>
        <v>585.04200000000003</v>
      </c>
      <c r="P216" s="88">
        <f>P215+P214</f>
        <v>664.274</v>
      </c>
      <c r="Q216" s="88">
        <f>Q215+Q214</f>
        <v>437.95600000000002</v>
      </c>
      <c r="R216" s="88">
        <v>456.012</v>
      </c>
      <c r="S216" s="88">
        <f t="shared" ref="S216:AF216" si="130">S214+S215</f>
        <v>471.90899999999999</v>
      </c>
      <c r="T216" s="88">
        <f t="shared" si="130"/>
        <v>139.3359999999999</v>
      </c>
      <c r="U216" s="88">
        <f t="shared" si="130"/>
        <v>253.65414170538611</v>
      </c>
      <c r="V216" s="88">
        <f t="shared" si="130"/>
        <v>290.79295599236616</v>
      </c>
      <c r="W216" s="181">
        <f>W214+W215</f>
        <v>290.79295599236622</v>
      </c>
      <c r="X216" s="88">
        <f t="shared" si="130"/>
        <v>471.90899999999999</v>
      </c>
      <c r="Y216" s="88">
        <f t="shared" si="130"/>
        <v>139.3359999999999</v>
      </c>
      <c r="Z216" s="88">
        <f t="shared" si="130"/>
        <v>253.65414170538611</v>
      </c>
      <c r="AA216" s="88">
        <f t="shared" si="130"/>
        <v>290.79295599236616</v>
      </c>
      <c r="AB216" s="88">
        <f>AB214+AB215</f>
        <v>298.30016218597245</v>
      </c>
      <c r="AC216" s="88">
        <f t="shared" si="130"/>
        <v>471.90899999999999</v>
      </c>
      <c r="AD216" s="88">
        <f t="shared" si="130"/>
        <v>139.3359999999999</v>
      </c>
      <c r="AE216" s="88">
        <f t="shared" si="130"/>
        <v>253.65414170538611</v>
      </c>
      <c r="AF216" s="88">
        <f t="shared" si="130"/>
        <v>290.79295599236616</v>
      </c>
      <c r="AG216" s="88">
        <f>AG214+AG215</f>
        <v>358.20152361296647</v>
      </c>
      <c r="AH216" s="145"/>
      <c r="AI216" s="54">
        <v>0</v>
      </c>
      <c r="AJ216" s="120"/>
    </row>
    <row r="217" spans="1:36" ht="12.95" customHeight="1">
      <c r="N217" s="88"/>
      <c r="O217" s="88"/>
      <c r="P217" s="88"/>
      <c r="Q217" s="88"/>
      <c r="R217" s="88"/>
      <c r="S217" s="88"/>
      <c r="T217" s="88"/>
      <c r="U217" s="88"/>
      <c r="V217" s="88"/>
      <c r="W217" s="181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145"/>
      <c r="AI217" s="54">
        <v>0</v>
      </c>
      <c r="AJ217" s="120"/>
    </row>
    <row r="218" spans="1:36" ht="12.95" customHeight="1">
      <c r="B218" s="32" t="s">
        <v>98</v>
      </c>
      <c r="C218" s="89">
        <v>3.0999999999999999E-3</v>
      </c>
      <c r="D218" s="89">
        <v>6.2E-2</v>
      </c>
      <c r="E218" s="89">
        <v>0</v>
      </c>
      <c r="F218" s="89">
        <v>1.6E-2</v>
      </c>
      <c r="G218" s="89">
        <v>0.11700000000000001</v>
      </c>
      <c r="H218" s="89">
        <v>0.35299999999999998</v>
      </c>
      <c r="I218" s="89">
        <v>0.216</v>
      </c>
      <c r="J218" s="89">
        <v>3.8940000000000001</v>
      </c>
      <c r="K218" s="89">
        <v>11.333</v>
      </c>
      <c r="L218" s="89">
        <v>10.266999999999999</v>
      </c>
      <c r="M218" s="89">
        <v>8.7680000000000007</v>
      </c>
      <c r="N218" s="89">
        <f>R218/4</f>
        <v>4.5302499999999997</v>
      </c>
      <c r="O218" s="89">
        <f t="shared" ref="O218:Q219" si="131">N218</f>
        <v>4.5302499999999997</v>
      </c>
      <c r="P218" s="89">
        <f t="shared" si="131"/>
        <v>4.5302499999999997</v>
      </c>
      <c r="Q218" s="89">
        <f t="shared" si="131"/>
        <v>4.5302499999999997</v>
      </c>
      <c r="R218" s="89">
        <v>18.120999999999999</v>
      </c>
      <c r="S218" s="89">
        <v>5.7229999999999999</v>
      </c>
      <c r="T218" s="89">
        <f>11.294-S218</f>
        <v>5.5710000000000006</v>
      </c>
      <c r="U218" s="88">
        <v>5.6</v>
      </c>
      <c r="V218" s="88">
        <v>5.6</v>
      </c>
      <c r="W218" s="181">
        <f>SUM(S218:V218)</f>
        <v>22.494</v>
      </c>
      <c r="X218" s="88"/>
      <c r="Y218" s="88"/>
      <c r="Z218" s="88"/>
      <c r="AA218" s="88"/>
      <c r="AB218" s="88">
        <v>20</v>
      </c>
      <c r="AC218" s="88"/>
      <c r="AD218" s="88"/>
      <c r="AE218" s="88"/>
      <c r="AF218" s="88"/>
      <c r="AG218" s="88">
        <v>20</v>
      </c>
      <c r="AH218" s="145"/>
      <c r="AI218" s="54">
        <v>0</v>
      </c>
      <c r="AJ218" s="120"/>
    </row>
    <row r="219" spans="1:36" ht="12.95" customHeight="1">
      <c r="B219" s="32" t="s">
        <v>99</v>
      </c>
      <c r="C219" s="89">
        <v>41.752499999999998</v>
      </c>
      <c r="D219" s="89">
        <v>64.67</v>
      </c>
      <c r="E219" s="89">
        <v>71.542000000000002</v>
      </c>
      <c r="F219" s="89">
        <v>84.247</v>
      </c>
      <c r="G219" s="89">
        <v>85.01</v>
      </c>
      <c r="H219" s="89">
        <v>71.908000000000001</v>
      </c>
      <c r="I219" s="89">
        <v>93.989000000000004</v>
      </c>
      <c r="J219" s="89">
        <v>85.144999999999996</v>
      </c>
      <c r="K219" s="89">
        <v>106.581</v>
      </c>
      <c r="L219" s="89">
        <v>95.182000000000002</v>
      </c>
      <c r="M219" s="89">
        <v>82.813000000000002</v>
      </c>
      <c r="N219" s="89">
        <f>R219/4</f>
        <v>27.481249999999999</v>
      </c>
      <c r="O219" s="89">
        <f t="shared" si="131"/>
        <v>27.481249999999999</v>
      </c>
      <c r="P219" s="89">
        <f t="shared" si="131"/>
        <v>27.481249999999999</v>
      </c>
      <c r="Q219" s="89">
        <f t="shared" si="131"/>
        <v>27.481249999999999</v>
      </c>
      <c r="R219" s="89">
        <v>109.925</v>
      </c>
      <c r="S219" s="89">
        <v>1.292</v>
      </c>
      <c r="T219" s="89">
        <f>55.413-S219</f>
        <v>54.120999999999995</v>
      </c>
      <c r="U219" s="88">
        <f>U25</f>
        <v>36.711584000000016</v>
      </c>
      <c r="V219" s="88">
        <f>V25</f>
        <v>33.326656999999997</v>
      </c>
      <c r="W219" s="181">
        <f>SUM(S219:V219)</f>
        <v>125.45124100000001</v>
      </c>
      <c r="X219" s="88"/>
      <c r="Y219" s="88"/>
      <c r="Z219" s="88"/>
      <c r="AA219" s="88"/>
      <c r="AB219" s="88">
        <f>AB25</f>
        <v>147.09799975843003</v>
      </c>
      <c r="AC219" s="88"/>
      <c r="AD219" s="88"/>
      <c r="AE219" s="88"/>
      <c r="AF219" s="88"/>
      <c r="AG219" s="88">
        <f>AG25</f>
        <v>158.50875353178077</v>
      </c>
      <c r="AH219" s="145"/>
      <c r="AI219" s="54">
        <v>0</v>
      </c>
      <c r="AJ219" s="120"/>
    </row>
    <row r="220" spans="1:36" ht="12.95" customHeight="1">
      <c r="H220" s="88"/>
      <c r="I220" s="88"/>
      <c r="J220" s="88"/>
      <c r="N220" s="88"/>
      <c r="O220" s="88"/>
      <c r="P220" s="88"/>
      <c r="Q220" s="88"/>
      <c r="R220" s="88"/>
      <c r="S220" s="88"/>
      <c r="T220" s="88"/>
      <c r="U220" s="88"/>
      <c r="V220" s="88"/>
      <c r="W220" s="181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145"/>
      <c r="AI220" s="54">
        <v>0</v>
      </c>
      <c r="AJ220" s="120"/>
    </row>
    <row r="221" spans="1:36" ht="12.95" customHeight="1">
      <c r="B221" s="32" t="s">
        <v>100</v>
      </c>
      <c r="C221" s="39">
        <f t="shared" ref="C221:AG221" si="132">-C197/C12</f>
        <v>0.1610577936683579</v>
      </c>
      <c r="D221" s="39">
        <f t="shared" si="132"/>
        <v>0.14718799357560328</v>
      </c>
      <c r="E221" s="39">
        <f t="shared" si="132"/>
        <v>0.18358211778950753</v>
      </c>
      <c r="F221" s="39">
        <f t="shared" si="132"/>
        <v>0.1370603552828708</v>
      </c>
      <c r="G221" s="39">
        <f t="shared" si="132"/>
        <v>0.1444127388535032</v>
      </c>
      <c r="H221" s="39">
        <f t="shared" si="132"/>
        <v>0.10619554773228258</v>
      </c>
      <c r="I221" s="39">
        <f t="shared" si="132"/>
        <v>9.8126614903497181E-2</v>
      </c>
      <c r="J221" s="39">
        <f t="shared" si="132"/>
        <v>8.1465614823328633E-2</v>
      </c>
      <c r="K221" s="39">
        <f t="shared" si="132"/>
        <v>5.932972729663024E-2</v>
      </c>
      <c r="L221" s="39">
        <f t="shared" si="132"/>
        <v>0.12449038882400949</v>
      </c>
      <c r="M221" s="39">
        <f t="shared" si="132"/>
        <v>8.2347147244193966E-2</v>
      </c>
      <c r="N221" s="39">
        <f t="shared" si="132"/>
        <v>8.0541072916738413E-2</v>
      </c>
      <c r="O221" s="39">
        <f t="shared" si="132"/>
        <v>5.8170261132709275E-2</v>
      </c>
      <c r="P221" s="39">
        <f t="shared" si="132"/>
        <v>3.23753113010702E-2</v>
      </c>
      <c r="Q221" s="39">
        <f t="shared" si="132"/>
        <v>0.10653583194587127</v>
      </c>
      <c r="R221" s="39">
        <f t="shared" si="132"/>
        <v>6.9064174459177771E-2</v>
      </c>
      <c r="S221" s="39">
        <f t="shared" si="132"/>
        <v>6.9821145417154257E-2</v>
      </c>
      <c r="T221" s="39">
        <f t="shared" si="132"/>
        <v>0.19219167111585697</v>
      </c>
      <c r="U221" s="39">
        <f t="shared" si="132"/>
        <v>3.1319466576867488E-2</v>
      </c>
      <c r="V221" s="39">
        <f t="shared" si="132"/>
        <v>4.9682196239243227E-2</v>
      </c>
      <c r="W221" s="180">
        <f t="shared" si="132"/>
        <v>8.4947246704186852E-2</v>
      </c>
      <c r="X221" s="39" t="e">
        <f t="shared" si="132"/>
        <v>#DIV/0!</v>
      </c>
      <c r="Y221" s="39" t="e">
        <f t="shared" si="132"/>
        <v>#DIV/0!</v>
      </c>
      <c r="Z221" s="39" t="e">
        <f t="shared" si="132"/>
        <v>#DIV/0!</v>
      </c>
      <c r="AA221" s="39" t="e">
        <f t="shared" si="132"/>
        <v>#DIV/0!</v>
      </c>
      <c r="AB221" s="39">
        <f t="shared" si="132"/>
        <v>7.8275979755470515E-2</v>
      </c>
      <c r="AC221" s="39" t="e">
        <f t="shared" si="132"/>
        <v>#DIV/0!</v>
      </c>
      <c r="AD221" s="39" t="e">
        <f t="shared" si="132"/>
        <v>#DIV/0!</v>
      </c>
      <c r="AE221" s="39" t="e">
        <f t="shared" si="132"/>
        <v>#DIV/0!</v>
      </c>
      <c r="AF221" s="39" t="e">
        <f t="shared" si="132"/>
        <v>#DIV/0!</v>
      </c>
      <c r="AG221" s="39">
        <f t="shared" si="132"/>
        <v>5.6048551912655065E-2</v>
      </c>
      <c r="AH221" s="114"/>
      <c r="AI221" s="54">
        <v>0</v>
      </c>
      <c r="AJ221" s="91"/>
    </row>
    <row r="222" spans="1:36" ht="12.95" customHeight="1">
      <c r="B222" s="32" t="s">
        <v>101</v>
      </c>
      <c r="C222" s="39">
        <f t="shared" ref="C222:AG222" si="133">-C197/C171</f>
        <v>2.0952600435596902</v>
      </c>
      <c r="D222" s="39">
        <f t="shared" si="133"/>
        <v>2.1171395705521472</v>
      </c>
      <c r="E222" s="39">
        <f t="shared" si="133"/>
        <v>3.0848168870803665</v>
      </c>
      <c r="F222" s="39">
        <f t="shared" si="133"/>
        <v>2.0719620372617218</v>
      </c>
      <c r="G222" s="39">
        <f t="shared" si="133"/>
        <v>2.6484440706476029</v>
      </c>
      <c r="H222" s="39">
        <f t="shared" si="133"/>
        <v>1.9082071867292163</v>
      </c>
      <c r="I222" s="39">
        <f t="shared" si="133"/>
        <v>1.7538504231996672</v>
      </c>
      <c r="J222" s="39">
        <f t="shared" si="133"/>
        <v>1.5356501947739309</v>
      </c>
      <c r="K222" s="39">
        <f t="shared" si="133"/>
        <v>1.1383727448252954</v>
      </c>
      <c r="L222" s="39">
        <f t="shared" si="133"/>
        <v>2.2963087011704975</v>
      </c>
      <c r="M222" s="39">
        <f t="shared" si="133"/>
        <v>1.7833078956185089</v>
      </c>
      <c r="N222" s="39">
        <f t="shared" si="133"/>
        <v>1.6745185079115057</v>
      </c>
      <c r="O222" s="39">
        <f t="shared" si="133"/>
        <v>1.4096491228070176</v>
      </c>
      <c r="P222" s="39">
        <f t="shared" si="133"/>
        <v>0.78774975433999339</v>
      </c>
      <c r="Q222" s="39">
        <f t="shared" si="133"/>
        <v>2.6581226798656532</v>
      </c>
      <c r="R222" s="39">
        <f t="shared" si="133"/>
        <v>1.6189025013805658</v>
      </c>
      <c r="S222" s="39">
        <f t="shared" si="133"/>
        <v>1.7445501730103807</v>
      </c>
      <c r="T222" s="39">
        <f t="shared" si="133"/>
        <v>4.9101449275362326</v>
      </c>
      <c r="U222" s="39">
        <f t="shared" si="133"/>
        <v>0.80645161290322576</v>
      </c>
      <c r="V222" s="39">
        <f t="shared" si="133"/>
        <v>1.2295081967213115</v>
      </c>
      <c r="W222" s="180">
        <f t="shared" si="133"/>
        <v>2.1458133221967008</v>
      </c>
      <c r="X222" s="39" t="e">
        <f t="shared" si="133"/>
        <v>#DIV/0!</v>
      </c>
      <c r="Y222" s="39" t="e">
        <f t="shared" si="133"/>
        <v>#DIV/0!</v>
      </c>
      <c r="Z222" s="39" t="e">
        <f t="shared" si="133"/>
        <v>#DIV/0!</v>
      </c>
      <c r="AA222" s="39" t="e">
        <f t="shared" si="133"/>
        <v>#DIV/0!</v>
      </c>
      <c r="AB222" s="39">
        <f t="shared" si="133"/>
        <v>2</v>
      </c>
      <c r="AC222" s="39" t="e">
        <f t="shared" si="133"/>
        <v>#DIV/0!</v>
      </c>
      <c r="AD222" s="39" t="e">
        <f t="shared" si="133"/>
        <v>#DIV/0!</v>
      </c>
      <c r="AE222" s="39" t="e">
        <f t="shared" si="133"/>
        <v>#DIV/0!</v>
      </c>
      <c r="AF222" s="39" t="e">
        <f t="shared" si="133"/>
        <v>#DIV/0!</v>
      </c>
      <c r="AG222" s="39">
        <f t="shared" si="133"/>
        <v>1.3888888888888888</v>
      </c>
      <c r="AH222" s="39"/>
      <c r="AI222" s="39" t="e">
        <f>-AI197/AI171</f>
        <v>#DIV/0!</v>
      </c>
      <c r="AJ222" s="39"/>
    </row>
    <row r="223" spans="1:36" ht="12.95" customHeight="1"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180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</row>
    <row r="224" spans="1:36" ht="12.95" customHeight="1">
      <c r="AI224" s="54"/>
      <c r="AJ224" s="91"/>
    </row>
    <row r="225" spans="1:36" ht="18.600000000000001" customHeight="1">
      <c r="B225" s="50" t="s">
        <v>341</v>
      </c>
      <c r="C225" s="51">
        <f>C6</f>
        <v>2004</v>
      </c>
      <c r="D225" s="51">
        <f t="shared" ref="D225:M225" si="134">D6</f>
        <v>2005</v>
      </c>
      <c r="E225" s="51">
        <f t="shared" si="134"/>
        <v>2006</v>
      </c>
      <c r="F225" s="51">
        <f t="shared" si="134"/>
        <v>2007</v>
      </c>
      <c r="G225" s="51">
        <f t="shared" si="134"/>
        <v>2008</v>
      </c>
      <c r="H225" s="51">
        <f t="shared" si="134"/>
        <v>2009</v>
      </c>
      <c r="I225" s="51">
        <f t="shared" si="134"/>
        <v>2010</v>
      </c>
      <c r="J225" s="51">
        <f t="shared" si="134"/>
        <v>2011</v>
      </c>
      <c r="K225" s="51">
        <f t="shared" si="134"/>
        <v>2012</v>
      </c>
      <c r="L225" s="51">
        <f t="shared" si="134"/>
        <v>2013</v>
      </c>
      <c r="M225" s="51">
        <f t="shared" si="134"/>
        <v>2014</v>
      </c>
      <c r="N225" s="51"/>
      <c r="O225" s="51"/>
      <c r="P225" s="51"/>
      <c r="Q225" s="51"/>
      <c r="R225" s="252" t="s">
        <v>304</v>
      </c>
      <c r="S225" s="252"/>
      <c r="T225" s="51" t="s">
        <v>342</v>
      </c>
      <c r="U225" s="51"/>
      <c r="V225" s="51"/>
      <c r="W225" s="51"/>
      <c r="X225" s="51"/>
      <c r="Y225" s="51"/>
      <c r="Z225" s="51"/>
      <c r="AA225" s="51"/>
      <c r="AB225" s="51"/>
      <c r="AC225" s="51"/>
      <c r="AD225" s="51"/>
      <c r="AE225" s="51"/>
      <c r="AF225" s="51"/>
      <c r="AG225" s="52"/>
      <c r="AI225" s="42"/>
      <c r="AJ225" s="91"/>
    </row>
    <row r="226" spans="1:36" s="259" customFormat="1" ht="12.95" customHeight="1">
      <c r="A226" s="254"/>
      <c r="B226" s="255"/>
      <c r="C226" s="256"/>
      <c r="D226" s="256"/>
      <c r="E226" s="256"/>
      <c r="F226" s="256"/>
      <c r="G226" s="256"/>
      <c r="H226" s="256"/>
      <c r="I226" s="256"/>
      <c r="J226" s="256"/>
      <c r="K226" s="256"/>
      <c r="L226" s="256"/>
      <c r="M226" s="256"/>
      <c r="N226" s="256"/>
      <c r="O226" s="256"/>
      <c r="P226" s="256"/>
      <c r="Q226" s="256"/>
      <c r="R226" s="197"/>
      <c r="T226" s="256"/>
      <c r="U226" s="256"/>
      <c r="V226" s="256"/>
      <c r="W226" s="256"/>
      <c r="X226" s="256"/>
      <c r="Y226" s="256"/>
      <c r="Z226" s="256"/>
      <c r="AA226" s="256"/>
      <c r="AB226" s="256"/>
      <c r="AC226" s="256"/>
      <c r="AD226" s="256"/>
      <c r="AE226" s="256"/>
      <c r="AF226" s="256"/>
      <c r="AG226" s="256"/>
      <c r="AH226" s="257"/>
      <c r="AI226" s="253"/>
      <c r="AJ226" s="258"/>
    </row>
    <row r="227" spans="1:36" ht="12.95" customHeight="1">
      <c r="A227" s="27"/>
      <c r="B227" s="135" t="s">
        <v>340</v>
      </c>
      <c r="M227" s="11"/>
      <c r="N227" s="11"/>
      <c r="O227" s="11"/>
      <c r="P227" s="11"/>
      <c r="Q227" s="11"/>
      <c r="R227" s="407"/>
      <c r="T227" s="407" t="s">
        <v>342</v>
      </c>
      <c r="AJ227" s="91"/>
    </row>
    <row r="228" spans="1:36" ht="12.95" customHeight="1">
      <c r="A228" s="27"/>
      <c r="B228" s="136" t="s">
        <v>20</v>
      </c>
      <c r="C228" s="403">
        <v>13.365</v>
      </c>
      <c r="D228" s="403">
        <v>13.44</v>
      </c>
      <c r="E228" s="403">
        <v>13.855</v>
      </c>
      <c r="F228" s="403">
        <v>15.685</v>
      </c>
      <c r="G228" s="403">
        <v>24.22</v>
      </c>
      <c r="H228" s="403">
        <v>23.21</v>
      </c>
      <c r="I228" s="403">
        <v>19.175000000000001</v>
      </c>
      <c r="J228" s="403">
        <v>23.9</v>
      </c>
      <c r="K228" s="403">
        <v>27.95</v>
      </c>
      <c r="L228" s="403">
        <v>38.090000000000003</v>
      </c>
      <c r="M228" s="403">
        <v>37.159999999999997</v>
      </c>
      <c r="R228" s="404"/>
      <c r="AJ228" s="91"/>
    </row>
    <row r="229" spans="1:36" ht="12.95" customHeight="1">
      <c r="A229" s="27"/>
      <c r="B229" s="136" t="s">
        <v>21</v>
      </c>
      <c r="C229" s="403">
        <v>4.2149999999999999</v>
      </c>
      <c r="D229" s="403">
        <v>8.9250000000000007</v>
      </c>
      <c r="E229" s="403">
        <v>11.22</v>
      </c>
      <c r="F229" s="403">
        <v>13.3</v>
      </c>
      <c r="G229" s="403">
        <v>14.115</v>
      </c>
      <c r="H229" s="403">
        <v>11.64</v>
      </c>
      <c r="I229" s="403">
        <v>17.260000000000002</v>
      </c>
      <c r="J229" s="403">
        <v>16.094999999999999</v>
      </c>
      <c r="K229" s="403">
        <v>18.515000000000001</v>
      </c>
      <c r="L229" s="403">
        <v>23.51</v>
      </c>
      <c r="M229" s="403">
        <v>30.99</v>
      </c>
      <c r="R229" s="404"/>
      <c r="AJ229" s="91"/>
    </row>
    <row r="230" spans="1:36" ht="12.95" customHeight="1">
      <c r="A230" s="27"/>
      <c r="B230" s="136" t="s">
        <v>22</v>
      </c>
      <c r="C230" s="403">
        <v>11.125</v>
      </c>
      <c r="D230" s="403">
        <v>12.23</v>
      </c>
      <c r="E230" s="403">
        <v>13.32</v>
      </c>
      <c r="F230" s="403">
        <v>14.07</v>
      </c>
      <c r="G230" s="403">
        <v>21.93</v>
      </c>
      <c r="H230" s="403">
        <v>17.655000000000001</v>
      </c>
      <c r="I230" s="403">
        <v>18.22</v>
      </c>
      <c r="J230" s="403">
        <v>21.725000000000001</v>
      </c>
      <c r="K230" s="403">
        <v>27.95</v>
      </c>
      <c r="L230" s="403">
        <v>32.51</v>
      </c>
      <c r="M230" s="403">
        <v>33.840000000000003</v>
      </c>
      <c r="R230" s="404"/>
      <c r="T230" s="408">
        <v>40.75</v>
      </c>
      <c r="AJ230" s="91"/>
    </row>
    <row r="231" spans="1:36" ht="12.95" customHeight="1">
      <c r="A231" s="27"/>
      <c r="B231" s="136"/>
      <c r="C231" s="403"/>
      <c r="D231" s="403"/>
      <c r="E231" s="403"/>
      <c r="F231" s="403"/>
      <c r="G231" s="403"/>
      <c r="H231" s="403"/>
      <c r="I231" s="403"/>
      <c r="J231" s="403"/>
      <c r="K231" s="403"/>
      <c r="L231" s="403"/>
      <c r="M231" s="403"/>
      <c r="R231" s="404"/>
      <c r="T231" s="403"/>
      <c r="AJ231" s="91"/>
    </row>
    <row r="232" spans="1:36" ht="12.95" customHeight="1">
      <c r="A232" s="27"/>
      <c r="B232" s="135" t="s">
        <v>345</v>
      </c>
      <c r="R232" s="407"/>
      <c r="T232" s="407"/>
      <c r="AJ232" s="91"/>
    </row>
    <row r="233" spans="1:36" ht="12.95" customHeight="1">
      <c r="A233" s="27"/>
      <c r="B233" s="136" t="s">
        <v>20</v>
      </c>
      <c r="C233" s="103">
        <v>31.07497087163016</v>
      </c>
      <c r="D233" s="103">
        <v>24.528118648722877</v>
      </c>
      <c r="E233" s="103">
        <v>22.799088663615724</v>
      </c>
      <c r="F233" s="103">
        <v>21.492757283369276</v>
      </c>
      <c r="G233" s="103">
        <v>27.71009500869798</v>
      </c>
      <c r="H233" s="103">
        <v>27.758488263640604</v>
      </c>
      <c r="I233" s="103">
        <v>21.664316679400727</v>
      </c>
      <c r="J233" s="103">
        <v>21.844541987350564</v>
      </c>
      <c r="K233" s="103">
        <v>19.54935117754307</v>
      </c>
      <c r="L233" s="103">
        <v>26.328677886663829</v>
      </c>
      <c r="M233" s="103">
        <v>24.61590548840115</v>
      </c>
      <c r="R233" s="405">
        <f>AVERAGE(C233:M233)</f>
        <v>24.487846541730541</v>
      </c>
      <c r="AJ233" s="91"/>
    </row>
    <row r="234" spans="1:36" ht="12.95" customHeight="1">
      <c r="A234" s="27"/>
      <c r="B234" s="136" t="s">
        <v>21</v>
      </c>
      <c r="C234" s="103">
        <v>9.8002994555870639</v>
      </c>
      <c r="D234" s="103">
        <v>16.28820379016754</v>
      </c>
      <c r="E234" s="103">
        <v>18.463065666240954</v>
      </c>
      <c r="F234" s="103">
        <v>18.224652334638915</v>
      </c>
      <c r="G234" s="103">
        <v>16.148967425589266</v>
      </c>
      <c r="H234" s="103">
        <v>13.921103118861552</v>
      </c>
      <c r="I234" s="103">
        <v>19.500709563830849</v>
      </c>
      <c r="J234" s="103">
        <v>14.710790932485663</v>
      </c>
      <c r="K234" s="103">
        <v>12.950133704909122</v>
      </c>
      <c r="L234" s="103">
        <v>16.250648913506605</v>
      </c>
      <c r="M234" s="103">
        <v>20.528711277867377</v>
      </c>
      <c r="R234" s="405">
        <f>AVERAGE(C234:M234)</f>
        <v>16.071571471244084</v>
      </c>
      <c r="AJ234" s="91"/>
    </row>
    <row r="235" spans="1:36" ht="12.95" customHeight="1">
      <c r="A235" s="27"/>
      <c r="B235" s="136" t="s">
        <v>22</v>
      </c>
      <c r="C235" s="103">
        <v>25.866745300926713</v>
      </c>
      <c r="D235" s="103">
        <v>22.319857966806609</v>
      </c>
      <c r="E235" s="103">
        <v>21.918719667943808</v>
      </c>
      <c r="F235" s="103">
        <v>19.27976378559169</v>
      </c>
      <c r="G235" s="103">
        <v>25.090106669725298</v>
      </c>
      <c r="H235" s="103">
        <v>21.114869034665009</v>
      </c>
      <c r="I235" s="103">
        <v>20.585337673985979</v>
      </c>
      <c r="J235" s="103">
        <v>19.856597266744398</v>
      </c>
      <c r="K235" s="103">
        <v>19.54935117754307</v>
      </c>
      <c r="L235" s="103">
        <v>22.471654452492544</v>
      </c>
      <c r="M235" s="103">
        <v>22.416637290836789</v>
      </c>
      <c r="R235" s="405">
        <f>AVERAGE(C235:M235)</f>
        <v>21.86087638975108</v>
      </c>
      <c r="T235" s="103">
        <f>T230/(U28+V28+X36+Y36)</f>
        <v>19.606914749181254</v>
      </c>
      <c r="AJ235" s="91"/>
    </row>
    <row r="236" spans="1:36" ht="12.95" customHeight="1">
      <c r="A236" s="27"/>
      <c r="B236" s="136"/>
      <c r="C236" s="103"/>
      <c r="D236" s="103"/>
      <c r="E236" s="103"/>
      <c r="F236" s="103"/>
      <c r="G236" s="103"/>
      <c r="H236" s="103"/>
      <c r="I236" s="103"/>
      <c r="J236" s="103"/>
      <c r="K236" s="103"/>
      <c r="L236" s="103"/>
      <c r="M236" s="103"/>
      <c r="R236" s="405"/>
      <c r="AJ236" s="91"/>
    </row>
    <row r="237" spans="1:36" ht="12.95" customHeight="1">
      <c r="A237" s="27"/>
      <c r="B237" s="136" t="s">
        <v>343</v>
      </c>
      <c r="C237" s="103"/>
      <c r="D237" s="103"/>
      <c r="E237" s="103"/>
      <c r="F237" s="250">
        <v>20.913734166666671</v>
      </c>
      <c r="G237" s="250">
        <v>22.195892250000004</v>
      </c>
      <c r="H237" s="250">
        <v>17.61400591666667</v>
      </c>
      <c r="I237" s="250">
        <v>18.697801500000001</v>
      </c>
      <c r="J237" s="250">
        <v>18.803048083333334</v>
      </c>
      <c r="K237" s="250">
        <v>18.028335000000002</v>
      </c>
      <c r="L237" s="250">
        <v>21.306357500000001</v>
      </c>
      <c r="M237" s="250">
        <v>21.99686083333334</v>
      </c>
      <c r="N237" s="250"/>
      <c r="R237" s="405">
        <f>AVERAGE(F237:M237)</f>
        <v>19.944504406250001</v>
      </c>
      <c r="AJ237" s="91"/>
    </row>
    <row r="238" spans="1:36" ht="12.95" customHeight="1">
      <c r="A238" s="27"/>
      <c r="B238" s="136" t="s">
        <v>344</v>
      </c>
      <c r="C238" s="103"/>
      <c r="D238" s="103"/>
      <c r="E238" s="103"/>
      <c r="F238" s="250">
        <v>18.4618775</v>
      </c>
      <c r="G238" s="250">
        <v>19.272719416666664</v>
      </c>
      <c r="H238" s="250">
        <v>15.254526750000002</v>
      </c>
      <c r="I238" s="250">
        <v>15.944938499999999</v>
      </c>
      <c r="J238" s="250">
        <v>16.184248083333333</v>
      </c>
      <c r="K238" s="250">
        <v>16.052660083333333</v>
      </c>
      <c r="L238" s="250">
        <v>18.369580833333334</v>
      </c>
      <c r="M238" s="250">
        <v>18.941715000000006</v>
      </c>
      <c r="N238" s="250"/>
      <c r="R238" s="405">
        <f>AVERAGE(F238:M238)</f>
        <v>17.310283270833335</v>
      </c>
      <c r="AJ238" s="91"/>
    </row>
    <row r="239" spans="1:36" ht="12.95" customHeight="1">
      <c r="A239" s="27"/>
      <c r="B239" s="136"/>
      <c r="C239" s="103"/>
      <c r="D239" s="103"/>
      <c r="E239" s="103"/>
      <c r="F239" s="103"/>
      <c r="G239" s="103"/>
      <c r="H239" s="103"/>
      <c r="I239" s="103"/>
      <c r="J239" s="103"/>
      <c r="K239" s="103"/>
      <c r="L239" s="103"/>
      <c r="M239" s="103"/>
      <c r="R239" s="405"/>
      <c r="AJ239" s="91"/>
    </row>
    <row r="240" spans="1:36" ht="12.95" customHeight="1">
      <c r="A240" s="27"/>
      <c r="B240" s="135" t="s">
        <v>9</v>
      </c>
      <c r="R240" s="178"/>
      <c r="AJ240" s="91"/>
    </row>
    <row r="241" spans="1:36" ht="12.95" customHeight="1">
      <c r="A241" s="27"/>
      <c r="B241" s="136" t="s">
        <v>20</v>
      </c>
      <c r="C241" s="39">
        <v>2.0820402150300767E-2</v>
      </c>
      <c r="D241" s="39">
        <v>3.0579550933973798E-2</v>
      </c>
      <c r="E241" s="39">
        <v>1.3395871023848899E-2</v>
      </c>
      <c r="F241" s="39">
        <v>3.6760315334317624E-2</v>
      </c>
      <c r="G241" s="39">
        <v>1.57950955174063E-2</v>
      </c>
      <c r="H241" s="39">
        <v>3.1955319388107431E-2</v>
      </c>
      <c r="I241" s="39">
        <v>3.4958856205621336E-2</v>
      </c>
      <c r="J241" s="39">
        <v>4.3403335895584642E-2</v>
      </c>
      <c r="K241" s="39">
        <v>4.6916892839268705E-2</v>
      </c>
      <c r="L241" s="39">
        <v>1.369462441195385E-2</v>
      </c>
      <c r="M241" s="39">
        <v>3.014344784499548E-2</v>
      </c>
      <c r="O241" s="39"/>
      <c r="R241" s="406">
        <f>AVERAGE(C241:M241)</f>
        <v>2.8947610140488987E-2</v>
      </c>
      <c r="AJ241" s="91"/>
    </row>
    <row r="242" spans="1:36" ht="12.95" customHeight="1">
      <c r="A242" s="27"/>
      <c r="B242" s="136" t="s">
        <v>21</v>
      </c>
      <c r="C242" s="39">
        <v>6.60177164267544E-2</v>
      </c>
      <c r="D242" s="39">
        <v>4.6049206112337003E-2</v>
      </c>
      <c r="E242" s="39">
        <v>1.6541871037025535E-2</v>
      </c>
      <c r="F242" s="39">
        <v>4.3352296693140752E-2</v>
      </c>
      <c r="G242" s="39">
        <v>2.7102884408896962E-2</v>
      </c>
      <c r="H242" s="39">
        <v>6.3718467611509746E-2</v>
      </c>
      <c r="I242" s="39">
        <v>3.8837547377913617E-2</v>
      </c>
      <c r="J242" s="39">
        <v>6.4451054855823114E-2</v>
      </c>
      <c r="K242" s="39">
        <v>7.0825123135704035E-2</v>
      </c>
      <c r="L242" s="39">
        <v>2.2187505055351858E-2</v>
      </c>
      <c r="M242" s="39">
        <v>3.614490228848119E-2</v>
      </c>
      <c r="O242" s="39"/>
      <c r="R242" s="406">
        <f>AVERAGE(C242:M242)</f>
        <v>4.5020779545721659E-2</v>
      </c>
      <c r="AJ242" s="91"/>
    </row>
    <row r="243" spans="1:36" ht="12.95" customHeight="1">
      <c r="A243" s="27"/>
      <c r="B243" s="136" t="s">
        <v>22</v>
      </c>
      <c r="C243" s="39">
        <v>2.5012555032698405E-2</v>
      </c>
      <c r="D243" s="39">
        <v>3.3605001189910694E-2</v>
      </c>
      <c r="E243" s="39">
        <v>1.3933918396053041E-2</v>
      </c>
      <c r="F243" s="39">
        <v>4.0979782943764885E-2</v>
      </c>
      <c r="G243" s="39">
        <v>1.7444469376725062E-2</v>
      </c>
      <c r="H243" s="39">
        <v>4.2009796827979243E-2</v>
      </c>
      <c r="I243" s="39">
        <v>3.6791222159318834E-2</v>
      </c>
      <c r="J243" s="39">
        <v>4.7748664115280684E-2</v>
      </c>
      <c r="K243" s="39">
        <v>4.6916892839268705E-2</v>
      </c>
      <c r="L243" s="39">
        <v>1.6045162837629107E-2</v>
      </c>
      <c r="M243" s="39">
        <v>3.310078374468179E-2</v>
      </c>
      <c r="O243" s="39"/>
      <c r="R243" s="406">
        <f>AVERAGE(C243:M243)</f>
        <v>3.2144386314846403E-2</v>
      </c>
      <c r="S243" s="39"/>
      <c r="AJ243" s="91"/>
    </row>
    <row r="244" spans="1:36" ht="12.95" customHeight="1">
      <c r="A244" s="27"/>
      <c r="B244" s="136"/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O244" s="39"/>
      <c r="R244" s="406"/>
      <c r="AJ244" s="91"/>
    </row>
    <row r="245" spans="1:36" ht="12.95" customHeight="1">
      <c r="A245" s="27"/>
      <c r="B245" s="135" t="s">
        <v>303</v>
      </c>
      <c r="C245" s="103"/>
      <c r="D245" s="103"/>
      <c r="E245" s="103"/>
      <c r="F245" s="103"/>
      <c r="G245" s="103"/>
      <c r="H245" s="103"/>
      <c r="I245" s="103"/>
      <c r="J245" s="103"/>
      <c r="K245" s="103"/>
      <c r="L245" s="103"/>
      <c r="M245" s="103"/>
      <c r="R245" s="405"/>
      <c r="AJ245" s="91"/>
    </row>
    <row r="246" spans="1:36" ht="12.95" customHeight="1">
      <c r="A246" s="27"/>
      <c r="B246" s="136" t="s">
        <v>20</v>
      </c>
      <c r="C246" s="103">
        <v>15.369456837736866</v>
      </c>
      <c r="D246" s="103">
        <v>11.754789092525295</v>
      </c>
      <c r="E246" s="103">
        <v>12.351686165804157</v>
      </c>
      <c r="F246" s="103">
        <v>11.757171146317262</v>
      </c>
      <c r="G246" s="103">
        <v>15.128352675217815</v>
      </c>
      <c r="H246" s="103">
        <v>13.877715249115566</v>
      </c>
      <c r="I246" s="103">
        <v>10.495364070604657</v>
      </c>
      <c r="J246" s="103">
        <v>12.577780280581976</v>
      </c>
      <c r="K246" s="103">
        <v>11.496341516289313</v>
      </c>
      <c r="L246" s="103">
        <v>14.835706348960519</v>
      </c>
      <c r="M246" s="103">
        <v>13.902166251315277</v>
      </c>
      <c r="R246" s="405">
        <f>AVERAGE(C246:M246)</f>
        <v>13.049684512224424</v>
      </c>
      <c r="AJ246" s="91"/>
    </row>
    <row r="247" spans="1:36" ht="12.95" customHeight="1">
      <c r="A247" s="27"/>
      <c r="B247" s="136" t="s">
        <v>21</v>
      </c>
      <c r="C247" s="103">
        <v>4.8226594557037856</v>
      </c>
      <c r="D247" s="103">
        <v>7.3622933932913277</v>
      </c>
      <c r="E247" s="103">
        <v>9.8809208983585357</v>
      </c>
      <c r="F247" s="103">
        <v>9.9073249967824566</v>
      </c>
      <c r="G247" s="103">
        <v>8.7594933374053099</v>
      </c>
      <c r="H247" s="103">
        <v>6.660919221698113</v>
      </c>
      <c r="I247" s="103">
        <v>9.3532628175228059</v>
      </c>
      <c r="J247" s="103">
        <v>8.7828954924143865</v>
      </c>
      <c r="K247" s="103">
        <v>7.912185291490708</v>
      </c>
      <c r="L247" s="103">
        <v>9.5073588470668415</v>
      </c>
      <c r="M247" s="103">
        <v>11.660180899374206</v>
      </c>
      <c r="R247" s="405">
        <f>AVERAGE(C247:M247)</f>
        <v>8.6008631501007713</v>
      </c>
      <c r="AJ247" s="91"/>
    </row>
    <row r="248" spans="1:36" ht="12.95" customHeight="1">
      <c r="A248" s="27"/>
      <c r="B248" s="136" t="s">
        <v>22</v>
      </c>
      <c r="C248" s="103">
        <v>12.787508626179042</v>
      </c>
      <c r="D248" s="103">
        <v>10.57761970247588</v>
      </c>
      <c r="E248" s="103">
        <v>11.850031737689012</v>
      </c>
      <c r="F248" s="103">
        <v>10.504549959106063</v>
      </c>
      <c r="G248" s="103">
        <v>13.685038683768964</v>
      </c>
      <c r="H248" s="103">
        <v>10.412779904923349</v>
      </c>
      <c r="I248" s="103">
        <v>9.9258044378667076</v>
      </c>
      <c r="J248" s="103">
        <v>11.520269144865832</v>
      </c>
      <c r="K248" s="103">
        <v>11.496341516289313</v>
      </c>
      <c r="L248" s="103">
        <v>12.796462243297505</v>
      </c>
      <c r="M248" s="103">
        <v>12.69578191283159</v>
      </c>
      <c r="R248" s="405">
        <f>AVERAGE(C248:M248)</f>
        <v>11.659289806299387</v>
      </c>
      <c r="AJ248" s="91"/>
    </row>
    <row r="249" spans="1:36" ht="12.95" customHeight="1">
      <c r="A249" s="27"/>
      <c r="B249" s="136"/>
      <c r="C249" s="103"/>
      <c r="D249" s="103"/>
      <c r="E249" s="103"/>
      <c r="F249" s="103"/>
      <c r="G249" s="103"/>
      <c r="H249" s="103"/>
      <c r="I249" s="103"/>
      <c r="J249" s="103"/>
      <c r="K249" s="103"/>
      <c r="L249" s="103"/>
      <c r="M249" s="103"/>
      <c r="R249" s="405"/>
      <c r="AJ249" s="91"/>
    </row>
    <row r="250" spans="1:36" ht="12.95" customHeight="1">
      <c r="A250" s="27"/>
      <c r="B250" s="135" t="s">
        <v>24</v>
      </c>
      <c r="C250" s="103"/>
      <c r="D250" s="103"/>
      <c r="E250" s="103"/>
      <c r="F250" s="103"/>
      <c r="G250" s="103"/>
      <c r="H250" s="103"/>
      <c r="I250" s="103"/>
      <c r="J250" s="103"/>
      <c r="K250" s="103"/>
      <c r="L250" s="103"/>
      <c r="M250" s="103"/>
      <c r="R250" s="405"/>
      <c r="AJ250" s="91"/>
    </row>
    <row r="251" spans="1:36" ht="12.95" customHeight="1">
      <c r="A251" s="27"/>
      <c r="B251" s="136" t="s">
        <v>20</v>
      </c>
      <c r="C251" s="103">
        <v>48.029811949888497</v>
      </c>
      <c r="D251" s="103">
        <v>32.701592059319708</v>
      </c>
      <c r="E251" s="103">
        <v>74.649867725635971</v>
      </c>
      <c r="F251" s="103">
        <v>27.203248691026573</v>
      </c>
      <c r="G251" s="103">
        <v>63.310791561722006</v>
      </c>
      <c r="H251" s="103">
        <v>31.29369441921968</v>
      </c>
      <c r="I251" s="103">
        <v>28.605054871309019</v>
      </c>
      <c r="J251" s="103">
        <v>23.03970373166014</v>
      </c>
      <c r="K251" s="103">
        <v>21.314284460948269</v>
      </c>
      <c r="L251" s="103">
        <v>73.021352752625589</v>
      </c>
      <c r="M251" s="103">
        <v>33.17470533371727</v>
      </c>
      <c r="R251" s="405">
        <f>AVERAGE(C251:M251)</f>
        <v>41.485827959733882</v>
      </c>
      <c r="AJ251" s="91"/>
    </row>
    <row r="252" spans="1:36" ht="12.95" customHeight="1">
      <c r="A252" s="27"/>
      <c r="B252" s="136" t="s">
        <v>21</v>
      </c>
      <c r="C252" s="103">
        <v>15.14744911101983</v>
      </c>
      <c r="D252" s="103">
        <v>21.715900976891994</v>
      </c>
      <c r="E252" s="103">
        <v>60.452653618306428</v>
      </c>
      <c r="F252" s="103">
        <v>23.066828663733084</v>
      </c>
      <c r="G252" s="103">
        <v>36.896441903125769</v>
      </c>
      <c r="H252" s="103">
        <v>15.694037183960235</v>
      </c>
      <c r="I252" s="103">
        <v>25.748278856781937</v>
      </c>
      <c r="J252" s="103">
        <v>15.515649856111713</v>
      </c>
      <c r="K252" s="103">
        <v>14.11928360624176</v>
      </c>
      <c r="L252" s="103">
        <v>45.07041226606006</v>
      </c>
      <c r="M252" s="103">
        <v>27.666418683850871</v>
      </c>
      <c r="R252" s="405">
        <f>AVERAGE(C252:M252)</f>
        <v>27.372123156916697</v>
      </c>
      <c r="AJ252" s="91"/>
    </row>
    <row r="253" spans="1:36" ht="12.95" customHeight="1">
      <c r="A253" s="27"/>
      <c r="B253" s="136" t="s">
        <v>22</v>
      </c>
      <c r="C253" s="103">
        <v>39.979922030864913</v>
      </c>
      <c r="D253" s="103">
        <v>29.757475512312503</v>
      </c>
      <c r="E253" s="103">
        <v>71.767321407829016</v>
      </c>
      <c r="F253" s="103">
        <v>24.40227663900184</v>
      </c>
      <c r="G253" s="103">
        <v>57.324758833549282</v>
      </c>
      <c r="H253" s="103">
        <v>23.803971347321131</v>
      </c>
      <c r="I253" s="103">
        <v>27.180396336649295</v>
      </c>
      <c r="J253" s="103">
        <v>20.942994291645046</v>
      </c>
      <c r="K253" s="103">
        <v>21.314284460948269</v>
      </c>
      <c r="L253" s="103">
        <v>62.324079233075814</v>
      </c>
      <c r="M253" s="103">
        <v>30.210765029413153</v>
      </c>
      <c r="R253" s="405">
        <f>AVERAGE(C253:M253)</f>
        <v>37.182567738419117</v>
      </c>
      <c r="AJ253" s="91"/>
    </row>
    <row r="254" spans="1:36" ht="12.95" customHeight="1">
      <c r="A254" s="27"/>
      <c r="B254" s="136"/>
      <c r="C254" s="103"/>
      <c r="D254" s="103"/>
      <c r="E254" s="103"/>
      <c r="F254" s="103"/>
      <c r="G254" s="39"/>
      <c r="H254" s="39"/>
      <c r="I254" s="39"/>
      <c r="J254" s="39"/>
      <c r="K254" s="39"/>
      <c r="L254" s="39"/>
      <c r="M254" s="39"/>
      <c r="R254" s="405"/>
      <c r="AJ254" s="91"/>
    </row>
    <row r="255" spans="1:36" ht="12.95" customHeight="1">
      <c r="A255" s="27"/>
      <c r="B255" s="137" t="s">
        <v>25</v>
      </c>
      <c r="C255" s="103"/>
      <c r="D255" s="103"/>
      <c r="E255" s="103"/>
      <c r="F255" s="103"/>
      <c r="G255" s="103"/>
      <c r="H255" s="103"/>
      <c r="I255" s="103"/>
      <c r="J255" s="103"/>
      <c r="K255" s="103"/>
      <c r="L255" s="103"/>
      <c r="M255" s="103"/>
      <c r="R255" s="405"/>
      <c r="AJ255" s="91"/>
    </row>
    <row r="256" spans="1:36" ht="12.95" customHeight="1">
      <c r="A256" s="27"/>
      <c r="B256" s="136" t="s">
        <v>20</v>
      </c>
      <c r="C256" s="103">
        <v>6.1124993999448591</v>
      </c>
      <c r="D256" s="103">
        <v>4.9938902476680465</v>
      </c>
      <c r="E256" s="103">
        <v>4.6238962578277238</v>
      </c>
      <c r="F256" s="103">
        <v>5.0508570708782194</v>
      </c>
      <c r="G256" s="103">
        <v>5.4910942500968343</v>
      </c>
      <c r="H256" s="103">
        <v>5.0678886179452602</v>
      </c>
      <c r="I256" s="103">
        <v>3.872037699303513</v>
      </c>
      <c r="J256" s="103">
        <v>4.6027335156064062</v>
      </c>
      <c r="K256" s="103">
        <v>4.3035571651314495</v>
      </c>
      <c r="L256" s="103">
        <v>5.035034451913539</v>
      </c>
      <c r="M256" s="103">
        <v>4.3151489356581791</v>
      </c>
      <c r="R256" s="405">
        <f>AVERAGE(C256:M256)</f>
        <v>4.8607852374521849</v>
      </c>
      <c r="AJ256" s="91"/>
    </row>
    <row r="257" spans="1:36" ht="12.95" customHeight="1">
      <c r="A257" s="27"/>
      <c r="B257" s="136" t="s">
        <v>21</v>
      </c>
      <c r="C257" s="103">
        <v>1.9179925055483267</v>
      </c>
      <c r="D257" s="103">
        <v>3.1277877372217375</v>
      </c>
      <c r="E257" s="103">
        <v>3.6989567701534329</v>
      </c>
      <c r="F257" s="103">
        <v>4.2561668866376543</v>
      </c>
      <c r="G257" s="103">
        <v>3.1794078662365202</v>
      </c>
      <c r="H257" s="103">
        <v>2.4324462710710257</v>
      </c>
      <c r="I257" s="103">
        <v>3.4506841303748716</v>
      </c>
      <c r="J257" s="103">
        <v>3.2140271610098154</v>
      </c>
      <c r="K257" s="103">
        <v>2.9618589231013934</v>
      </c>
      <c r="L257" s="103">
        <v>3.2266666794089374</v>
      </c>
      <c r="M257" s="103">
        <v>3.6192501433189315</v>
      </c>
      <c r="R257" s="405">
        <f>AVERAGE(C257:M257)</f>
        <v>3.1895677340075128</v>
      </c>
      <c r="AJ257" s="91"/>
    </row>
    <row r="258" spans="1:36" ht="12.95" customHeight="1">
      <c r="A258" s="27"/>
      <c r="B258" s="136" t="s">
        <v>22</v>
      </c>
      <c r="C258" s="103">
        <v>5.0856474389122655</v>
      </c>
      <c r="D258" s="103">
        <v>4.4937830411032547</v>
      </c>
      <c r="E258" s="103">
        <v>4.4361001948653911</v>
      </c>
      <c r="F258" s="103">
        <v>4.5127335289291572</v>
      </c>
      <c r="G258" s="103">
        <v>4.9672187608301224</v>
      </c>
      <c r="H258" s="103">
        <v>3.8025573960881842</v>
      </c>
      <c r="I258" s="103">
        <v>3.6619109847725189</v>
      </c>
      <c r="J258" s="103">
        <v>4.2157461586240128</v>
      </c>
      <c r="K258" s="103">
        <v>4.3035571651314495</v>
      </c>
      <c r="L258" s="103">
        <v>4.3429430821895547</v>
      </c>
      <c r="M258" s="103">
        <v>3.9406944801368993</v>
      </c>
      <c r="R258" s="405">
        <f>AVERAGE(C258:M258)</f>
        <v>4.3420811119620737</v>
      </c>
      <c r="AJ258" s="91"/>
    </row>
    <row r="259" spans="1:36" ht="12.95" customHeight="1">
      <c r="A259" s="27"/>
      <c r="B259" s="138" t="s">
        <v>26</v>
      </c>
      <c r="C259" s="103"/>
      <c r="D259" s="103"/>
      <c r="E259" s="103"/>
      <c r="F259" s="103"/>
      <c r="G259" s="103"/>
      <c r="H259" s="103"/>
      <c r="I259" s="103"/>
      <c r="J259" s="103"/>
      <c r="K259" s="103"/>
      <c r="L259" s="103"/>
      <c r="M259" s="103"/>
      <c r="R259" s="405"/>
      <c r="AJ259" s="91"/>
    </row>
    <row r="260" spans="1:36" ht="12.95" customHeight="1">
      <c r="A260" s="27"/>
      <c r="B260" s="136" t="s">
        <v>20</v>
      </c>
      <c r="C260" s="103">
        <v>6.1124993999448591</v>
      </c>
      <c r="D260" s="103">
        <v>4.9938902476680465</v>
      </c>
      <c r="E260" s="103">
        <v>4.6238962578277238</v>
      </c>
      <c r="F260" s="103">
        <v>5.0508570708782194</v>
      </c>
      <c r="G260" s="103">
        <v>5.4910942500968343</v>
      </c>
      <c r="H260" s="103">
        <v>5.0678886179452602</v>
      </c>
      <c r="I260" s="103">
        <v>3.872037699303513</v>
      </c>
      <c r="J260" s="103">
        <v>4.6027335156064062</v>
      </c>
      <c r="K260" s="103">
        <v>4.3035571651314495</v>
      </c>
      <c r="L260" s="103">
        <v>5.035034451913539</v>
      </c>
      <c r="M260" s="103">
        <v>4.3151489356581791</v>
      </c>
      <c r="R260" s="405">
        <f>AVERAGE(C260:M260)</f>
        <v>4.8607852374521849</v>
      </c>
      <c r="AJ260" s="91"/>
    </row>
    <row r="261" spans="1:36" ht="12.95" customHeight="1">
      <c r="A261" s="27"/>
      <c r="B261" s="136" t="s">
        <v>21</v>
      </c>
      <c r="C261" s="103">
        <v>1.9179925055483267</v>
      </c>
      <c r="D261" s="103">
        <v>3.1277877372217375</v>
      </c>
      <c r="E261" s="103">
        <v>3.6989567701534329</v>
      </c>
      <c r="F261" s="103">
        <v>4.2561668866376543</v>
      </c>
      <c r="G261" s="103">
        <v>3.1794078662365202</v>
      </c>
      <c r="H261" s="103">
        <v>2.4324462710710257</v>
      </c>
      <c r="I261" s="103">
        <v>3.4506841303748716</v>
      </c>
      <c r="J261" s="103">
        <v>3.2140271610098154</v>
      </c>
      <c r="K261" s="103">
        <v>2.9618589231013934</v>
      </c>
      <c r="L261" s="103">
        <v>3.2266666794089374</v>
      </c>
      <c r="M261" s="103">
        <v>3.6192501433189315</v>
      </c>
      <c r="R261" s="405">
        <f>AVERAGE(C261:M261)</f>
        <v>3.1895677340075128</v>
      </c>
      <c r="AJ261" s="91"/>
    </row>
    <row r="262" spans="1:36" ht="12.95" customHeight="1">
      <c r="A262" s="27"/>
      <c r="B262" s="136" t="s">
        <v>22</v>
      </c>
      <c r="C262" s="103">
        <v>5.0856474389122655</v>
      </c>
      <c r="D262" s="103">
        <v>4.4937830411032547</v>
      </c>
      <c r="E262" s="103">
        <v>4.4361001948653911</v>
      </c>
      <c r="F262" s="103">
        <v>4.5127335289291572</v>
      </c>
      <c r="G262" s="103">
        <v>4.9672187608301224</v>
      </c>
      <c r="H262" s="103">
        <v>3.8025573960881842</v>
      </c>
      <c r="I262" s="103">
        <v>3.6619109847725189</v>
      </c>
      <c r="J262" s="103">
        <v>4.2157461586240128</v>
      </c>
      <c r="K262" s="103">
        <v>4.3035571651314495</v>
      </c>
      <c r="L262" s="103">
        <v>4.3429430821895547</v>
      </c>
      <c r="M262" s="103">
        <v>3.9406944801368993</v>
      </c>
      <c r="R262" s="405">
        <f>AVERAGE(C262:M262)</f>
        <v>4.3420811119620737</v>
      </c>
      <c r="AJ262" s="91"/>
    </row>
    <row r="263" spans="1:36" ht="12.95" customHeight="1">
      <c r="A263" s="27"/>
      <c r="R263" s="178"/>
      <c r="AJ263" s="91"/>
    </row>
    <row r="264" spans="1:36" ht="12.95" customHeight="1">
      <c r="A264" s="27"/>
      <c r="B264" s="135" t="s">
        <v>23</v>
      </c>
      <c r="C264" s="103"/>
      <c r="D264" s="103"/>
      <c r="E264" s="103"/>
      <c r="F264" s="103"/>
      <c r="G264" s="103"/>
      <c r="H264" s="103"/>
      <c r="I264" s="103"/>
      <c r="J264" s="103"/>
      <c r="K264" s="103"/>
      <c r="L264" s="103"/>
      <c r="M264" s="103"/>
      <c r="R264" s="405"/>
      <c r="AJ264" s="91"/>
    </row>
    <row r="265" spans="1:36" ht="12.95" customHeight="1">
      <c r="A265" s="27"/>
      <c r="B265" s="136" t="s">
        <v>20</v>
      </c>
      <c r="C265" s="103">
        <v>6.1267305621431314</v>
      </c>
      <c r="D265" s="103">
        <v>5.5549097985378495</v>
      </c>
      <c r="E265" s="103">
        <v>4.863391499706756</v>
      </c>
      <c r="F265" s="103">
        <v>5.2262958238210748</v>
      </c>
      <c r="G265" s="103">
        <v>5.5407267904103721</v>
      </c>
      <c r="H265" s="103">
        <v>5.2868294616206564</v>
      </c>
      <c r="I265" s="103">
        <v>4.2190363886196929</v>
      </c>
      <c r="J265" s="103">
        <v>4.2524127962663041</v>
      </c>
      <c r="K265" s="103">
        <v>3.9746121743232732</v>
      </c>
      <c r="L265" s="103">
        <v>4.7243297979904169</v>
      </c>
      <c r="M265" s="103">
        <v>4.1911830021598817</v>
      </c>
      <c r="R265" s="405">
        <f>AVERAGE(C265:M265)</f>
        <v>4.9054961905090373</v>
      </c>
      <c r="AJ265" s="91"/>
    </row>
    <row r="266" spans="1:36" ht="12.95" customHeight="1">
      <c r="A266" s="27"/>
      <c r="B266" s="136" t="s">
        <v>21</v>
      </c>
      <c r="C266" s="103">
        <v>1.9322236677465991</v>
      </c>
      <c r="D266" s="103">
        <v>3.688807288091541</v>
      </c>
      <c r="E266" s="103">
        <v>3.9384520120324651</v>
      </c>
      <c r="F266" s="103">
        <v>4.4316056395805097</v>
      </c>
      <c r="G266" s="103">
        <v>3.229040406550058</v>
      </c>
      <c r="H266" s="103">
        <v>2.6513871147464214</v>
      </c>
      <c r="I266" s="103">
        <v>3.7976828196910515</v>
      </c>
      <c r="J266" s="103">
        <v>2.8637064416697142</v>
      </c>
      <c r="K266" s="103">
        <v>2.6329139322932167</v>
      </c>
      <c r="L266" s="103">
        <v>2.9159620254858152</v>
      </c>
      <c r="M266" s="103">
        <v>3.4952842098206336</v>
      </c>
      <c r="R266" s="405">
        <f>AVERAGE(C266:M266)</f>
        <v>3.2342786870643661</v>
      </c>
      <c r="AJ266" s="91"/>
    </row>
    <row r="267" spans="1:36" ht="12.95" customHeight="1">
      <c r="A267" s="27"/>
      <c r="B267" s="136" t="s">
        <v>22</v>
      </c>
      <c r="C267" s="103">
        <v>5.0998786011105377</v>
      </c>
      <c r="D267" s="103">
        <v>5.0548025919730586</v>
      </c>
      <c r="E267" s="103">
        <v>4.6755954367444232</v>
      </c>
      <c r="F267" s="103">
        <v>4.6881722818720126</v>
      </c>
      <c r="G267" s="103">
        <v>5.0168513011436602</v>
      </c>
      <c r="H267" s="103">
        <v>4.0214982397635799</v>
      </c>
      <c r="I267" s="103">
        <v>4.0089096740886987</v>
      </c>
      <c r="J267" s="103">
        <v>3.8654254392839107</v>
      </c>
      <c r="K267" s="103">
        <v>3.9746121743232732</v>
      </c>
      <c r="L267" s="103">
        <v>4.0322384282664325</v>
      </c>
      <c r="M267" s="103">
        <v>3.8167285466386018</v>
      </c>
      <c r="R267" s="405">
        <f>AVERAGE(C267:M267)</f>
        <v>4.3867920650189269</v>
      </c>
      <c r="AJ267" s="91"/>
    </row>
    <row r="268" spans="1:36">
      <c r="A268" s="27"/>
      <c r="R268" s="178"/>
      <c r="AJ268" s="91"/>
    </row>
    <row r="269" spans="1:36">
      <c r="A269" s="27"/>
      <c r="R269" s="178"/>
      <c r="AJ269" s="91"/>
    </row>
    <row r="270" spans="1:36">
      <c r="A270" s="27"/>
      <c r="C270" s="103"/>
      <c r="R270" s="178"/>
      <c r="AJ270" s="91"/>
    </row>
    <row r="271" spans="1:36">
      <c r="A271" s="27"/>
      <c r="C271" s="103"/>
      <c r="R271" s="178"/>
      <c r="AJ271" s="91"/>
    </row>
    <row r="272" spans="1:36">
      <c r="A272" s="27"/>
      <c r="C272" s="103"/>
      <c r="R272" s="178"/>
      <c r="AJ272" s="91"/>
    </row>
    <row r="273" spans="1:36">
      <c r="A273" s="27"/>
      <c r="R273" s="178"/>
      <c r="AJ273" s="91"/>
    </row>
    <row r="274" spans="1:36">
      <c r="A274" s="27"/>
      <c r="R274" s="11"/>
      <c r="AJ274" s="91"/>
    </row>
    <row r="275" spans="1:36">
      <c r="A275" s="27"/>
      <c r="R275" s="11"/>
      <c r="AJ275" s="91"/>
    </row>
    <row r="276" spans="1:36">
      <c r="A276" s="27"/>
      <c r="R276" s="11"/>
      <c r="AJ276" s="91"/>
    </row>
    <row r="277" spans="1:36">
      <c r="R277" s="11"/>
      <c r="AJ277" s="91"/>
    </row>
    <row r="278" spans="1:36">
      <c r="R278" s="11"/>
      <c r="AJ278" s="91"/>
    </row>
    <row r="279" spans="1:36">
      <c r="R279" s="11"/>
      <c r="AJ279" s="91"/>
    </row>
    <row r="280" spans="1:36">
      <c r="R280" s="11"/>
      <c r="AJ280" s="91"/>
    </row>
    <row r="281" spans="1:36">
      <c r="R281" s="11"/>
      <c r="AJ281" s="91"/>
    </row>
    <row r="282" spans="1:36">
      <c r="R282" s="11"/>
      <c r="AJ282" s="91"/>
    </row>
    <row r="283" spans="1:36">
      <c r="R283" s="11"/>
      <c r="AJ283" s="91"/>
    </row>
    <row r="284" spans="1:36">
      <c r="R284" s="11"/>
      <c r="AJ284" s="91"/>
    </row>
    <row r="285" spans="1:36">
      <c r="R285" s="11"/>
      <c r="AJ285" s="91"/>
    </row>
    <row r="286" spans="1:36">
      <c r="R286" s="11"/>
      <c r="AJ286" s="91"/>
    </row>
    <row r="287" spans="1:36">
      <c r="R287" s="11"/>
      <c r="AJ287" s="91"/>
    </row>
    <row r="288" spans="1:36">
      <c r="R288" s="11"/>
      <c r="AJ288" s="91"/>
    </row>
    <row r="289" spans="18:36">
      <c r="R289" s="11"/>
      <c r="AJ289" s="91"/>
    </row>
    <row r="290" spans="18:36">
      <c r="R290" s="11"/>
      <c r="AJ290" s="91"/>
    </row>
    <row r="291" spans="18:36">
      <c r="R291" s="11"/>
      <c r="AJ291" s="91"/>
    </row>
    <row r="292" spans="18:36">
      <c r="R292" s="11"/>
      <c r="AJ292" s="91"/>
    </row>
    <row r="293" spans="18:36">
      <c r="R293" s="11"/>
      <c r="AJ293" s="91"/>
    </row>
    <row r="294" spans="18:36">
      <c r="R294" s="11"/>
      <c r="AJ294" s="91"/>
    </row>
    <row r="295" spans="18:36">
      <c r="R295" s="11"/>
      <c r="AJ295" s="91"/>
    </row>
    <row r="296" spans="18:36">
      <c r="R296" s="11"/>
      <c r="AJ296" s="91"/>
    </row>
    <row r="297" spans="18:36">
      <c r="R297" s="11"/>
      <c r="AJ297" s="91"/>
    </row>
    <row r="298" spans="18:36">
      <c r="R298" s="11"/>
      <c r="AJ298" s="91"/>
    </row>
    <row r="299" spans="18:36">
      <c r="R299" s="11"/>
      <c r="AJ299" s="91"/>
    </row>
    <row r="300" spans="18:36">
      <c r="R300" s="11"/>
      <c r="AJ300" s="91"/>
    </row>
    <row r="301" spans="18:36">
      <c r="R301" s="11"/>
      <c r="AJ301" s="91"/>
    </row>
    <row r="302" spans="18:36">
      <c r="R302" s="11"/>
      <c r="AJ302" s="91"/>
    </row>
    <row r="303" spans="18:36">
      <c r="R303" s="11"/>
      <c r="AJ303" s="91"/>
    </row>
    <row r="304" spans="18:36">
      <c r="R304" s="11"/>
      <c r="AJ304" s="91"/>
    </row>
    <row r="305" spans="18:36">
      <c r="R305" s="11"/>
      <c r="AJ305" s="91"/>
    </row>
    <row r="306" spans="18:36">
      <c r="R306" s="11"/>
      <c r="AJ306" s="91"/>
    </row>
    <row r="307" spans="18:36">
      <c r="R307" s="11"/>
      <c r="AJ307" s="91"/>
    </row>
    <row r="308" spans="18:36">
      <c r="R308" s="11"/>
      <c r="AJ308" s="91"/>
    </row>
    <row r="309" spans="18:36">
      <c r="R309" s="11"/>
      <c r="AJ309" s="91"/>
    </row>
    <row r="310" spans="18:36">
      <c r="R310" s="11"/>
      <c r="AJ310" s="91"/>
    </row>
    <row r="311" spans="18:36">
      <c r="R311" s="11"/>
      <c r="AJ311" s="91"/>
    </row>
    <row r="312" spans="18:36">
      <c r="R312" s="11"/>
      <c r="AJ312" s="91"/>
    </row>
    <row r="313" spans="18:36">
      <c r="R313" s="11"/>
      <c r="AJ313" s="91"/>
    </row>
    <row r="314" spans="18:36">
      <c r="R314" s="11"/>
      <c r="AJ314" s="91"/>
    </row>
    <row r="315" spans="18:36">
      <c r="R315" s="11"/>
      <c r="AJ315" s="91"/>
    </row>
    <row r="316" spans="18:36">
      <c r="R316" s="11"/>
      <c r="AJ316" s="91"/>
    </row>
    <row r="317" spans="18:36">
      <c r="R317" s="11"/>
      <c r="AJ317" s="91"/>
    </row>
    <row r="318" spans="18:36">
      <c r="R318" s="11"/>
      <c r="AJ318" s="91"/>
    </row>
    <row r="319" spans="18:36">
      <c r="AJ319" s="91"/>
    </row>
    <row r="320" spans="18:36">
      <c r="AJ320" s="91"/>
    </row>
    <row r="321" spans="36:36">
      <c r="AJ321" s="91"/>
    </row>
    <row r="322" spans="36:36">
      <c r="AJ322" s="91"/>
    </row>
    <row r="323" spans="36:36">
      <c r="AJ323" s="91"/>
    </row>
    <row r="324" spans="36:36">
      <c r="AJ324" s="91"/>
    </row>
    <row r="325" spans="36:36">
      <c r="AJ325" s="91"/>
    </row>
    <row r="326" spans="36:36">
      <c r="AJ326" s="91"/>
    </row>
    <row r="327" spans="36:36">
      <c r="AJ327" s="91"/>
    </row>
    <row r="328" spans="36:36">
      <c r="AJ328" s="91"/>
    </row>
    <row r="329" spans="36:36">
      <c r="AJ329" s="91"/>
    </row>
    <row r="330" spans="36:36">
      <c r="AJ330" s="91"/>
    </row>
    <row r="331" spans="36:36">
      <c r="AJ331" s="91"/>
    </row>
    <row r="332" spans="36:36">
      <c r="AJ332" s="91"/>
    </row>
    <row r="333" spans="36:36">
      <c r="AJ333" s="91"/>
    </row>
    <row r="334" spans="36:36">
      <c r="AJ334" s="91"/>
    </row>
    <row r="335" spans="36:36">
      <c r="AJ335" s="91"/>
    </row>
    <row r="336" spans="36:36">
      <c r="AJ336" s="91"/>
    </row>
    <row r="337" spans="36:36">
      <c r="AJ337" s="91"/>
    </row>
    <row r="338" spans="36:36">
      <c r="AJ338" s="91"/>
    </row>
    <row r="339" spans="36:36">
      <c r="AJ339" s="91"/>
    </row>
    <row r="340" spans="36:36">
      <c r="AJ340" s="91"/>
    </row>
    <row r="341" spans="36:36">
      <c r="AJ341" s="91"/>
    </row>
    <row r="342" spans="36:36">
      <c r="AJ342" s="91"/>
    </row>
    <row r="343" spans="36:36">
      <c r="AJ343" s="91"/>
    </row>
    <row r="344" spans="36:36">
      <c r="AJ344" s="91"/>
    </row>
    <row r="345" spans="36:36">
      <c r="AJ345" s="91"/>
    </row>
    <row r="346" spans="36:36">
      <c r="AJ346" s="91"/>
    </row>
    <row r="347" spans="36:36">
      <c r="AJ347" s="91"/>
    </row>
    <row r="348" spans="36:36">
      <c r="AJ348" s="91"/>
    </row>
    <row r="349" spans="36:36">
      <c r="AJ349" s="91"/>
    </row>
    <row r="350" spans="36:36">
      <c r="AJ350" s="91"/>
    </row>
    <row r="351" spans="36:36">
      <c r="AJ351" s="91"/>
    </row>
    <row r="352" spans="36:36">
      <c r="AJ352" s="91"/>
    </row>
    <row r="353" spans="36:36">
      <c r="AJ353" s="91"/>
    </row>
    <row r="354" spans="36:36">
      <c r="AJ354" s="91"/>
    </row>
    <row r="355" spans="36:36">
      <c r="AJ355" s="91"/>
    </row>
    <row r="356" spans="36:36">
      <c r="AJ356" s="91"/>
    </row>
    <row r="357" spans="36:36">
      <c r="AJ357" s="91"/>
    </row>
    <row r="358" spans="36:36">
      <c r="AJ358" s="91"/>
    </row>
    <row r="359" spans="36:36">
      <c r="AJ359" s="91"/>
    </row>
    <row r="360" spans="36:36">
      <c r="AJ360" s="91"/>
    </row>
    <row r="361" spans="36:36">
      <c r="AJ361" s="91"/>
    </row>
    <row r="362" spans="36:36">
      <c r="AJ362" s="91"/>
    </row>
    <row r="363" spans="36:36">
      <c r="AJ363" s="91"/>
    </row>
    <row r="364" spans="36:36">
      <c r="AJ364" s="91"/>
    </row>
    <row r="365" spans="36:36">
      <c r="AJ365" s="91"/>
    </row>
    <row r="366" spans="36:36">
      <c r="AJ366" s="91"/>
    </row>
    <row r="367" spans="36:36">
      <c r="AJ367" s="91"/>
    </row>
    <row r="368" spans="36:36">
      <c r="AJ368" s="91"/>
    </row>
    <row r="369" spans="36:36">
      <c r="AJ369" s="91"/>
    </row>
    <row r="370" spans="36:36">
      <c r="AJ370" s="91"/>
    </row>
    <row r="371" spans="36:36">
      <c r="AJ371" s="91"/>
    </row>
    <row r="372" spans="36:36">
      <c r="AJ372" s="91"/>
    </row>
    <row r="373" spans="36:36">
      <c r="AJ373" s="91"/>
    </row>
    <row r="374" spans="36:36">
      <c r="AJ374" s="91"/>
    </row>
    <row r="375" spans="36:36">
      <c r="AJ375" s="91"/>
    </row>
    <row r="376" spans="36:36">
      <c r="AJ376" s="91"/>
    </row>
    <row r="377" spans="36:36">
      <c r="AJ377" s="91"/>
    </row>
    <row r="378" spans="36:36">
      <c r="AJ378" s="91"/>
    </row>
    <row r="379" spans="36:36">
      <c r="AJ379" s="91"/>
    </row>
    <row r="380" spans="36:36">
      <c r="AJ380" s="91"/>
    </row>
    <row r="381" spans="36:36">
      <c r="AJ381" s="91"/>
    </row>
    <row r="382" spans="36:36">
      <c r="AJ382" s="91"/>
    </row>
    <row r="383" spans="36:36">
      <c r="AJ383" s="91"/>
    </row>
    <row r="384" spans="36:36">
      <c r="AJ384" s="91"/>
    </row>
    <row r="385" spans="36:36">
      <c r="AJ385" s="91"/>
    </row>
    <row r="386" spans="36:36">
      <c r="AJ386" s="91"/>
    </row>
    <row r="387" spans="36:36">
      <c r="AJ387" s="91"/>
    </row>
    <row r="388" spans="36:36">
      <c r="AJ388" s="91"/>
    </row>
    <row r="389" spans="36:36">
      <c r="AJ389" s="91"/>
    </row>
    <row r="390" spans="36:36">
      <c r="AJ390" s="91"/>
    </row>
    <row r="391" spans="36:36">
      <c r="AJ391" s="91"/>
    </row>
    <row r="392" spans="36:36">
      <c r="AJ392" s="91"/>
    </row>
    <row r="393" spans="36:36">
      <c r="AJ393" s="91"/>
    </row>
    <row r="394" spans="36:36">
      <c r="AJ394" s="91"/>
    </row>
    <row r="395" spans="36:36">
      <c r="AJ395" s="91"/>
    </row>
    <row r="396" spans="36:36">
      <c r="AJ396" s="91"/>
    </row>
    <row r="397" spans="36:36">
      <c r="AJ397" s="91"/>
    </row>
    <row r="398" spans="36:36">
      <c r="AJ398" s="91"/>
    </row>
    <row r="399" spans="36:36">
      <c r="AJ399" s="91"/>
    </row>
    <row r="400" spans="36:36">
      <c r="AJ400" s="91"/>
    </row>
    <row r="401" spans="36:36">
      <c r="AJ401" s="91"/>
    </row>
    <row r="402" spans="36:36">
      <c r="AJ402" s="91"/>
    </row>
    <row r="403" spans="36:36">
      <c r="AJ403" s="91"/>
    </row>
    <row r="404" spans="36:36">
      <c r="AJ404" s="91"/>
    </row>
    <row r="405" spans="36:36">
      <c r="AJ405" s="91"/>
    </row>
    <row r="406" spans="36:36">
      <c r="AJ406" s="91"/>
    </row>
    <row r="407" spans="36:36">
      <c r="AJ407" s="91"/>
    </row>
    <row r="408" spans="36:36">
      <c r="AJ408" s="91"/>
    </row>
    <row r="409" spans="36:36">
      <c r="AJ409" s="91"/>
    </row>
    <row r="410" spans="36:36">
      <c r="AJ410" s="91"/>
    </row>
    <row r="411" spans="36:36">
      <c r="AJ411" s="91"/>
    </row>
    <row r="412" spans="36:36">
      <c r="AJ412" s="91"/>
    </row>
    <row r="413" spans="36:36">
      <c r="AJ413" s="91"/>
    </row>
    <row r="414" spans="36:36">
      <c r="AJ414" s="91"/>
    </row>
    <row r="415" spans="36:36">
      <c r="AJ415" s="91"/>
    </row>
    <row r="416" spans="36:36">
      <c r="AJ416" s="91"/>
    </row>
    <row r="417" spans="36:36">
      <c r="AJ417" s="91"/>
    </row>
    <row r="418" spans="36:36">
      <c r="AJ418" s="91"/>
    </row>
    <row r="419" spans="36:36">
      <c r="AJ419" s="91"/>
    </row>
    <row r="420" spans="36:36">
      <c r="AJ420" s="91"/>
    </row>
    <row r="421" spans="36:36">
      <c r="AJ421" s="91"/>
    </row>
    <row r="422" spans="36:36">
      <c r="AJ422" s="91"/>
    </row>
    <row r="423" spans="36:36">
      <c r="AJ423" s="91"/>
    </row>
    <row r="424" spans="36:36">
      <c r="AJ424" s="91"/>
    </row>
    <row r="425" spans="36:36">
      <c r="AJ425" s="91"/>
    </row>
    <row r="426" spans="36:36">
      <c r="AJ426" s="91"/>
    </row>
    <row r="427" spans="36:36">
      <c r="AJ427" s="91"/>
    </row>
    <row r="428" spans="36:36">
      <c r="AJ428" s="91"/>
    </row>
    <row r="429" spans="36:36">
      <c r="AJ429" s="91"/>
    </row>
    <row r="430" spans="36:36">
      <c r="AJ430" s="91"/>
    </row>
    <row r="431" spans="36:36">
      <c r="AJ431" s="91"/>
    </row>
    <row r="432" spans="36:36">
      <c r="AJ432" s="91"/>
    </row>
    <row r="433" spans="36:36">
      <c r="AJ433" s="91"/>
    </row>
    <row r="434" spans="36:36">
      <c r="AJ434" s="91"/>
    </row>
    <row r="435" spans="36:36">
      <c r="AJ435" s="91"/>
    </row>
    <row r="436" spans="36:36">
      <c r="AJ436" s="91"/>
    </row>
    <row r="437" spans="36:36">
      <c r="AJ437" s="91"/>
    </row>
    <row r="438" spans="36:36">
      <c r="AJ438" s="91"/>
    </row>
    <row r="439" spans="36:36">
      <c r="AJ439" s="91"/>
    </row>
    <row r="440" spans="36:36">
      <c r="AJ440" s="91"/>
    </row>
    <row r="441" spans="36:36">
      <c r="AJ441" s="91"/>
    </row>
    <row r="442" spans="36:36">
      <c r="AJ442" s="91"/>
    </row>
    <row r="443" spans="36:36">
      <c r="AJ443" s="91"/>
    </row>
    <row r="444" spans="36:36">
      <c r="AJ444" s="91"/>
    </row>
    <row r="445" spans="36:36">
      <c r="AJ445" s="91"/>
    </row>
    <row r="446" spans="36:36">
      <c r="AJ446" s="91"/>
    </row>
    <row r="447" spans="36:36">
      <c r="AJ447" s="91"/>
    </row>
    <row r="448" spans="36:36">
      <c r="AJ448" s="91"/>
    </row>
    <row r="449" spans="36:36">
      <c r="AJ449" s="91"/>
    </row>
    <row r="450" spans="36:36">
      <c r="AJ450" s="91"/>
    </row>
    <row r="451" spans="36:36">
      <c r="AJ451" s="91"/>
    </row>
    <row r="452" spans="36:36">
      <c r="AJ452" s="91"/>
    </row>
    <row r="453" spans="36:36">
      <c r="AJ453" s="91"/>
    </row>
    <row r="454" spans="36:36">
      <c r="AJ454" s="91"/>
    </row>
    <row r="455" spans="36:36">
      <c r="AJ455" s="91"/>
    </row>
    <row r="456" spans="36:36">
      <c r="AJ456" s="91"/>
    </row>
    <row r="457" spans="36:36">
      <c r="AJ457" s="91"/>
    </row>
    <row r="458" spans="36:36">
      <c r="AJ458" s="91"/>
    </row>
    <row r="459" spans="36:36">
      <c r="AJ459" s="91"/>
    </row>
    <row r="460" spans="36:36">
      <c r="AJ460" s="91"/>
    </row>
    <row r="461" spans="36:36">
      <c r="AJ461" s="91"/>
    </row>
    <row r="462" spans="36:36">
      <c r="AJ462" s="91"/>
    </row>
    <row r="463" spans="36:36">
      <c r="AJ463" s="91"/>
    </row>
    <row r="464" spans="36:36">
      <c r="AJ464" s="91"/>
    </row>
    <row r="465" spans="36:36">
      <c r="AJ465" s="91"/>
    </row>
    <row r="466" spans="36:36">
      <c r="AJ466" s="91"/>
    </row>
    <row r="467" spans="36:36">
      <c r="AJ467" s="91"/>
    </row>
    <row r="468" spans="36:36">
      <c r="AJ468" s="91"/>
    </row>
    <row r="469" spans="36:36">
      <c r="AJ469" s="91"/>
    </row>
    <row r="470" spans="36:36">
      <c r="AJ470" s="91"/>
    </row>
    <row r="471" spans="36:36">
      <c r="AJ471" s="91"/>
    </row>
    <row r="472" spans="36:36">
      <c r="AJ472" s="91"/>
    </row>
    <row r="473" spans="36:36">
      <c r="AJ473" s="91"/>
    </row>
    <row r="474" spans="36:36">
      <c r="AJ474" s="91"/>
    </row>
    <row r="475" spans="36:36">
      <c r="AJ475" s="91"/>
    </row>
    <row r="476" spans="36:36">
      <c r="AJ476" s="91"/>
    </row>
    <row r="477" spans="36:36">
      <c r="AJ477" s="91"/>
    </row>
    <row r="478" spans="36:36">
      <c r="AJ478" s="91"/>
    </row>
    <row r="479" spans="36:36">
      <c r="AJ479" s="91"/>
    </row>
    <row r="480" spans="36:36">
      <c r="AJ480" s="91"/>
    </row>
    <row r="481" spans="36:36">
      <c r="AJ481" s="91"/>
    </row>
    <row r="482" spans="36:36">
      <c r="AJ482" s="91"/>
    </row>
    <row r="483" spans="36:36">
      <c r="AJ483" s="91"/>
    </row>
    <row r="484" spans="36:36">
      <c r="AJ484" s="91"/>
    </row>
    <row r="485" spans="36:36">
      <c r="AJ485" s="91"/>
    </row>
    <row r="486" spans="36:36">
      <c r="AJ486" s="91"/>
    </row>
    <row r="487" spans="36:36">
      <c r="AJ487" s="91"/>
    </row>
    <row r="488" spans="36:36">
      <c r="AJ488" s="91"/>
    </row>
    <row r="489" spans="36:36">
      <c r="AJ489" s="91"/>
    </row>
    <row r="490" spans="36:36">
      <c r="AJ490" s="91"/>
    </row>
    <row r="491" spans="36:36">
      <c r="AJ491" s="91"/>
    </row>
    <row r="492" spans="36:36">
      <c r="AJ492" s="91"/>
    </row>
    <row r="493" spans="36:36">
      <c r="AJ493" s="91"/>
    </row>
    <row r="494" spans="36:36">
      <c r="AJ494" s="91"/>
    </row>
    <row r="495" spans="36:36">
      <c r="AJ495" s="91"/>
    </row>
    <row r="496" spans="36:36">
      <c r="AJ496" s="91"/>
    </row>
    <row r="497" spans="36:36">
      <c r="AJ497" s="91"/>
    </row>
    <row r="498" spans="36:36">
      <c r="AJ498" s="91"/>
    </row>
    <row r="499" spans="36:36">
      <c r="AJ499" s="91"/>
    </row>
    <row r="500" spans="36:36">
      <c r="AJ500" s="91"/>
    </row>
    <row r="501" spans="36:36">
      <c r="AJ501" s="91"/>
    </row>
    <row r="502" spans="36:36">
      <c r="AJ502" s="91"/>
    </row>
  </sheetData>
  <printOptions horizontalCentered="1" verticalCentered="1"/>
  <pageMargins left="0.7" right="0.7" top="0.75" bottom="0.75" header="0.3" footer="0.3"/>
  <pageSetup scale="58" fitToHeight="3" orientation="landscape" r:id="rId1"/>
  <rowBreaks count="2" manualBreakCount="2">
    <brk id="94" min="1" max="32" man="1"/>
    <brk id="166" min="1" max="3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I55"/>
  <sheetViews>
    <sheetView showGridLines="0" zoomScaleNormal="100" workbookViewId="0"/>
  </sheetViews>
  <sheetFormatPr defaultRowHeight="12.75" outlineLevelRow="1"/>
  <cols>
    <col min="5" max="6" width="8.7109375" style="273"/>
    <col min="7" max="7" width="8.7109375" style="278"/>
    <col min="8" max="9" width="9.140625" bestFit="1" customWidth="1"/>
  </cols>
  <sheetData>
    <row r="1" spans="2:9">
      <c r="C1" s="280"/>
    </row>
    <row r="2" spans="2:9">
      <c r="B2" s="40" t="s">
        <v>103</v>
      </c>
      <c r="C2" s="41"/>
      <c r="D2" s="41"/>
      <c r="E2" s="41"/>
      <c r="F2" s="41"/>
      <c r="G2" s="41"/>
      <c r="H2" s="41"/>
      <c r="I2" s="283"/>
    </row>
    <row r="3" spans="2:9">
      <c r="B3" s="43" t="s">
        <v>313</v>
      </c>
      <c r="C3" s="44"/>
      <c r="D3" s="44"/>
      <c r="E3" s="44"/>
      <c r="F3" s="44"/>
      <c r="G3" s="44"/>
      <c r="H3" s="44"/>
      <c r="I3" s="284"/>
    </row>
    <row r="4" spans="2:9">
      <c r="B4" s="285" t="s">
        <v>106</v>
      </c>
      <c r="C4" s="45"/>
      <c r="D4" s="45"/>
      <c r="E4" s="45"/>
      <c r="F4" s="45"/>
      <c r="G4" s="45"/>
      <c r="H4" s="45"/>
      <c r="I4" s="46"/>
    </row>
    <row r="5" spans="2:9" s="273" customFormat="1">
      <c r="B5" s="287"/>
      <c r="C5" s="16"/>
      <c r="D5" s="16"/>
      <c r="E5" s="16"/>
      <c r="F5" s="16"/>
      <c r="G5" s="16"/>
      <c r="H5" s="16"/>
      <c r="I5" s="16"/>
    </row>
    <row r="6" spans="2:9" s="273" customFormat="1">
      <c r="B6" s="274"/>
      <c r="C6" s="274"/>
      <c r="F6" s="276"/>
      <c r="G6" s="277"/>
    </row>
    <row r="7" spans="2:9" ht="18">
      <c r="B7" s="286"/>
      <c r="C7" s="286"/>
      <c r="D7" s="281" t="s">
        <v>312</v>
      </c>
      <c r="E7" s="282">
        <v>1</v>
      </c>
      <c r="F7" s="275"/>
      <c r="G7" s="260">
        <v>2016</v>
      </c>
      <c r="H7" s="260" t="s">
        <v>11</v>
      </c>
      <c r="I7" s="260" t="s">
        <v>51</v>
      </c>
    </row>
    <row r="8" spans="2:9">
      <c r="B8" s="2"/>
    </row>
    <row r="9" spans="2:9">
      <c r="B9" s="288" t="s">
        <v>177</v>
      </c>
      <c r="C9" s="289"/>
      <c r="D9" s="289"/>
      <c r="E9" s="290"/>
      <c r="F9" s="290"/>
      <c r="G9" s="291">
        <f>Model!W55</f>
        <v>6.6004477537719541E-2</v>
      </c>
      <c r="H9" s="230">
        <f>CHOOSE(scen,H10,H11,H12,H13)</f>
        <v>0.06</v>
      </c>
      <c r="I9" s="231">
        <f>CHOOSE(scen,I10,I11,I12,I13)</f>
        <v>0.05</v>
      </c>
    </row>
    <row r="10" spans="2:9">
      <c r="B10" s="292">
        <v>1</v>
      </c>
      <c r="C10" s="293" t="s">
        <v>57</v>
      </c>
      <c r="D10" s="293"/>
      <c r="E10" s="294"/>
      <c r="F10" s="294"/>
      <c r="G10" s="295"/>
      <c r="H10" s="305">
        <v>0.06</v>
      </c>
      <c r="I10" s="306">
        <v>0.05</v>
      </c>
    </row>
    <row r="11" spans="2:9">
      <c r="B11" s="292">
        <v>2</v>
      </c>
      <c r="C11" s="293" t="s">
        <v>256</v>
      </c>
      <c r="D11" s="293"/>
      <c r="E11" s="294"/>
      <c r="F11" s="294"/>
      <c r="G11" s="295"/>
      <c r="H11" s="305">
        <v>0.08</v>
      </c>
      <c r="I11" s="306">
        <v>7.0000000000000007E-2</v>
      </c>
    </row>
    <row r="12" spans="2:9">
      <c r="B12" s="292">
        <v>3</v>
      </c>
      <c r="C12" s="293" t="s">
        <v>257</v>
      </c>
      <c r="D12" s="293"/>
      <c r="E12" s="294"/>
      <c r="F12" s="294"/>
      <c r="G12" s="295"/>
      <c r="H12" s="305">
        <v>0.04</v>
      </c>
      <c r="I12" s="306">
        <v>0.03</v>
      </c>
    </row>
    <row r="13" spans="2:9" outlineLevel="1">
      <c r="B13" s="292">
        <v>4</v>
      </c>
      <c r="C13" s="293" t="s">
        <v>271</v>
      </c>
      <c r="D13" s="293"/>
      <c r="E13" s="294"/>
      <c r="F13" s="294"/>
      <c r="G13" s="295"/>
      <c r="H13" s="305">
        <v>0</v>
      </c>
      <c r="I13" s="306">
        <v>-0.03</v>
      </c>
    </row>
    <row r="14" spans="2:9">
      <c r="B14" s="292"/>
      <c r="C14" s="280"/>
      <c r="D14" s="280"/>
      <c r="E14" s="297"/>
      <c r="F14" s="297"/>
      <c r="G14" s="295"/>
      <c r="H14" s="272"/>
      <c r="I14" s="296"/>
    </row>
    <row r="15" spans="2:9">
      <c r="B15" s="298" t="s">
        <v>178</v>
      </c>
      <c r="C15" s="280"/>
      <c r="D15" s="280"/>
      <c r="E15" s="297"/>
      <c r="F15" s="297"/>
      <c r="G15" s="295">
        <f>Model!W56</f>
        <v>-8.64948107220187E-3</v>
      </c>
      <c r="H15" s="230">
        <f>CHOOSE(scen,H16,H17,H18,H19)</f>
        <v>0.03</v>
      </c>
      <c r="I15" s="231">
        <f>CHOOSE(scen,I16,I17,I18,I19)</f>
        <v>0.03</v>
      </c>
    </row>
    <row r="16" spans="2:9">
      <c r="B16" s="292">
        <v>1</v>
      </c>
      <c r="C16" s="293" t="s">
        <v>57</v>
      </c>
      <c r="D16" s="293"/>
      <c r="E16" s="294"/>
      <c r="F16" s="294"/>
      <c r="G16" s="295"/>
      <c r="H16" s="305">
        <v>0.03</v>
      </c>
      <c r="I16" s="306">
        <v>0.03</v>
      </c>
    </row>
    <row r="17" spans="2:9">
      <c r="B17" s="292">
        <v>2</v>
      </c>
      <c r="C17" s="293" t="s">
        <v>256</v>
      </c>
      <c r="D17" s="293"/>
      <c r="E17" s="294"/>
      <c r="F17" s="294"/>
      <c r="G17" s="295"/>
      <c r="H17" s="305">
        <v>0.05</v>
      </c>
      <c r="I17" s="306">
        <v>0.05</v>
      </c>
    </row>
    <row r="18" spans="2:9">
      <c r="B18" s="292">
        <v>3</v>
      </c>
      <c r="C18" s="293" t="s">
        <v>257</v>
      </c>
      <c r="D18" s="293"/>
      <c r="E18" s="294"/>
      <c r="F18" s="294"/>
      <c r="G18" s="295"/>
      <c r="H18" s="305">
        <v>0.01</v>
      </c>
      <c r="I18" s="306">
        <v>0.01</v>
      </c>
    </row>
    <row r="19" spans="2:9" outlineLevel="1">
      <c r="B19" s="292">
        <v>4</v>
      </c>
      <c r="C19" s="293" t="s">
        <v>271</v>
      </c>
      <c r="D19" s="293"/>
      <c r="E19" s="294"/>
      <c r="F19" s="294"/>
      <c r="G19" s="295"/>
      <c r="H19" s="305">
        <v>-0.01</v>
      </c>
      <c r="I19" s="306">
        <v>-0.03</v>
      </c>
    </row>
    <row r="20" spans="2:9">
      <c r="B20" s="292"/>
      <c r="C20" s="293"/>
      <c r="D20" s="293"/>
      <c r="E20" s="294"/>
      <c r="F20" s="294"/>
      <c r="G20" s="295"/>
      <c r="H20" s="272"/>
      <c r="I20" s="296"/>
    </row>
    <row r="21" spans="2:9">
      <c r="B21" s="298" t="s">
        <v>282</v>
      </c>
      <c r="C21" s="280"/>
      <c r="D21" s="280"/>
      <c r="E21" s="297"/>
      <c r="F21" s="297"/>
      <c r="G21" s="295">
        <f>Model!W47</f>
        <v>0.42801465844458186</v>
      </c>
      <c r="H21" s="230">
        <f>CHOOSE(scen,H22,H23,H24,H25)</f>
        <v>0.41299999999999998</v>
      </c>
      <c r="I21" s="231">
        <f>CHOOSE(scen,I22,I23,I24,I25)</f>
        <v>0.40200000000000002</v>
      </c>
    </row>
    <row r="22" spans="2:9">
      <c r="B22" s="292">
        <v>1</v>
      </c>
      <c r="C22" s="293" t="s">
        <v>57</v>
      </c>
      <c r="D22" s="280"/>
      <c r="E22" s="297"/>
      <c r="F22" s="297"/>
      <c r="G22" s="295"/>
      <c r="H22" s="307">
        <v>0.41299999999999998</v>
      </c>
      <c r="I22" s="308">
        <v>0.40200000000000002</v>
      </c>
    </row>
    <row r="23" spans="2:9">
      <c r="B23" s="292">
        <v>2</v>
      </c>
      <c r="C23" s="293" t="s">
        <v>256</v>
      </c>
      <c r="D23" s="280"/>
      <c r="E23" s="297"/>
      <c r="F23" s="297"/>
      <c r="G23" s="295"/>
      <c r="H23" s="307">
        <v>0.40799999999999997</v>
      </c>
      <c r="I23" s="308">
        <v>0.39899999999999997</v>
      </c>
    </row>
    <row r="24" spans="2:9">
      <c r="B24" s="292">
        <v>3</v>
      </c>
      <c r="C24" s="293" t="s">
        <v>257</v>
      </c>
      <c r="D24" s="280"/>
      <c r="E24" s="297"/>
      <c r="F24" s="297"/>
      <c r="G24" s="295"/>
      <c r="H24" s="307">
        <v>0.41700000000000004</v>
      </c>
      <c r="I24" s="308">
        <v>0.41199999999999998</v>
      </c>
    </row>
    <row r="25" spans="2:9" outlineLevel="1">
      <c r="B25" s="292">
        <v>4</v>
      </c>
      <c r="C25" s="293" t="s">
        <v>271</v>
      </c>
      <c r="D25" s="293"/>
      <c r="E25" s="294"/>
      <c r="F25" s="294"/>
      <c r="G25" s="295"/>
      <c r="H25" s="305">
        <v>0.42499999999999999</v>
      </c>
      <c r="I25" s="306">
        <v>0.43</v>
      </c>
    </row>
    <row r="26" spans="2:9">
      <c r="B26" s="292"/>
      <c r="C26" s="293"/>
      <c r="D26" s="293"/>
      <c r="E26" s="294"/>
      <c r="F26" s="294"/>
      <c r="G26" s="295"/>
      <c r="H26" s="272"/>
      <c r="I26" s="296"/>
    </row>
    <row r="27" spans="2:9">
      <c r="B27" s="298" t="s">
        <v>139</v>
      </c>
      <c r="C27" s="280"/>
      <c r="D27" s="280"/>
      <c r="E27" s="297"/>
      <c r="F27" s="297"/>
      <c r="G27" s="295">
        <f>Model!W51</f>
        <v>0.11175659544945692</v>
      </c>
      <c r="H27" s="230">
        <f>CHOOSE(scen,H28,H29,H30,H31)</f>
        <v>0.105</v>
      </c>
      <c r="I27" s="231">
        <f>CHOOSE(scen,I28,I29,I30,I31)</f>
        <v>0.10299999999999999</v>
      </c>
    </row>
    <row r="28" spans="2:9">
      <c r="B28" s="292">
        <v>1</v>
      </c>
      <c r="C28" s="293" t="s">
        <v>57</v>
      </c>
      <c r="D28" s="280"/>
      <c r="E28" s="297"/>
      <c r="F28" s="297"/>
      <c r="G28" s="295"/>
      <c r="H28" s="307">
        <v>0.105</v>
      </c>
      <c r="I28" s="308">
        <v>0.10299999999999999</v>
      </c>
    </row>
    <row r="29" spans="2:9">
      <c r="B29" s="292">
        <v>2</v>
      </c>
      <c r="C29" s="293" t="s">
        <v>256</v>
      </c>
      <c r="D29" s="280"/>
      <c r="E29" s="297"/>
      <c r="F29" s="297"/>
      <c r="G29" s="295"/>
      <c r="H29" s="307">
        <v>0.10199999999999999</v>
      </c>
      <c r="I29" s="308">
        <v>0.1</v>
      </c>
    </row>
    <row r="30" spans="2:9">
      <c r="B30" s="292">
        <v>3</v>
      </c>
      <c r="C30" s="293" t="s">
        <v>257</v>
      </c>
      <c r="D30" s="280"/>
      <c r="E30" s="297"/>
      <c r="F30" s="297"/>
      <c r="G30" s="295"/>
      <c r="H30" s="307">
        <v>0.11</v>
      </c>
      <c r="I30" s="308">
        <v>0.108</v>
      </c>
    </row>
    <row r="31" spans="2:9" outlineLevel="1">
      <c r="B31" s="292">
        <v>4</v>
      </c>
      <c r="C31" s="293" t="s">
        <v>271</v>
      </c>
      <c r="D31" s="293"/>
      <c r="E31" s="294"/>
      <c r="F31" s="294"/>
      <c r="G31" s="295"/>
      <c r="H31" s="305">
        <v>0.115</v>
      </c>
      <c r="I31" s="306">
        <v>0.12</v>
      </c>
    </row>
    <row r="32" spans="2:9">
      <c r="B32" s="292"/>
      <c r="C32" s="293"/>
      <c r="D32" s="293"/>
      <c r="E32" s="294"/>
      <c r="F32" s="294"/>
      <c r="G32" s="295"/>
      <c r="H32" s="272"/>
      <c r="I32" s="296"/>
    </row>
    <row r="33" spans="2:9">
      <c r="B33" s="298" t="s">
        <v>309</v>
      </c>
      <c r="C33" s="280"/>
      <c r="D33" s="280"/>
      <c r="E33" s="297"/>
      <c r="F33" s="297"/>
      <c r="G33" s="299">
        <f>Model!W206</f>
        <v>-325</v>
      </c>
      <c r="H33" s="262">
        <f>CHOOSE(scen,H34,H35,H36,H37)</f>
        <v>-200</v>
      </c>
      <c r="I33" s="263">
        <f>CHOOSE(scen,I34,I35,I36,I37)</f>
        <v>-200</v>
      </c>
    </row>
    <row r="34" spans="2:9">
      <c r="B34" s="292">
        <v>1</v>
      </c>
      <c r="C34" s="293" t="s">
        <v>57</v>
      </c>
      <c r="D34" s="293"/>
      <c r="E34" s="294"/>
      <c r="F34" s="294"/>
      <c r="G34" s="295"/>
      <c r="H34" s="309">
        <v>-200</v>
      </c>
      <c r="I34" s="310">
        <v>-200</v>
      </c>
    </row>
    <row r="35" spans="2:9">
      <c r="B35" s="292">
        <v>2</v>
      </c>
      <c r="C35" s="293" t="s">
        <v>256</v>
      </c>
      <c r="D35" s="293"/>
      <c r="E35" s="294"/>
      <c r="F35" s="294"/>
      <c r="G35" s="295"/>
      <c r="H35" s="309">
        <v>-350</v>
      </c>
      <c r="I35" s="310">
        <v>-350</v>
      </c>
    </row>
    <row r="36" spans="2:9">
      <c r="B36" s="292">
        <v>3</v>
      </c>
      <c r="C36" s="293" t="s">
        <v>257</v>
      </c>
      <c r="D36" s="293"/>
      <c r="E36" s="294"/>
      <c r="F36" s="294"/>
      <c r="G36" s="295"/>
      <c r="H36" s="309">
        <v>-100</v>
      </c>
      <c r="I36" s="310">
        <v>-100</v>
      </c>
    </row>
    <row r="37" spans="2:9" outlineLevel="1">
      <c r="B37" s="292">
        <v>4</v>
      </c>
      <c r="C37" s="293" t="s">
        <v>271</v>
      </c>
      <c r="D37" s="293"/>
      <c r="E37" s="294"/>
      <c r="F37" s="294"/>
      <c r="G37" s="295"/>
      <c r="H37" s="309">
        <v>0</v>
      </c>
      <c r="I37" s="310">
        <v>0</v>
      </c>
    </row>
    <row r="38" spans="2:9">
      <c r="B38" s="300" t="s">
        <v>310</v>
      </c>
      <c r="C38" s="301"/>
      <c r="D38" s="301"/>
      <c r="E38" s="302"/>
      <c r="F38" s="302"/>
      <c r="G38" s="303">
        <v>40</v>
      </c>
      <c r="H38" s="303">
        <v>44</v>
      </c>
      <c r="I38" s="304">
        <v>48</v>
      </c>
    </row>
    <row r="39" spans="2:9">
      <c r="G39" s="279"/>
    </row>
    <row r="40" spans="2:9">
      <c r="G40" s="279"/>
    </row>
    <row r="41" spans="2:9">
      <c r="G41" s="279"/>
    </row>
    <row r="42" spans="2:9">
      <c r="G42" s="279"/>
    </row>
    <row r="43" spans="2:9">
      <c r="G43" s="279"/>
    </row>
    <row r="44" spans="2:9">
      <c r="G44" s="279"/>
    </row>
    <row r="45" spans="2:9">
      <c r="G45" s="279"/>
    </row>
    <row r="46" spans="2:9">
      <c r="G46" s="279"/>
    </row>
    <row r="47" spans="2:9">
      <c r="G47" s="279"/>
    </row>
    <row r="48" spans="2:9">
      <c r="G48" s="279"/>
    </row>
    <row r="49" spans="7:7">
      <c r="G49" s="279"/>
    </row>
    <row r="50" spans="7:7">
      <c r="G50" s="279"/>
    </row>
    <row r="51" spans="7:7">
      <c r="G51" s="279"/>
    </row>
    <row r="52" spans="7:7">
      <c r="G52" s="279"/>
    </row>
    <row r="53" spans="7:7">
      <c r="G53" s="279"/>
    </row>
    <row r="54" spans="7:7">
      <c r="G54" s="279"/>
    </row>
    <row r="55" spans="7:7">
      <c r="G55" s="27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S99"/>
  <sheetViews>
    <sheetView showGridLines="0" zoomScale="85" zoomScaleNormal="85" workbookViewId="0"/>
  </sheetViews>
  <sheetFormatPr defaultRowHeight="12.75"/>
  <cols>
    <col min="1" max="1" width="94.42578125" customWidth="1"/>
    <col min="2" max="2" width="2.28515625" customWidth="1"/>
    <col min="3" max="3" width="24.42578125" customWidth="1"/>
    <col min="4" max="17" width="8.140625" customWidth="1"/>
  </cols>
  <sheetData>
    <row r="1" spans="1:19">
      <c r="A1" s="1" t="s">
        <v>318</v>
      </c>
    </row>
    <row r="2" spans="1:19">
      <c r="A2" s="2"/>
      <c r="O2" s="2"/>
    </row>
    <row r="3" spans="1:19">
      <c r="A3" s="1" t="s">
        <v>359</v>
      </c>
      <c r="B3" s="2"/>
      <c r="R3" s="2"/>
      <c r="S3" s="2"/>
    </row>
    <row r="4" spans="1:19">
      <c r="A4" s="445"/>
      <c r="B4" s="2"/>
      <c r="R4" s="2"/>
      <c r="S4" s="2"/>
    </row>
    <row r="5" spans="1:19">
      <c r="A5" s="445" t="s">
        <v>353</v>
      </c>
      <c r="B5" s="2"/>
      <c r="R5" s="2"/>
      <c r="S5" s="2"/>
    </row>
    <row r="6" spans="1:19">
      <c r="A6" s="445" t="s">
        <v>354</v>
      </c>
      <c r="B6" s="2"/>
      <c r="R6" s="2"/>
      <c r="S6" s="2"/>
    </row>
    <row r="7" spans="1:19">
      <c r="A7" s="445" t="s">
        <v>355</v>
      </c>
      <c r="B7" s="2"/>
      <c r="R7" s="2"/>
      <c r="S7" s="2"/>
    </row>
    <row r="8" spans="1:19">
      <c r="A8" s="445" t="s">
        <v>356</v>
      </c>
      <c r="B8" s="2"/>
      <c r="R8" s="2"/>
      <c r="S8" s="2"/>
    </row>
    <row r="9" spans="1:19">
      <c r="A9" s="445" t="s">
        <v>357</v>
      </c>
      <c r="B9" s="2"/>
      <c r="R9" s="2"/>
      <c r="S9" s="2"/>
    </row>
    <row r="10" spans="1:19">
      <c r="A10" s="445" t="s">
        <v>358</v>
      </c>
      <c r="B10" s="2"/>
      <c r="R10" s="2"/>
      <c r="S10" s="2"/>
    </row>
    <row r="11" spans="1:19">
      <c r="B11" s="2"/>
      <c r="R11" s="2"/>
      <c r="S11" s="2"/>
    </row>
    <row r="12" spans="1:19">
      <c r="A12" s="2" t="s">
        <v>294</v>
      </c>
      <c r="B12" s="2"/>
      <c r="R12" s="2"/>
      <c r="S12" s="2"/>
    </row>
    <row r="13" spans="1:19">
      <c r="A13" s="2" t="s">
        <v>295</v>
      </c>
    </row>
    <row r="14" spans="1:19">
      <c r="A14" s="2" t="s">
        <v>296</v>
      </c>
    </row>
    <row r="15" spans="1:19">
      <c r="A15" s="2"/>
    </row>
    <row r="16" spans="1:19">
      <c r="A16" s="163" t="s">
        <v>360</v>
      </c>
    </row>
    <row r="17" spans="1:17" ht="15">
      <c r="A17" s="2" t="s">
        <v>321</v>
      </c>
      <c r="C17" s="219"/>
      <c r="D17" s="224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</row>
    <row r="18" spans="1:17" ht="15">
      <c r="A18" s="2" t="s">
        <v>297</v>
      </c>
      <c r="C18" s="219"/>
      <c r="D18" s="224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51"/>
      <c r="Q18" s="251"/>
    </row>
    <row r="19" spans="1:17" ht="15">
      <c r="A19" s="2" t="s">
        <v>298</v>
      </c>
      <c r="C19" s="219"/>
      <c r="D19" s="224"/>
      <c r="E19" s="251"/>
      <c r="F19" s="251"/>
      <c r="G19" s="251"/>
      <c r="H19" s="251"/>
      <c r="I19" s="251"/>
      <c r="J19" s="251"/>
      <c r="K19" s="251"/>
      <c r="L19" s="251"/>
      <c r="M19" s="251"/>
      <c r="N19" s="251"/>
      <c r="O19" s="251"/>
      <c r="P19" s="251"/>
      <c r="Q19" s="251"/>
    </row>
    <row r="20" spans="1:17" ht="15">
      <c r="A20" s="2" t="s">
        <v>299</v>
      </c>
      <c r="C20" s="219"/>
      <c r="D20" s="224"/>
      <c r="E20" s="251"/>
      <c r="F20" s="251"/>
      <c r="G20" s="251"/>
      <c r="H20" s="251"/>
      <c r="I20" s="251"/>
      <c r="J20" s="251"/>
      <c r="K20" s="251"/>
      <c r="L20" s="251"/>
      <c r="M20" s="251"/>
      <c r="N20" s="251"/>
      <c r="O20" s="251"/>
      <c r="P20" s="251"/>
      <c r="Q20" s="251"/>
    </row>
    <row r="21" spans="1:17" ht="15">
      <c r="A21" s="2" t="s">
        <v>300</v>
      </c>
      <c r="C21" s="219"/>
      <c r="D21" s="224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  <c r="P21" s="251"/>
      <c r="Q21" s="251"/>
    </row>
    <row r="22" spans="1:17" ht="15">
      <c r="A22" s="2"/>
      <c r="C22" s="219"/>
      <c r="D22" s="224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51"/>
      <c r="Q22" s="251"/>
    </row>
    <row r="23" spans="1:17" ht="15">
      <c r="A23" s="1" t="s">
        <v>283</v>
      </c>
      <c r="C23" s="219"/>
      <c r="D23" s="224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</row>
    <row r="24" spans="1:17" ht="15">
      <c r="A24" s="1" t="s">
        <v>319</v>
      </c>
      <c r="C24" s="219"/>
      <c r="D24" s="224"/>
      <c r="E24" s="251"/>
      <c r="F24" s="251"/>
      <c r="G24" s="251"/>
      <c r="H24" s="251"/>
      <c r="I24" s="251"/>
      <c r="J24" s="251"/>
      <c r="K24" s="251"/>
      <c r="L24" s="251"/>
      <c r="M24" s="251"/>
      <c r="N24" s="251"/>
      <c r="O24" s="251"/>
      <c r="P24" s="251"/>
      <c r="Q24" s="251"/>
    </row>
    <row r="25" spans="1:17" ht="15">
      <c r="A25" s="1" t="s">
        <v>320</v>
      </c>
      <c r="C25" s="219"/>
      <c r="D25" s="224"/>
      <c r="E25" s="251"/>
      <c r="F25" s="251"/>
      <c r="G25" s="251"/>
      <c r="H25" s="251"/>
      <c r="I25" s="251"/>
      <c r="J25" s="251"/>
      <c r="K25" s="251"/>
      <c r="L25" s="251"/>
      <c r="M25" s="251"/>
      <c r="N25" s="251"/>
      <c r="O25" s="251"/>
      <c r="P25" s="251"/>
      <c r="Q25" s="251"/>
    </row>
    <row r="26" spans="1:17" ht="15">
      <c r="A26" s="1"/>
      <c r="C26" s="219"/>
      <c r="D26" s="224"/>
      <c r="E26" s="251"/>
      <c r="F26" s="251"/>
      <c r="G26" s="251"/>
      <c r="H26" s="251"/>
      <c r="I26" s="251"/>
      <c r="J26" s="251"/>
      <c r="K26" s="251"/>
      <c r="L26" s="251"/>
      <c r="M26" s="251"/>
      <c r="N26" s="251"/>
      <c r="O26" s="251"/>
      <c r="P26" s="251"/>
      <c r="Q26" s="251"/>
    </row>
    <row r="27" spans="1:17" ht="15">
      <c r="A27" s="2" t="s">
        <v>361</v>
      </c>
      <c r="C27" s="219"/>
      <c r="D27" s="224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251"/>
      <c r="P27" s="251"/>
      <c r="Q27" s="251"/>
    </row>
    <row r="28" spans="1:17" ht="15">
      <c r="A28" s="2" t="s">
        <v>292</v>
      </c>
      <c r="C28" s="219"/>
      <c r="D28" s="224"/>
      <c r="E28" s="251"/>
      <c r="F28" s="251"/>
      <c r="G28" s="251"/>
      <c r="H28" s="251"/>
      <c r="I28" s="251"/>
      <c r="J28" s="251"/>
      <c r="K28" s="251"/>
      <c r="L28" s="251"/>
      <c r="M28" s="251"/>
      <c r="N28" s="251"/>
      <c r="O28" s="251"/>
      <c r="P28" s="251"/>
      <c r="Q28" s="251"/>
    </row>
    <row r="29" spans="1:17" ht="15">
      <c r="A29" s="2" t="s">
        <v>362</v>
      </c>
      <c r="C29" s="219"/>
      <c r="D29" s="224"/>
      <c r="E29" s="251"/>
      <c r="F29" s="251"/>
      <c r="G29" s="251"/>
      <c r="H29" s="251"/>
      <c r="I29" s="251"/>
      <c r="J29" s="251"/>
      <c r="K29" s="251"/>
      <c r="L29" s="251"/>
      <c r="M29" s="251"/>
      <c r="N29" s="251"/>
      <c r="O29" s="251"/>
      <c r="P29" s="251"/>
      <c r="Q29" s="251"/>
    </row>
    <row r="30" spans="1:17" ht="15">
      <c r="A30" s="2"/>
      <c r="C30" s="219"/>
      <c r="D30" s="224"/>
      <c r="E30" s="251"/>
      <c r="F30" s="251"/>
      <c r="G30" s="251"/>
      <c r="H30" s="251"/>
      <c r="I30" s="251"/>
      <c r="J30" s="251"/>
      <c r="K30" s="251"/>
      <c r="L30" s="251"/>
      <c r="M30" s="251"/>
      <c r="N30" s="251"/>
      <c r="O30" s="251"/>
      <c r="P30" s="251"/>
      <c r="Q30" s="251"/>
    </row>
    <row r="31" spans="1:17" ht="15">
      <c r="A31" s="163" t="s">
        <v>198</v>
      </c>
      <c r="C31" s="219"/>
      <c r="D31" s="224"/>
      <c r="E31" s="251"/>
      <c r="F31" s="251"/>
      <c r="G31" s="251"/>
      <c r="H31" s="251"/>
      <c r="I31" s="251"/>
      <c r="J31" s="251"/>
      <c r="K31" s="251"/>
      <c r="L31" s="251"/>
      <c r="M31" s="251"/>
      <c r="N31" s="251"/>
      <c r="O31" s="251"/>
      <c r="P31" s="251"/>
      <c r="Q31" s="251"/>
    </row>
    <row r="32" spans="1:17" ht="15">
      <c r="A32" s="2" t="s">
        <v>197</v>
      </c>
      <c r="C32" s="219"/>
      <c r="D32" s="224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  <c r="P32" s="251"/>
      <c r="Q32" s="251"/>
    </row>
    <row r="33" spans="1:17" ht="15">
      <c r="A33" s="2" t="s">
        <v>239</v>
      </c>
      <c r="C33" s="219"/>
      <c r="D33" s="224"/>
      <c r="E33" s="251"/>
      <c r="F33" s="251"/>
      <c r="G33" s="251"/>
      <c r="H33" s="251"/>
      <c r="I33" s="251"/>
      <c r="J33" s="251"/>
      <c r="K33" s="251"/>
      <c r="L33" s="251"/>
      <c r="M33" s="251"/>
      <c r="N33" s="251"/>
      <c r="O33" s="251"/>
      <c r="P33" s="251"/>
      <c r="Q33" s="251"/>
    </row>
    <row r="34" spans="1:17" ht="15">
      <c r="C34" s="219"/>
      <c r="D34" s="224"/>
      <c r="E34" s="251"/>
      <c r="F34" s="251"/>
      <c r="G34" s="251"/>
      <c r="H34" s="251"/>
      <c r="I34" s="251"/>
      <c r="J34" s="251"/>
      <c r="K34" s="251"/>
      <c r="L34" s="251"/>
      <c r="M34" s="251"/>
      <c r="N34" s="251"/>
      <c r="O34" s="251"/>
      <c r="P34" s="251"/>
      <c r="Q34" s="251"/>
    </row>
    <row r="35" spans="1:17" ht="15">
      <c r="A35" s="163" t="s">
        <v>200</v>
      </c>
      <c r="C35" s="219"/>
      <c r="D35" s="224"/>
      <c r="E35" s="251"/>
      <c r="F35" s="251"/>
      <c r="G35" s="251"/>
      <c r="H35" s="251"/>
      <c r="I35" s="251"/>
      <c r="J35" s="251"/>
      <c r="K35" s="251"/>
      <c r="L35" s="251"/>
      <c r="M35" s="251"/>
      <c r="N35" s="251"/>
      <c r="O35" s="251"/>
      <c r="P35" s="251"/>
      <c r="Q35" s="251"/>
    </row>
    <row r="36" spans="1:17" ht="15">
      <c r="A36" s="165" t="s">
        <v>201</v>
      </c>
      <c r="C36" s="219"/>
      <c r="D36" s="224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</row>
    <row r="37" spans="1:17" ht="15">
      <c r="A37" s="162" t="s">
        <v>202</v>
      </c>
      <c r="D37" s="224"/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"/>
      <c r="P37" s="2"/>
      <c r="Q37" s="2"/>
    </row>
    <row r="38" spans="1:17" ht="15">
      <c r="A38" s="2" t="s">
        <v>284</v>
      </c>
      <c r="D38" s="224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"/>
      <c r="P38" s="2"/>
      <c r="Q38" s="2"/>
    </row>
    <row r="39" spans="1:17">
      <c r="A39" s="2" t="s">
        <v>285</v>
      </c>
      <c r="C39" s="215"/>
      <c r="D39" s="215"/>
    </row>
    <row r="41" spans="1:17">
      <c r="A41" s="1" t="s">
        <v>204</v>
      </c>
    </row>
    <row r="42" spans="1:17">
      <c r="A42" s="2" t="s">
        <v>205</v>
      </c>
    </row>
    <row r="43" spans="1:17">
      <c r="A43" s="2" t="s">
        <v>206</v>
      </c>
    </row>
    <row r="44" spans="1:17">
      <c r="A44" s="2" t="s">
        <v>220</v>
      </c>
    </row>
    <row r="45" spans="1:17">
      <c r="A45" s="2" t="s">
        <v>207</v>
      </c>
    </row>
    <row r="46" spans="1:17">
      <c r="A46" s="2" t="s">
        <v>208</v>
      </c>
    </row>
    <row r="47" spans="1:17">
      <c r="A47" s="2"/>
    </row>
    <row r="48" spans="1:17">
      <c r="A48" s="2" t="s">
        <v>216</v>
      </c>
    </row>
    <row r="49" spans="1:1">
      <c r="A49" s="2" t="s">
        <v>209</v>
      </c>
    </row>
    <row r="50" spans="1:1">
      <c r="A50" s="2" t="s">
        <v>210</v>
      </c>
    </row>
    <row r="51" spans="1:1">
      <c r="A51" s="2" t="s">
        <v>214</v>
      </c>
    </row>
    <row r="52" spans="1:1">
      <c r="A52" s="2" t="s">
        <v>211</v>
      </c>
    </row>
    <row r="53" spans="1:1">
      <c r="A53" s="2" t="s">
        <v>212</v>
      </c>
    </row>
    <row r="54" spans="1:1">
      <c r="A54" s="2" t="s">
        <v>213</v>
      </c>
    </row>
    <row r="55" spans="1:1">
      <c r="A55" s="2" t="s">
        <v>215</v>
      </c>
    </row>
    <row r="56" spans="1:1">
      <c r="A56" s="2" t="s">
        <v>217</v>
      </c>
    </row>
    <row r="57" spans="1:1">
      <c r="A57" s="2" t="s">
        <v>218</v>
      </c>
    </row>
    <row r="58" spans="1:1">
      <c r="A58" s="2" t="s">
        <v>219</v>
      </c>
    </row>
    <row r="59" spans="1:1">
      <c r="A59" s="2" t="s">
        <v>221</v>
      </c>
    </row>
    <row r="60" spans="1:1">
      <c r="A60" s="2"/>
    </row>
    <row r="61" spans="1:1">
      <c r="A61" s="2" t="s">
        <v>222</v>
      </c>
    </row>
    <row r="62" spans="1:1">
      <c r="A62" s="2" t="s">
        <v>223</v>
      </c>
    </row>
    <row r="63" spans="1:1">
      <c r="A63" s="2" t="s">
        <v>224</v>
      </c>
    </row>
    <row r="64" spans="1:1">
      <c r="A64" s="2" t="s">
        <v>225</v>
      </c>
    </row>
    <row r="65" spans="1:1">
      <c r="A65" s="2" t="s">
        <v>226</v>
      </c>
    </row>
    <row r="66" spans="1:1">
      <c r="A66" s="2" t="s">
        <v>227</v>
      </c>
    </row>
    <row r="68" spans="1:1">
      <c r="A68" s="2" t="s">
        <v>228</v>
      </c>
    </row>
    <row r="69" spans="1:1">
      <c r="A69" s="2" t="s">
        <v>229</v>
      </c>
    </row>
    <row r="70" spans="1:1">
      <c r="A70" s="2" t="s">
        <v>230</v>
      </c>
    </row>
    <row r="71" spans="1:1">
      <c r="A71" s="2"/>
    </row>
    <row r="72" spans="1:1">
      <c r="A72" s="2" t="s">
        <v>233</v>
      </c>
    </row>
    <row r="74" spans="1:1">
      <c r="A74" s="2" t="s">
        <v>231</v>
      </c>
    </row>
    <row r="75" spans="1:1">
      <c r="A75" s="2" t="s">
        <v>232</v>
      </c>
    </row>
    <row r="76" spans="1:1">
      <c r="A76" s="2" t="s">
        <v>234</v>
      </c>
    </row>
    <row r="77" spans="1:1">
      <c r="A77" s="2" t="s">
        <v>235</v>
      </c>
    </row>
    <row r="79" spans="1:1">
      <c r="A79" s="2" t="s">
        <v>236</v>
      </c>
    </row>
    <row r="80" spans="1:1">
      <c r="A80" s="2" t="s">
        <v>237</v>
      </c>
    </row>
    <row r="81" spans="1:4">
      <c r="A81" s="2" t="s">
        <v>238</v>
      </c>
    </row>
    <row r="83" spans="1:4">
      <c r="A83" s="2" t="s">
        <v>240</v>
      </c>
      <c r="D83">
        <f>25000/41</f>
        <v>609.7560975609756</v>
      </c>
    </row>
    <row r="84" spans="1:4">
      <c r="A84" s="2" t="s">
        <v>241</v>
      </c>
    </row>
    <row r="86" spans="1:4">
      <c r="A86" s="2" t="s">
        <v>242</v>
      </c>
    </row>
    <row r="87" spans="1:4">
      <c r="A87" s="2" t="s">
        <v>243</v>
      </c>
    </row>
    <row r="88" spans="1:4">
      <c r="A88" s="2" t="s">
        <v>244</v>
      </c>
    </row>
    <row r="89" spans="1:4">
      <c r="A89" s="2" t="s">
        <v>245</v>
      </c>
    </row>
    <row r="90" spans="1:4">
      <c r="A90" s="2" t="s">
        <v>246</v>
      </c>
    </row>
    <row r="91" spans="1:4">
      <c r="A91" s="2" t="s">
        <v>247</v>
      </c>
    </row>
    <row r="92" spans="1:4">
      <c r="A92" s="2" t="s">
        <v>248</v>
      </c>
    </row>
    <row r="93" spans="1:4">
      <c r="A93" s="2" t="s">
        <v>249</v>
      </c>
    </row>
    <row r="94" spans="1:4">
      <c r="A94" s="2" t="s">
        <v>250</v>
      </c>
    </row>
    <row r="95" spans="1:4">
      <c r="A95" s="2" t="s">
        <v>251</v>
      </c>
    </row>
    <row r="96" spans="1:4">
      <c r="A96" s="2" t="s">
        <v>252</v>
      </c>
    </row>
    <row r="97" spans="1:1">
      <c r="A97" s="2" t="s">
        <v>253</v>
      </c>
    </row>
    <row r="98" spans="1:1">
      <c r="A98" s="2" t="s">
        <v>254</v>
      </c>
    </row>
    <row r="99" spans="1:1">
      <c r="A99" s="2" t="s">
        <v>255</v>
      </c>
    </row>
  </sheetData>
  <hyperlinks>
    <hyperlink ref="A36" r:id="rId1" xr:uid="{6F8FB7E1-BA58-4435-87DE-828BAB649F93}"/>
    <hyperlink ref="A37" r:id="rId2" xr:uid="{26D9C64F-54F5-424E-BBC4-7E20022F005D}"/>
  </hyperlinks>
  <pageMargins left="0.7" right="0.7" top="0.75" bottom="0.75" header="0.3" footer="0.3"/>
  <pageSetup orientation="portrait" horizontalDpi="300" verticalDpi="30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3:AE13"/>
  <sheetViews>
    <sheetView showGridLines="0" zoomScale="70" zoomScaleNormal="70" workbookViewId="0"/>
  </sheetViews>
  <sheetFormatPr defaultRowHeight="12.75"/>
  <cols>
    <col min="1" max="1" width="13.85546875" customWidth="1"/>
    <col min="17" max="17" width="33.5703125" customWidth="1"/>
  </cols>
  <sheetData>
    <row r="3" spans="1:31">
      <c r="B3">
        <v>2005</v>
      </c>
      <c r="C3">
        <f t="shared" ref="C3:L3" si="0">B3+1</f>
        <v>2006</v>
      </c>
      <c r="D3">
        <f t="shared" si="0"/>
        <v>2007</v>
      </c>
      <c r="E3">
        <f t="shared" si="0"/>
        <v>2008</v>
      </c>
      <c r="F3">
        <f t="shared" si="0"/>
        <v>2009</v>
      </c>
      <c r="G3">
        <f t="shared" si="0"/>
        <v>2010</v>
      </c>
      <c r="H3">
        <f t="shared" si="0"/>
        <v>2011</v>
      </c>
      <c r="I3">
        <f t="shared" si="0"/>
        <v>2012</v>
      </c>
      <c r="J3">
        <f t="shared" si="0"/>
        <v>2013</v>
      </c>
      <c r="K3">
        <f t="shared" si="0"/>
        <v>2014</v>
      </c>
      <c r="L3">
        <f t="shared" si="0"/>
        <v>2015</v>
      </c>
      <c r="Q3" s="217"/>
      <c r="R3" s="216">
        <v>2004</v>
      </c>
      <c r="S3" s="216">
        <v>2005</v>
      </c>
      <c r="T3" s="216">
        <v>2006</v>
      </c>
      <c r="U3" s="216">
        <v>2007</v>
      </c>
      <c r="V3" s="216">
        <v>2008</v>
      </c>
      <c r="W3" s="216">
        <v>2009</v>
      </c>
      <c r="X3" s="216">
        <v>2010</v>
      </c>
      <c r="Y3" s="216">
        <v>2011</v>
      </c>
      <c r="Z3" s="216">
        <v>2012</v>
      </c>
      <c r="AA3" s="216">
        <v>2013</v>
      </c>
      <c r="AB3" s="216">
        <v>2014</v>
      </c>
      <c r="AC3" s="216" t="s">
        <v>7</v>
      </c>
      <c r="AD3" s="216" t="s">
        <v>10</v>
      </c>
      <c r="AE3" s="216" t="s">
        <v>11</v>
      </c>
    </row>
    <row r="4" spans="1:31">
      <c r="A4" s="2" t="s">
        <v>278</v>
      </c>
      <c r="B4" s="215">
        <v>0.45009207857668071</v>
      </c>
      <c r="C4" s="215">
        <v>0.43617117884102391</v>
      </c>
      <c r="D4" s="215">
        <v>0.47582043233216803</v>
      </c>
      <c r="E4" s="215">
        <v>0.41060052392310353</v>
      </c>
      <c r="F4" s="215">
        <v>0.4202201102973831</v>
      </c>
      <c r="G4" s="215">
        <v>0.45232694897907699</v>
      </c>
      <c r="H4" s="215">
        <v>0.44275812098880374</v>
      </c>
      <c r="I4" s="215">
        <v>0.44321574220047583</v>
      </c>
      <c r="J4" s="215">
        <v>0.40226264495128955</v>
      </c>
      <c r="K4" s="215">
        <v>0.40273092397091853</v>
      </c>
      <c r="L4" s="215">
        <v>0.4217649917675832</v>
      </c>
      <c r="Q4" s="219" t="s">
        <v>286</v>
      </c>
      <c r="R4" s="232">
        <v>239.3</v>
      </c>
      <c r="S4" s="232">
        <v>243.03</v>
      </c>
      <c r="T4" s="232">
        <v>246.3</v>
      </c>
      <c r="U4" s="232">
        <v>249.3</v>
      </c>
      <c r="V4" s="232">
        <v>251.9</v>
      </c>
      <c r="W4" s="232">
        <v>252.15799999999999</v>
      </c>
      <c r="X4" s="232">
        <v>249.43100000000001</v>
      </c>
      <c r="Y4" s="232">
        <v>249.47399999999999</v>
      </c>
      <c r="Z4" s="232">
        <v>248.72</v>
      </c>
      <c r="AA4" s="232">
        <v>248.85</v>
      </c>
      <c r="AB4" s="232">
        <v>252.6</v>
      </c>
      <c r="AC4" s="233">
        <f>AB4+AB5-AB6</f>
        <v>257.91000000000003</v>
      </c>
      <c r="AD4" s="233">
        <f>AC4+AC5-AC6</f>
        <v>263.41301500000003</v>
      </c>
      <c r="AE4" s="233">
        <f>AD4+AD5-AD6</f>
        <v>265.37993962500002</v>
      </c>
    </row>
    <row r="5" spans="1:31">
      <c r="A5" s="2" t="s">
        <v>277</v>
      </c>
      <c r="B5" s="215">
        <v>0.34793261936338049</v>
      </c>
      <c r="C5" s="215">
        <v>0.3245776339936054</v>
      </c>
      <c r="D5" s="215">
        <v>0.37956766783191842</v>
      </c>
      <c r="E5" s="215">
        <v>0.35763867653354553</v>
      </c>
      <c r="F5" s="215">
        <v>0.36385082669207441</v>
      </c>
      <c r="G5" s="215">
        <v>0.35453415088260903</v>
      </c>
      <c r="H5" s="215">
        <v>0.35642926422133209</v>
      </c>
      <c r="I5" s="215">
        <v>0.36190246388462988</v>
      </c>
      <c r="J5" s="215">
        <v>0.32466030699952031</v>
      </c>
      <c r="K5" s="215">
        <v>0.28247452275010765</v>
      </c>
      <c r="L5" s="215">
        <v>0.34316482546142102</v>
      </c>
      <c r="Q5" s="220" t="s">
        <v>287</v>
      </c>
      <c r="R5" s="233"/>
      <c r="S5" s="233">
        <v>16.760999999999999</v>
      </c>
      <c r="T5" s="233">
        <v>16.57</v>
      </c>
      <c r="U5" s="233">
        <v>16.02</v>
      </c>
      <c r="V5" s="233">
        <v>13.217000000000001</v>
      </c>
      <c r="W5" s="233">
        <v>10.35</v>
      </c>
      <c r="X5" s="233">
        <v>11.48</v>
      </c>
      <c r="Y5" s="233">
        <v>12.657999999999999</v>
      </c>
      <c r="Z5" s="233">
        <v>14.315</v>
      </c>
      <c r="AA5" s="233">
        <v>15.382999999999999</v>
      </c>
      <c r="AB5" s="233">
        <v>16.356000000000002</v>
      </c>
      <c r="AC5" s="319">
        <v>17.5</v>
      </c>
      <c r="AD5" s="319">
        <v>15</v>
      </c>
      <c r="AE5" s="319">
        <v>14</v>
      </c>
    </row>
    <row r="6" spans="1:31">
      <c r="A6" s="2" t="s">
        <v>63</v>
      </c>
      <c r="B6" s="215">
        <v>0.21018066666435065</v>
      </c>
      <c r="C6" s="215">
        <v>0.22025506406694181</v>
      </c>
      <c r="D6" s="215">
        <v>0.19787138675967228</v>
      </c>
      <c r="E6" s="215">
        <v>0.19532603102751328</v>
      </c>
      <c r="F6" s="215">
        <v>0.17601236843670107</v>
      </c>
      <c r="G6" s="215">
        <v>0.17372445304612266</v>
      </c>
      <c r="H6" s="215">
        <v>0.19192124382929213</v>
      </c>
      <c r="I6" s="215">
        <v>0.21187816863393269</v>
      </c>
      <c r="J6" s="215">
        <v>0.18363217728601816</v>
      </c>
      <c r="K6" s="215">
        <v>0.15907250596255451</v>
      </c>
      <c r="L6" s="215">
        <v>0.19606220032444049</v>
      </c>
      <c r="Q6" s="219" t="s">
        <v>288</v>
      </c>
      <c r="R6" s="232">
        <v>13.0778</v>
      </c>
      <c r="S6" s="232">
        <v>13.464</v>
      </c>
      <c r="T6" s="232">
        <v>13.596</v>
      </c>
      <c r="U6" s="232">
        <v>13.441000000000001</v>
      </c>
      <c r="V6" s="232">
        <v>12.952999999999999</v>
      </c>
      <c r="W6" s="232">
        <v>13.077</v>
      </c>
      <c r="X6" s="232">
        <v>11.438000000000001</v>
      </c>
      <c r="Y6" s="232">
        <v>13.41</v>
      </c>
      <c r="Z6" s="232">
        <v>14.185</v>
      </c>
      <c r="AA6" s="232">
        <v>11.629</v>
      </c>
      <c r="AB6" s="232">
        <v>11.045999999999999</v>
      </c>
      <c r="AC6" s="234">
        <f>AC7*(AVERAGE(AB4:AC4))</f>
        <v>11.996985</v>
      </c>
      <c r="AD6" s="234">
        <f>AD7*(AVERAGE(AC4:AD4))</f>
        <v>13.033075375000003</v>
      </c>
      <c r="AE6" s="234">
        <f>AE7*(AVERAGE(AD4:AE4))</f>
        <v>14.0130132975625</v>
      </c>
    </row>
    <row r="7" spans="1:31">
      <c r="Q7" s="219" t="s">
        <v>289</v>
      </c>
      <c r="R7" s="221"/>
      <c r="S7" s="222">
        <f t="shared" ref="S7:AB7" si="1">S6/(AVERAGE(R4:S4))</f>
        <v>5.5828996744967135E-2</v>
      </c>
      <c r="T7" s="222">
        <f t="shared" si="1"/>
        <v>5.5569860830114642E-2</v>
      </c>
      <c r="U7" s="222">
        <f t="shared" si="1"/>
        <v>5.4241323648103308E-2</v>
      </c>
      <c r="V7" s="222">
        <f t="shared" si="1"/>
        <v>5.168794892258579E-2</v>
      </c>
      <c r="W7" s="222">
        <f t="shared" si="1"/>
        <v>5.1886886032956527E-2</v>
      </c>
      <c r="X7" s="222">
        <f t="shared" si="1"/>
        <v>4.5607060760901853E-2</v>
      </c>
      <c r="Y7" s="222">
        <f t="shared" si="1"/>
        <v>5.375772942744611E-2</v>
      </c>
      <c r="Z7" s="222">
        <f t="shared" si="1"/>
        <v>5.6945687824421817E-2</v>
      </c>
      <c r="AA7" s="239">
        <f t="shared" si="1"/>
        <v>4.6743171815021002E-2</v>
      </c>
      <c r="AB7" s="239">
        <f t="shared" si="1"/>
        <v>4.4056236912952434E-2</v>
      </c>
      <c r="AC7" s="235">
        <v>4.7E-2</v>
      </c>
      <c r="AD7" s="236">
        <v>0.05</v>
      </c>
      <c r="AE7" s="237">
        <v>5.2999999999999999E-2</v>
      </c>
    </row>
    <row r="8" spans="1:31">
      <c r="B8">
        <v>2005</v>
      </c>
      <c r="C8">
        <f t="shared" ref="C8:L8" si="2">B8+1</f>
        <v>2006</v>
      </c>
      <c r="D8">
        <f t="shared" si="2"/>
        <v>2007</v>
      </c>
      <c r="E8">
        <f t="shared" si="2"/>
        <v>2008</v>
      </c>
      <c r="F8">
        <f t="shared" si="2"/>
        <v>2009</v>
      </c>
      <c r="G8">
        <f t="shared" si="2"/>
        <v>2010</v>
      </c>
      <c r="H8">
        <f t="shared" si="2"/>
        <v>2011</v>
      </c>
      <c r="I8">
        <f t="shared" si="2"/>
        <v>2012</v>
      </c>
      <c r="J8">
        <f t="shared" si="2"/>
        <v>2013</v>
      </c>
      <c r="K8">
        <f t="shared" si="2"/>
        <v>2014</v>
      </c>
      <c r="L8">
        <f t="shared" si="2"/>
        <v>2015</v>
      </c>
      <c r="Q8" s="219" t="s">
        <v>290</v>
      </c>
      <c r="R8" s="220"/>
      <c r="S8" s="223">
        <f t="shared" ref="S8:AE8" si="3">S6/S5</f>
        <v>0.80329335958475034</v>
      </c>
      <c r="T8" s="223">
        <f t="shared" si="3"/>
        <v>0.82051901025950513</v>
      </c>
      <c r="U8" s="223">
        <f t="shared" si="3"/>
        <v>0.83901373283395764</v>
      </c>
      <c r="V8" s="223">
        <f t="shared" si="3"/>
        <v>0.98002572444578939</v>
      </c>
      <c r="W8" s="223">
        <f t="shared" si="3"/>
        <v>1.2634782608695652</v>
      </c>
      <c r="X8" s="223">
        <f t="shared" si="3"/>
        <v>0.99634146341463414</v>
      </c>
      <c r="Y8" s="223">
        <f t="shared" si="3"/>
        <v>1.0594090693632485</v>
      </c>
      <c r="Z8" s="223">
        <f t="shared" si="3"/>
        <v>0.99091861683548732</v>
      </c>
      <c r="AA8" s="238">
        <f t="shared" si="3"/>
        <v>0.7559643762595073</v>
      </c>
      <c r="AB8" s="238">
        <f t="shared" si="3"/>
        <v>0.67534849596478341</v>
      </c>
      <c r="AC8" s="238">
        <f t="shared" si="3"/>
        <v>0.68554199999999998</v>
      </c>
      <c r="AD8" s="238">
        <f t="shared" si="3"/>
        <v>0.86887169166666689</v>
      </c>
      <c r="AE8" s="238">
        <f t="shared" si="3"/>
        <v>1.0009295212544642</v>
      </c>
    </row>
    <row r="9" spans="1:31">
      <c r="A9" s="2" t="s">
        <v>129</v>
      </c>
      <c r="B9" s="164">
        <v>60.251999999999995</v>
      </c>
      <c r="C9" s="164">
        <v>57.050999999999988</v>
      </c>
      <c r="D9" s="164">
        <v>94.067999999999998</v>
      </c>
      <c r="E9" s="164">
        <v>98.384999999999991</v>
      </c>
      <c r="F9" s="164">
        <v>102.88999999999999</v>
      </c>
      <c r="G9" s="164">
        <v>127.49000000000001</v>
      </c>
      <c r="H9" s="164">
        <v>156.98400000000004</v>
      </c>
      <c r="I9" s="164">
        <v>183.73500000000004</v>
      </c>
      <c r="J9" s="164">
        <v>115.02500000000001</v>
      </c>
      <c r="K9" s="164">
        <v>174.30500000000001</v>
      </c>
      <c r="L9" s="164">
        <v>208.14999999999998</v>
      </c>
      <c r="Q9" s="219" t="s">
        <v>291</v>
      </c>
      <c r="R9" s="219"/>
      <c r="S9" s="222">
        <f t="shared" ref="S9:AE9" si="4">S6/R6-1</f>
        <v>2.9530960864977418E-2</v>
      </c>
      <c r="T9" s="222">
        <f t="shared" si="4"/>
        <v>9.8039215686274161E-3</v>
      </c>
      <c r="U9" s="222">
        <f t="shared" si="4"/>
        <v>-1.1400411885848727E-2</v>
      </c>
      <c r="V9" s="222">
        <f t="shared" si="4"/>
        <v>-3.6306822409047035E-2</v>
      </c>
      <c r="W9" s="222">
        <f t="shared" si="4"/>
        <v>9.5730718752413679E-3</v>
      </c>
      <c r="X9" s="222">
        <f t="shared" si="4"/>
        <v>-0.12533455685554784</v>
      </c>
      <c r="Y9" s="222">
        <f t="shared" si="4"/>
        <v>0.17240776359503407</v>
      </c>
      <c r="Z9" s="222">
        <f t="shared" si="4"/>
        <v>5.7792692020879999E-2</v>
      </c>
      <c r="AA9" s="222">
        <f t="shared" si="4"/>
        <v>-0.1801903419104689</v>
      </c>
      <c r="AB9" s="222">
        <f t="shared" si="4"/>
        <v>-5.0133287470977783E-2</v>
      </c>
      <c r="AC9" s="218">
        <f t="shared" si="4"/>
        <v>8.6093155893536277E-2</v>
      </c>
      <c r="AD9" s="218">
        <f t="shared" si="4"/>
        <v>8.636256317733193E-2</v>
      </c>
      <c r="AE9" s="218">
        <f t="shared" si="4"/>
        <v>7.5188541028636369E-2</v>
      </c>
    </row>
    <row r="10" spans="1:31" ht="15">
      <c r="A10" s="2" t="s">
        <v>134</v>
      </c>
      <c r="B10" s="225">
        <f>Model!D71</f>
        <v>0.3747957604162187</v>
      </c>
      <c r="C10" s="225">
        <f>Model!E71</f>
        <v>0.2425527786610899</v>
      </c>
      <c r="D10" s="225">
        <f>Model!F71</f>
        <v>0.56313948415725257</v>
      </c>
      <c r="E10" s="225">
        <f>Model!G71</f>
        <v>0.44945891604983629</v>
      </c>
      <c r="F10" s="225">
        <f>Model!H71</f>
        <v>0.73531410070837333</v>
      </c>
      <c r="G10" s="225">
        <f>Model!I71</f>
        <v>0.72662961982887886</v>
      </c>
      <c r="H10" s="225">
        <f>Model!J71</f>
        <v>1.1272845910410758</v>
      </c>
      <c r="I10" s="225">
        <f>Model!K71</f>
        <v>1.3303582298514731</v>
      </c>
      <c r="J10" s="225">
        <f>Model!L71</f>
        <v>0.53213490418474219</v>
      </c>
      <c r="K10" s="225">
        <f>Model!M71</f>
        <v>1.2709289034519546</v>
      </c>
      <c r="L10" s="225">
        <f>Model!R71</f>
        <v>1.4185725699067904</v>
      </c>
      <c r="M10" s="225"/>
      <c r="N10" s="225"/>
      <c r="O10" s="225"/>
      <c r="P10" s="225"/>
      <c r="Q10" s="444" t="s">
        <v>276</v>
      </c>
      <c r="R10" s="224"/>
      <c r="S10" s="224"/>
      <c r="T10" s="229"/>
      <c r="U10" s="229"/>
      <c r="V10" s="229"/>
      <c r="W10" s="229"/>
      <c r="X10" s="229"/>
      <c r="Y10" s="229"/>
      <c r="Z10" s="229"/>
      <c r="AA10" s="229"/>
      <c r="AB10" s="229"/>
      <c r="AD10" s="229"/>
      <c r="AE10" s="229"/>
    </row>
    <row r="11" spans="1:31" ht="15"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"/>
      <c r="AD11" s="2"/>
      <c r="AE11" s="2"/>
    </row>
    <row r="12" spans="1:31" ht="15">
      <c r="Q12" s="219" t="s">
        <v>302</v>
      </c>
      <c r="R12" s="251">
        <f>Model!C57</f>
        <v>0</v>
      </c>
      <c r="S12" s="251">
        <f>Model!D57</f>
        <v>0.12316100564750454</v>
      </c>
      <c r="T12" s="251">
        <f>Model!E57</f>
        <v>0.17418512125715591</v>
      </c>
      <c r="U12" s="251">
        <f>Model!F57</f>
        <v>6.0748812834629184E-2</v>
      </c>
      <c r="V12" s="251">
        <f>Model!G57</f>
        <v>0.40008561033031342</v>
      </c>
      <c r="W12" s="251">
        <f>Model!H57</f>
        <v>-5.3398726114649686E-2</v>
      </c>
      <c r="X12" s="251">
        <f>Model!I57</f>
        <v>4.0099208431909394E-2</v>
      </c>
      <c r="Y12" s="251">
        <f>Model!J57</f>
        <v>0.11446293663044282</v>
      </c>
      <c r="Z12" s="251">
        <f>Model!K57</f>
        <v>7.2962634020049988E-2</v>
      </c>
      <c r="AA12" s="251">
        <f>Model!L57</f>
        <v>0.13221834014830258</v>
      </c>
      <c r="AB12" s="251">
        <f>Model!M57</f>
        <v>0.11191185661887681</v>
      </c>
      <c r="AC12" s="251">
        <f>Model!N57</f>
        <v>3.7999999999999999E-2</v>
      </c>
      <c r="AD12" s="251">
        <f>Model!O57</f>
        <v>-3.5999999999999997E-2</v>
      </c>
      <c r="AE12" s="251">
        <f>Model!P57</f>
        <v>-4.1000000000000002E-2</v>
      </c>
    </row>
    <row r="13" spans="1:31" ht="15">
      <c r="L13" s="226"/>
      <c r="Q13" s="219" t="s">
        <v>301</v>
      </c>
      <c r="R13" s="224"/>
      <c r="S13" s="251">
        <f t="shared" ref="S13:AE13" si="5">S4/R4-1</f>
        <v>1.5587129126619192E-2</v>
      </c>
      <c r="T13" s="251">
        <f t="shared" si="5"/>
        <v>1.3455128996420207E-2</v>
      </c>
      <c r="U13" s="251">
        <f t="shared" si="5"/>
        <v>1.2180267965895331E-2</v>
      </c>
      <c r="V13" s="251">
        <f t="shared" si="5"/>
        <v>1.0429201764941887E-2</v>
      </c>
      <c r="W13" s="251">
        <f t="shared" si="5"/>
        <v>1.0242159587137145E-3</v>
      </c>
      <c r="X13" s="251">
        <f t="shared" si="5"/>
        <v>-1.0814647958819368E-2</v>
      </c>
      <c r="Y13" s="251">
        <f t="shared" si="5"/>
        <v>1.7239236502275546E-4</v>
      </c>
      <c r="Z13" s="251">
        <f t="shared" si="5"/>
        <v>-3.0223590434272918E-3</v>
      </c>
      <c r="AA13" s="251">
        <f t="shared" si="5"/>
        <v>5.2267610164036249E-4</v>
      </c>
      <c r="AB13" s="251">
        <f t="shared" si="5"/>
        <v>1.5069318866787196E-2</v>
      </c>
      <c r="AC13" s="251">
        <f t="shared" si="5"/>
        <v>2.102137767220924E-2</v>
      </c>
      <c r="AD13" s="251">
        <f t="shared" si="5"/>
        <v>2.1336958628979108E-2</v>
      </c>
      <c r="AE13" s="251">
        <f t="shared" si="5"/>
        <v>7.467074567291121E-3</v>
      </c>
    </row>
  </sheetData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Cover</vt:lpstr>
      <vt:lpstr>Model</vt:lpstr>
      <vt:lpstr>Drivers</vt:lpstr>
      <vt:lpstr>Notes</vt:lpstr>
      <vt:lpstr>Charts</vt:lpstr>
      <vt:lpstr>scen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2026-03-03T04:40:56Z</dcterms:created>
  <dcterms:modified xsi:type="dcterms:W3CDTF">2026-03-03T11:40:24Z</dcterms:modified>
</cp:coreProperties>
</file>