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filterPrivacy="1" codeName="ThisWorkbook" defaultThemeVersion="124226"/>
  <xr:revisionPtr revIDLastSave="0" documentId="13_ncr:1_{D0EEEAA3-0327-4C8E-95A9-E9F14CADB1B0}" xr6:coauthVersionLast="47" xr6:coauthVersionMax="47" xr10:uidLastSave="{00000000-0000-0000-0000-000000000000}"/>
  <bookViews>
    <workbookView xWindow="-120" yWindow="-120" windowWidth="29040" windowHeight="15720" tabRatio="797" xr2:uid="{00000000-000D-0000-FFFF-FFFF00000000}"/>
  </bookViews>
  <sheets>
    <sheet name="Cover" sheetId="170" r:id="rId1"/>
    <sheet name="Summary" sheetId="155" r:id="rId2"/>
    <sheet name="IS" sheetId="94" r:id="rId3"/>
    <sheet name="IS-Segments" sheetId="52" r:id="rId4"/>
    <sheet name="BS" sheetId="65" r:id="rId5"/>
    <sheet name="CF" sheetId="46" r:id="rId6"/>
    <sheet name="WC" sheetId="50" r:id="rId7"/>
    <sheet name="Equity" sheetId="159" r:id="rId8"/>
    <sheet name="Debt" sheetId="47" r:id="rId9"/>
    <sheet name="DCF" sheetId="174" r:id="rId10"/>
    <sheet name="Sensitivity" sheetId="171" r:id="rId11"/>
    <sheet name="Holders" sheetId="169" r:id="rId12"/>
    <sheet name="Returns" sheetId="166" r:id="rId13"/>
    <sheet name="Comp Sheet" sheetId="167" r:id="rId14"/>
    <sheet name="To-Do List" sheetId="175" r:id="rId15"/>
  </sheets>
  <externalReferences>
    <externalReference r:id="rId16"/>
    <externalReference r:id="rId17"/>
  </externalReferences>
  <definedNames>
    <definedName name="____wrn1" hidden="1">{"Annual",#N/A,FALSE,"Sales &amp; Market";"Quarterly",#N/A,FALSE,"Sales &amp; Market"}</definedName>
    <definedName name="____wrn2" hidden="1">{"client cfbs",#N/A,FALSE,"Client"}</definedName>
    <definedName name="____wrn3" hidden="1">{"client is",#N/A,FALSE,"Client"}</definedName>
    <definedName name="____wrn4" hidden="1">{"client stats",#N/A,FALSE,"Client"}</definedName>
    <definedName name="____wrn5" hidden="1">{"internal is",#N/A,FALSE,"Model"}</definedName>
    <definedName name="____wrn6" hidden="1">{"portrait letter is",#N/A,FALSE,"Model"}</definedName>
    <definedName name="____wrn7" hidden="1">{#N/A,#N/A,FALSE,"Financial";#N/A,#N/A,FALSE,"Balance Sheet";#N/A,#N/A,FALSE,"Income stmt";#N/A,#N/A,FALSE,"Ratio"}</definedName>
    <definedName name="__123Graph_A" localSheetId="9" hidden="1">#REF!</definedName>
    <definedName name="__123Graph_A" localSheetId="7" hidden="1">#REF!</definedName>
    <definedName name="__123Graph_A" localSheetId="10" hidden="1">#REF!</definedName>
    <definedName name="__123Graph_A" hidden="1">#REF!</definedName>
    <definedName name="__123Graph_X" localSheetId="9" hidden="1">#REF!</definedName>
    <definedName name="__123Graph_X" localSheetId="7" hidden="1">#REF!</definedName>
    <definedName name="__123Graph_X" localSheetId="10" hidden="1">#REF!</definedName>
    <definedName name="__123Graph_X" hidden="1">#REF!</definedName>
    <definedName name="__FDS_HYPERLINK_TOGGLE_STATE__" hidden="1">"ON"</definedName>
    <definedName name="__FDS_UNIQUE_RANGE_ID_GENERATOR_COUNTER" hidden="1">34</definedName>
    <definedName name="__wrn1" hidden="1">{"Annual",#N/A,FALSE,"Sales &amp; Market";"Quarterly",#N/A,FALSE,"Sales &amp; Market"}</definedName>
    <definedName name="__wrn2" hidden="1">{"client cfbs",#N/A,FALSE,"Client"}</definedName>
    <definedName name="__wrn3" hidden="1">{"client is",#N/A,FALSE,"Client"}</definedName>
    <definedName name="__wrn4" hidden="1">{"client stats",#N/A,FALSE,"Client"}</definedName>
    <definedName name="__wrn5" hidden="1">{"internal is",#N/A,FALSE,"Model"}</definedName>
    <definedName name="__wrn6" hidden="1">{"portrait letter is",#N/A,FALSE,"Model"}</definedName>
    <definedName name="__wrn7" hidden="1">{#N/A,#N/A,FALSE,"Financial";#N/A,#N/A,FALSE,"Balance Sheet";#N/A,#N/A,FALSE,"Income stmt";#N/A,#N/A,FALSE,"Ratio"}</definedName>
    <definedName name="_1__123Graph_ACHART_4" localSheetId="9" hidden="1">#REF!</definedName>
    <definedName name="_1__123Graph_ACHART_4" localSheetId="7" hidden="1">#REF!</definedName>
    <definedName name="_1__123Graph_ACHART_4" localSheetId="10" hidden="1">#REF!</definedName>
    <definedName name="_1__123Graph_ACHART_4" hidden="1">#REF!</definedName>
    <definedName name="_1__FDSAUDITLINK__" hidden="1">{"fdsup://IBCentral/FAT Viewer?action=UPDATE&amp;creator=factset&amp;DOC_NAME=fat:reuters_annual_pshs_src_window.fat&amp;display_string=Audit&amp;DYN_ARGS=TRUE&amp;VAR:ID1=78118210&amp;VAR:RCODE=FDSEPS&amp;VAR:SDATE=20070599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10__FDSAUDITLINK__" hidden="1">{"fdsup://IBCentral/FAT Viewer?action=UPDATE&amp;creator=factset&amp;DOC_NAME=fat:reuters_annual_pshs_src_window.fat&amp;display_string=Audit&amp;DYN_ARGS=TRUE&amp;VAR:ID1=35874810&amp;VAR:RCODE=FDSEPS&amp;VAR:SDATE=20070599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11__FDSAUDITLINK__" hidden="1">{"fdsup://IBCentral/FAT Viewer?action=UPDATE&amp;creator=factset&amp;DOC_NAME=fat:reuters_annual_pshs_src_window.fat&amp;display_string=Audit&amp;DYN_ARGS=TRUE&amp;VAR:ID1=12513710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12__FDSAUDITLINK__" hidden="1">{"fdsup://IBCentral/FAT Viewer?action=UPDATE&amp;creator=factset&amp;DOC_NAME=fat:reuters_annual_pshs_src_window.fat&amp;display_string=Audit&amp;DYN_ARGS=TRUE&amp;VAR:ID1=78118210&amp;VAR:RCODE=FDSEPS&amp;VAR:SDATE=20070599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13__FDSAUDITLINK__" hidden="1">{"fdsup://IBCentral/FAT Viewer?action=UPDATE&amp;creator=factset&amp;DOC_NAME=fat:reuters_annual_pshs_src_window.fat&amp;display_string=Audit&amp;DYN_ARGS=TRUE&amp;VAR:ID1=12513710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14__FDSAUDITLINK__" hidden="1">{"fdsup://IBCentral/FAT Viewer?action=UPDATE&amp;creator=factset&amp;DOC_NAME=fat:reuters_annual_pshs_src_window.fat&amp;display_string=Audit&amp;DYN_ARGS=TRUE&amp;VAR:ID1=25442310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15__FDSAUDITLINK__" hidden="1">{"fdsup://IBCentral/FAT Viewer?action=UPDATE&amp;creator=factset&amp;DOC_NAME=fat:reuters_annual_pshs_src_window.fat&amp;display_string=Audit&amp;DYN_ARGS=TRUE&amp;VAR:ID1=24869P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16__FDSAUDITLINK__" hidden="1">{"fdsup://IBCentral/FAT Viewer?action=UPDATE&amp;creator=factset&amp;DOC_NAME=fat:reuters_annual_pshs_src_window.fat&amp;display_string=Audit&amp;DYN_ARGS=TRUE&amp;VAR:ID1=12489V10&amp;VAR:RCODE=FDSEPS&amp;VAR:SDATE=20070799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17__FDSAUDITLINK__" hidden="1">{"fdsup://IBCentral/FAT Viewer?action=UPDATE&amp;creator=factset&amp;DOC_NAME=fat:reuters_annual_pshs_src_window.fat&amp;display_string=Audit&amp;DYN_ARGS=TRUE&amp;VAR:ID1=23719410&amp;VAR:RCODE=FDSEPS&amp;VAR:SDATE=20080599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18__FDSAUDITLINK__" hidden="1">{"fdsup://IBCentral/FAT Viewer?action=UPDATE&amp;creator=factset&amp;DOC_NAME=fat:reuters_annual_pshs_src_window.fat&amp;display_string=Audit&amp;DYN_ARGS=TRUE&amp;VAR:ID1=69840W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19__FDSAUDITLINK__" hidden="1">{"fdsup://IBCentral/FAT Viewer?action=UPDATE&amp;creator=factset&amp;DOC_NAME=fat:reuters_annual_pshs_src_window.fat&amp;display_string=Audit&amp;DYN_ARGS=TRUE&amp;VAR:ID1=75689M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2__123Graph_XCHART_3" localSheetId="9" hidden="1">#REF!</definedName>
    <definedName name="_2__123Graph_XCHART_3" localSheetId="7" hidden="1">#REF!</definedName>
    <definedName name="_2__123Graph_XCHART_3" localSheetId="10" hidden="1">#REF!</definedName>
    <definedName name="_2__123Graph_XCHART_3" hidden="1">#REF!</definedName>
    <definedName name="_2__FDSAUDITLINK__" hidden="1">{"fdsup://IBCentral/FAT Viewer?action=UPDATE&amp;creator=factset&amp;DOC_NAME=fat:reuters_annual_pshs_src_window.fat&amp;display_string=Audit&amp;DYN_ARGS=TRUE&amp;VAR:ID1=12513710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20__FDSAUDITLINK__" hidden="1">{"fdsup://IBCentral/FAT Viewer?action=UPDATE&amp;creator=factset&amp;DOC_NAME=fat:reuters_annual_pshs_src_window.fat&amp;display_string=Audit&amp;DYN_ARGS=TRUE&amp;VAR:ID1=54928210&amp;VAR:RCODE=FDSEPS&amp;VAR:SDATE=20070899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21__FDSAUDITLINK__" hidden="1">{"fdsup://IBCentral/FAT Viewer?action=UPDATE&amp;creator=factset&amp;DOC_NAME=fat:reuters_annual_pshs_src_window.fat&amp;display_string=Audit&amp;DYN_ARGS=TRUE&amp;VAR:ID1=35874810&amp;VAR:RCODE=FDSEPS&amp;VAR:SDATE=20070599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22__FDSAUDITLINK__" hidden="1">{"fdsup://IBCentral/FAT Viewer?action=UPDATE&amp;creator=factset&amp;DOC_NAME=fat:reuters_annual_pshs_src_window.fat&amp;display_string=Audit&amp;DYN_ARGS=TRUE&amp;VAR:ID1=12513710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23__FDSAUDITLINK__" hidden="1">{"fdsup://IBCentral/FAT Viewer?action=UPDATE&amp;creator=factset&amp;DOC_NAME=fat:reuters_annual_pshs_src_window.fat&amp;display_string=Audit&amp;DYN_ARGS=TRUE&amp;VAR:ID1=78118210&amp;VAR:RCODE=FDSEPS&amp;VAR:SDATE=20070599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24__FDSAUDITLINK__" hidden="1">{"fdsup://IBCentral/FAT Viewer?action=UPDATE&amp;creator=factset&amp;DOC_NAME=fat:reuters_annual_pshs_src_window.fat&amp;display_string=Audit&amp;DYN_ARGS=TRUE&amp;VAR:ID1=12513710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25__FDSAUDITLINK__" hidden="1">{"fdsup://IBCentral/FAT Viewer?action=UPDATE&amp;creator=factset&amp;DOC_NAME=fat:reuters_annual_pshs_src_window.fat&amp;display_string=Audit&amp;DYN_ARGS=TRUE&amp;VAR:ID1=25442310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26__FDSAUDITLINK__" hidden="1">{"fdsup://IBCentral/FAT Viewer?action=UPDATE&amp;creator=factset&amp;DOC_NAME=fat:reuters_annual_pshs_src_window.fat&amp;display_string=Audit&amp;DYN_ARGS=TRUE&amp;VAR:ID1=24869P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27__FDSAUDITLINK__" hidden="1">{"fdsup://IBCentral/FAT Viewer?action=UPDATE&amp;creator=factset&amp;DOC_NAME=fat:reuters_annual_pshs_src_window.fat&amp;display_string=Audit&amp;DYN_ARGS=TRUE&amp;VAR:ID1=12489V10&amp;VAR:RCODE=FDSEPS&amp;VAR:SDATE=20070799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28__FDSAUDITLINK__" hidden="1">{"fdsup://IBCentral/FAT Viewer?action=UPDATE&amp;creator=factset&amp;DOC_NAME=fat:reuters_annual_pshs_src_window.fat&amp;display_string=Audit&amp;DYN_ARGS=TRUE&amp;VAR:ID1=23719410&amp;VAR:RCODE=FDSEPS&amp;VAR:SDATE=20080599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29__FDSAUDITLINK__" hidden="1">{"fdsup://IBCentral/FAT Viewer?action=UPDATE&amp;creator=factset&amp;DOC_NAME=fat:reuters_annual_pshs_src_window.fat&amp;display_string=Audit&amp;DYN_ARGS=TRUE&amp;VAR:ID1=69840W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3__123Graph_XCHART_4" localSheetId="9" hidden="1">#REF!</definedName>
    <definedName name="_3__123Graph_XCHART_4" localSheetId="7" hidden="1">#REF!</definedName>
    <definedName name="_3__123Graph_XCHART_4" localSheetId="10" hidden="1">#REF!</definedName>
    <definedName name="_3__123Graph_XCHART_4" hidden="1">#REF!</definedName>
    <definedName name="_3__FDSAUDITLINK__" hidden="1">{"fdsup://IBCentral/FAT Viewer?action=UPDATE&amp;creator=factset&amp;DOC_NAME=fat:reuters_annual_pshs_src_window.fat&amp;display_string=Audit&amp;DYN_ARGS=TRUE&amp;VAR:ID1=25442310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30__FDSAUDITLINK__" hidden="1">{"fdsup://IBCentral/FAT Viewer?action=UPDATE&amp;creator=factset&amp;DOC_NAME=fat:reuters_annual_pshs_src_window.fat&amp;display_string=Audit&amp;DYN_ARGS=TRUE&amp;VAR:ID1=75689M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31__FDSAUDITLINK__" hidden="1">{"fdsup://IBCentral/FAT Viewer?action=UPDATE&amp;creator=factset&amp;DOC_NAME=fat:reuters_annual_pshs_src_window.fat&amp;display_string=Audit&amp;DYN_ARGS=TRUE&amp;VAR:ID1=54928210&amp;VAR:RCODE=FDSEPS&amp;VAR:SDATE=20070899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32__FDSAUDITLINK__" hidden="1">{"fdsup://IBCentral/FAT Viewer?action=UPDATE&amp;creator=factset&amp;DOC_NAME=fat:reuters_annual_pshs_src_window.fat&amp;display_string=Audit&amp;DYN_ARGS=TRUE&amp;VAR:ID1=35874810&amp;VAR:RCODE=FDSEPS&amp;VAR:SDATE=20070599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33__FDSAUDITLINK__" hidden="1">{"fdsup://IBCentral/FAT Viewer?action=UPDATE&amp;creator=factset&amp;DOC_NAME=fat:reuters_annual_pshs_src_window.fat&amp;display_string=Audit&amp;DYN_ARGS=TRUE&amp;VAR:ID1=12513710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34__FDSAUDITLINK__" hidden="1">{"fdsup://IBCentral/FAT Viewer?action=UPDATE&amp;creator=factset&amp;DOC_NAME=fat:reuters_qtrly_pshs_src_window.fat&amp;display_string=Audit&amp;DYN_ARGS=TRUE&amp;VAR:ID1=16307210&amp;VAR:RCODE=FDSEPS&amp;VAR:SDATE=20080399&amp;VAR:FREQ=Quarterly&amp;VAR:RELITEM=RP&amp;VAR:CURRENCY=&amp;VAR:CURRSOURC","E=EXSHARE&amp;VAR:NATFREQ=QUARTERLY&amp;VAR:RFIELD=FINALIZED&amp;VAR:DB_TYPE=&amp;VAR:UNITS=M&amp;window=popup&amp;width=450&amp;height=300&amp;START_MAXIMIZED=FALSE"}</definedName>
    <definedName name="_35__FDSAUDITLINK__" hidden="1">{"fdsup://IBCentral/FAT Viewer?action=UPDATE&amp;creator=factset&amp;DOC_NAME=fat:reuters_qtrly_pshs_src_window.fat&amp;display_string=Audit&amp;DYN_ARGS=TRUE&amp;VAR:ID1=16307210&amp;VAR:RCODE=FDSEPS&amp;VAR:SDATE=20080699&amp;VAR:FREQ=Quarterly&amp;VAR:RELITEM=RP&amp;VAR:CURRENCY=&amp;VAR:CURRSOURC","E=EXSHARE&amp;VAR:NATFREQ=QUARTERLY&amp;VAR:RFIELD=FINALIZED&amp;VAR:DB_TYPE=&amp;VAR:UNITS=M&amp;window=popup&amp;width=450&amp;height=300&amp;START_MAXIMIZED=FALSE"}</definedName>
    <definedName name="_36__FDSAUDITLINK__" hidden="1">{"fdsup://IBCentral/FAT Viewer?action=UPDATE&amp;creator=factset&amp;DOC_NAME=fat:reuters_qtrly_pshs_src_window.fat&amp;display_string=Audit&amp;DYN_ARGS=TRUE&amp;VAR:ID1=16307210&amp;VAR:RCODE=FDSEPS&amp;VAR:SDATE=20080999&amp;VAR:FREQ=Quarterly&amp;VAR:RELITEM=RP&amp;VAR:CURRENCY=&amp;VAR:CURRSOURC","E=EXSHARE&amp;VAR:NATFREQ=QUARTERLY&amp;VAR:RFIELD=FINALIZED&amp;VAR:DB_TYPE=&amp;VAR:UNITS=M&amp;window=popup&amp;width=450&amp;height=300&amp;START_MAXIMIZED=FALSE"}</definedName>
    <definedName name="_37__FDSAUDITLINK__" hidden="1">{"fdsup://IBCentral/FAT Viewer?action=UPDATE&amp;creator=factset&amp;DOC_NAME=fat:reuters_annual_pshs_src_window.fat&amp;display_string=Audit&amp;DYN_ARGS=TRUE&amp;VAR:ID1=78118210&amp;VAR:RCODE=FDSEPS&amp;VAR:SDATE=20080599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38__FDSAUDITLINK__" hidden="1">{"fdsup://IBCentral/FAT Viewer?action=UPDATE&amp;creator=factset&amp;DOC_NAME=fat:reuters_annual_pshs_src_window.fat&amp;display_string=Audit&amp;DYN_ARGS=TRUE&amp;VAR:ID1=12561E10&amp;VAR:RCODE=FDSEPS&amp;VAR:SDATE=20090199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39__FDSAUDITLINK__" hidden="1">{"fdsup://IBCentral/FAT Viewer?action=UPDATE&amp;creator=factset&amp;DOC_NAME=fat:reuters_annual_pshs_src_window.fat&amp;display_string=Audit&amp;DYN_ARGS=TRUE&amp;VAR:ID1=10964110&amp;VAR:RCODE=FDSEPS&amp;VAR:SDATE=20080699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4__FDSAUDITLINK__" hidden="1">{"fdsup://IBCentral/FAT Viewer?action=UPDATE&amp;creator=factset&amp;DOC_NAME=fat:reuters_annual_pshs_src_window.fat&amp;display_string=Audit&amp;DYN_ARGS=TRUE&amp;VAR:ID1=24869P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40__FDSAUDITLINK__" hidden="1">{"fdsup://IBCentral/FAT Viewer?action=UPDATE&amp;creator=factset&amp;DOC_NAME=fat:reuters_annual_pshs_src_window.fat&amp;display_string=Audit&amp;DYN_ARGS=TRUE&amp;VAR:ID1=13054D10&amp;VAR:RCODE=FDSEPS&amp;VAR:SDATE=20081299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41__FDSAUDITLINK__" hidden="1">{"fdsup://IBCentral/FAT Viewer?action=UPDATE&amp;creator=factset&amp;DOC_NAME=fat:reuters_annual_pshs_src_window.fat&amp;display_string=Audit&amp;DYN_ARGS=TRUE&amp;VAR:ID1=11984810&amp;VAR:RCODE=FDSEPS&amp;VAR:SDATE=20081299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42__FDSAUDITLINK__" hidden="1">{"fdsup://IBCentral/FAT Viewer?action=UPDATE&amp;creator=factset&amp;DOC_NAME=fat:reuters_annual_pshs_src_window.fat&amp;display_string=Audit&amp;DYN_ARGS=TRUE&amp;VAR:ID1=25442310&amp;VAR:RCODE=FDSEPS&amp;VAR:SDATE=20081299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43__FDSAUDITLINK__" hidden="1">{"fdsup://IBCentral/FAT Viewer?action=UPDATE&amp;creator=factset&amp;DOC_NAME=fat:reuters_annual_pshs_src_window.fat&amp;display_string=Audit&amp;DYN_ARGS=TRUE&amp;VAR:ID1=13054D10&amp;VAR:RCODE=FDSEPS&amp;VAR:SDATE=20081299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44__FDSAUDITLINK__" hidden="1">{"fdsup://IBCentral/FAT Viewer?action=UPDATE&amp;creator=factset&amp;DOC_NAME=fat:reuters_annual_pshs_src_window.fat&amp;display_string=Audit&amp;DYN_ARGS=TRUE&amp;VAR:ID1=75689M10&amp;VAR:RCODE=FDSEPS&amp;VAR:SDATE=20081299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5__FDSAUDITLINK__" hidden="1">{"fdsup://IBCentral/FAT Viewer?action=UPDATE&amp;creator=factset&amp;DOC_NAME=fat:reuters_annual_pshs_src_window.fat&amp;display_string=Audit&amp;DYN_ARGS=TRUE&amp;VAR:ID1=12489V10&amp;VAR:RCODE=FDSEPS&amp;VAR:SDATE=20070799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6__FDSAUDITLINK__" hidden="1">{"fdsup://IBCentral/FAT Viewer?action=UPDATE&amp;creator=factset&amp;DOC_NAME=fat:reuters_annual_pshs_src_window.fat&amp;display_string=Audit&amp;DYN_ARGS=TRUE&amp;VAR:ID1=23719410&amp;VAR:RCODE=FDSEPS&amp;VAR:SDATE=20080599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7__FDSAUDITLINK__" hidden="1">{"fdsup://IBCentral/FAT Viewer?action=UPDATE&amp;creator=factset&amp;DOC_NAME=fat:reuters_annual_pshs_src_window.fat&amp;display_string=Audit&amp;DYN_ARGS=TRUE&amp;VAR:ID1=69840W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8__FDSAUDITLINK__" hidden="1">{"fdsup://IBCentral/FAT Viewer?action=UPDATE&amp;creator=factset&amp;DOC_NAME=fat:reuters_annual_pshs_src_window.fat&amp;display_string=Audit&amp;DYN_ARGS=TRUE&amp;VAR:ID1=75689M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9__FDSAUDITLINK__" hidden="1">{"fdsup://IBCentral/FAT Viewer?action=UPDATE&amp;creator=factset&amp;DOC_NAME=fat:reuters_annual_pshs_src_window.fat&amp;display_string=Audit&amp;DYN_ARGS=TRUE&amp;VAR:ID1=54928210&amp;VAR:RCODE=FDSEPS&amp;VAR:SDATE=20070899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bdm.22586AEBD8294A58BCFD5F49C9F38EB4.edm" localSheetId="9" hidden="1">#REF!</definedName>
    <definedName name="_bdm.22586AEBD8294A58BCFD5F49C9F38EB4.edm" localSheetId="7" hidden="1">#REF!</definedName>
    <definedName name="_bdm.22586AEBD8294A58BCFD5F49C9F38EB4.edm" localSheetId="10" hidden="1">#REF!</definedName>
    <definedName name="_bdm.22586AEBD8294A58BCFD5F49C9F38EB4.edm" hidden="1">#REF!</definedName>
    <definedName name="_bdm.55443EF1C58B486A9CB3072A6E45A3DE.edm" localSheetId="9" hidden="1">#REF!</definedName>
    <definedName name="_bdm.55443EF1C58B486A9CB3072A6E45A3DE.edm" localSheetId="7" hidden="1">#REF!</definedName>
    <definedName name="_bdm.55443EF1C58B486A9CB3072A6E45A3DE.edm" localSheetId="10" hidden="1">#REF!</definedName>
    <definedName name="_bdm.55443EF1C58B486A9CB3072A6E45A3DE.edm" hidden="1">#REF!</definedName>
    <definedName name="_bdm.5C9D6D868A084BD2911279E3EB4BAE94.edm" localSheetId="9" hidden="1">#REF!</definedName>
    <definedName name="_bdm.5C9D6D868A084BD2911279E3EB4BAE94.edm" localSheetId="7" hidden="1">#REF!</definedName>
    <definedName name="_bdm.5C9D6D868A084BD2911279E3EB4BAE94.edm" localSheetId="10" hidden="1">#REF!</definedName>
    <definedName name="_bdm.5C9D6D868A084BD2911279E3EB4BAE94.edm" hidden="1">#REF!</definedName>
    <definedName name="_bdm.977AC9ADBC4145E693BC5855C50B25CC.edm" localSheetId="9" hidden="1">#REF!</definedName>
    <definedName name="_bdm.977AC9ADBC4145E693BC5855C50B25CC.edm" localSheetId="7" hidden="1">#REF!</definedName>
    <definedName name="_bdm.977AC9ADBC4145E693BC5855C50B25CC.edm" localSheetId="10" hidden="1">#REF!</definedName>
    <definedName name="_bdm.977AC9ADBC4145E693BC5855C50B25CC.edm" hidden="1">#REF!</definedName>
    <definedName name="_bdm.E80EC95FDB8A492699C1C4D22BA755AA.edm" localSheetId="9" hidden="1">#REF!</definedName>
    <definedName name="_bdm.E80EC95FDB8A492699C1C4D22BA755AA.edm" localSheetId="7" hidden="1">#REF!</definedName>
    <definedName name="_bdm.E80EC95FDB8A492699C1C4D22BA755AA.edm" localSheetId="10" hidden="1">#REF!</definedName>
    <definedName name="_bdm.E80EC95FDB8A492699C1C4D22BA755AA.edm" hidden="1">#REF!</definedName>
    <definedName name="_ddd1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_xlnm._FilterDatabase" localSheetId="9" hidden="1">#REF!</definedName>
    <definedName name="_xlnm._FilterDatabase" localSheetId="7" hidden="1">#REF!</definedName>
    <definedName name="_xlnm._FilterDatabase" localSheetId="10" hidden="1">#REF!</definedName>
    <definedName name="_xlnm._FilterDatabase" hidden="1">#REF!</definedName>
    <definedName name="_Order1" hidden="1">255</definedName>
    <definedName name="_Order2" hidden="1">255</definedName>
    <definedName name="_Regression_Int" hidden="1">1</definedName>
    <definedName name="_Table1_In1" localSheetId="9" hidden="1">#REF!</definedName>
    <definedName name="_Table1_In1" localSheetId="7" hidden="1">#REF!</definedName>
    <definedName name="_Table1_In1" localSheetId="10" hidden="1">#REF!</definedName>
    <definedName name="_Table1_In1" hidden="1">#REF!</definedName>
    <definedName name="_Table1_Out" localSheetId="9" hidden="1">#REF!</definedName>
    <definedName name="_Table1_Out" localSheetId="7" hidden="1">#REF!</definedName>
    <definedName name="_Table1_Out" localSheetId="10" hidden="1">#REF!</definedName>
    <definedName name="_Table1_Out" hidden="1">#REF!</definedName>
    <definedName name="_Table2_In1" localSheetId="9" hidden="1">#REF!</definedName>
    <definedName name="_Table2_In1" localSheetId="7" hidden="1">#REF!</definedName>
    <definedName name="_Table2_In1" localSheetId="10" hidden="1">#REF!</definedName>
    <definedName name="_Table2_In1" hidden="1">#REF!</definedName>
    <definedName name="_Table2_In2" localSheetId="9" hidden="1">#REF!</definedName>
    <definedName name="_Table2_In2" localSheetId="7" hidden="1">#REF!</definedName>
    <definedName name="_Table2_In2" localSheetId="10" hidden="1">#REF!</definedName>
    <definedName name="_Table2_In2" hidden="1">#REF!</definedName>
    <definedName name="_Table2_Out" localSheetId="9" hidden="1">#REF!</definedName>
    <definedName name="_Table2_Out" localSheetId="7" hidden="1">#REF!</definedName>
    <definedName name="_Table2_Out" localSheetId="10" hidden="1">#REF!</definedName>
    <definedName name="_Table2_Out" hidden="1">#REF!</definedName>
    <definedName name="á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aaaa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aaaaa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aaaaaaaaaaaaa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aaaaaaaaaaaaaa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Access_Button" hidden="1">"FIGBUS_FIGBUS_List"</definedName>
    <definedName name="AccessDatabase" hidden="1">"C:\Documents and Settings\Stassovsky\My Documents\MF\Current\2001 PROJECT N_1.mdb"</definedName>
    <definedName name="adsfg" hidden="1">{"client cfbs",#N/A,FALSE,"Client"}</definedName>
    <definedName name="adsfh" hidden="1">{"client cfbs",#N/A,FALSE,"Client"}</definedName>
    <definedName name="anscount" hidden="1">1</definedName>
    <definedName name="AS2DocOpenMode" hidden="1">"AS2DocumentBrowse"</definedName>
    <definedName name="AS2NamedRange" hidden="1">5</definedName>
    <definedName name="asd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asdh" hidden="1">{"client cfbs",#N/A,FALSE,"Client"}</definedName>
    <definedName name="asfas" hidden="1">{0,0,"",0}</definedName>
    <definedName name="b" hidden="1">{"glc1",#N/A,FALSE,"GLC";"glc2",#N/A,FALSE,"GLC";"glc3",#N/A,FALSE,"GLC";"glc4",#N/A,FALSE,"GLC";"glc5",#N/A,FALSE,"GLC"}</definedName>
    <definedName name="BLPH1" localSheetId="9" hidden="1">'[1]Share Price 2002'!#REF!</definedName>
    <definedName name="BLPH1" localSheetId="7" hidden="1">'[1]Share Price 2002'!#REF!</definedName>
    <definedName name="BLPH1" localSheetId="10" hidden="1">'[1]Share Price 2002'!#REF!</definedName>
    <definedName name="BLPH1" hidden="1">'[1]Share Price 2002'!#REF!</definedName>
    <definedName name="BLPH2" localSheetId="9" hidden="1">'[1]Share Price 2002'!#REF!</definedName>
    <definedName name="BLPH2" localSheetId="7" hidden="1">'[1]Share Price 2002'!#REF!</definedName>
    <definedName name="BLPH2" localSheetId="10" hidden="1">'[1]Share Price 2002'!#REF!</definedName>
    <definedName name="BLPH2" hidden="1">'[1]Share Price 2002'!#REF!</definedName>
    <definedName name="central_rozdil" hidden="1">{#N/A,#N/A,FALSE,"Aging Summary";#N/A,#N/A,FALSE,"Ratio Analysis";#N/A,#N/A,FALSE,"Test 120 Day Accts";#N/A,#N/A,FALSE,"Tickmarks"}</definedName>
    <definedName name="CIQWBGuid" hidden="1">"108fb342-ecde-4735-8181-9c0c08d62c9a"</definedName>
    <definedName name="Data" hidden="1">{#N/A,#N/A,FALSE,"Sales"}</definedName>
    <definedName name="data1" hidden="1">{#N/A,#N/A,FALSE,"Sales"}</definedName>
    <definedName name="ddd" localSheetId="9" hidden="1">[2]Assumptions!#REF!</definedName>
    <definedName name="ddd" localSheetId="7" hidden="1">[2]Assumptions!#REF!</definedName>
    <definedName name="ddd" localSheetId="10" hidden="1">[2]Assumptions!#REF!</definedName>
    <definedName name="ddd" hidden="1">[2]Assumptions!#REF!</definedName>
    <definedName name="ddddd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ddddddd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ddddddddd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é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ee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eee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eeeeeeee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eeeeeeeeee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eeeeeeeeeeeeeeee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Erase" hidden="1">{"summary report",#N/A,FALSE,"SUMMARY REPORT";"salary model ytd",#N/A,FALSE,"SALARY MODEL - YTD";"salary model mtd",#N/A,FALSE,"SALARY MODEL - MTD";"detail 311",#N/A,FALSE,"311 ACTUAL"}</definedName>
    <definedName name="f" hidden="1">{#N/A,#N/A,FALSE,"Титул_ОСН";#N/A,#N/A,FALSE,"Итоги";#N/A,#N/A,FALSE,"Источники";#N/A,#N/A,FALSE,"ПрочПродажи";#N/A,#N/A,FALSE,"ЗП";#N/A,#N/A,FALSE,"Налоги";#N/A,#N/A,FALSE,"Энерго";#N/A,#N/A,FALSE,"Сырьё";#N/A,#N/A,FALSE,"Снабжение";#N/A,#N/A,FALSE,"Оборудование";#N/A,#N/A,FALSE,"Транспорт";#N/A,#N/A,FALSE,"Коммерция";#N/A,#N/A,FALSE,"ТЕК_РЕМ";#N/A,#N/A,FALSE,"КАП_РЕМ";#N/A,#N/A,FALSE,"КАП_СТР";#N/A,#N/A,FALSE,"НИОКР";#N/A,#N/A,FALSE,"Кадры";#N/A,#N/A,FALSE,"СОЦ";#N/A,#N/A,FALSE,"НепромПр";#N/A,#N/A,FALSE,"ФИНАНСЫ";#N/A,#N/A,FALSE,"Прочие";#N/A,#N/A,FALSE,"Гаш_кредит";#N/A,#N/A,FALSE,"ФП"}</definedName>
    <definedName name="fd" hidden="1">{#N/A,#N/A,FALSE,"Sales"}</definedName>
    <definedName name="ff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fff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ffffff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fffffff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fffffffffff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fffffffffffffff" hidden="1">{"Страница 1",#N/A,FALSE,"Модель Интенсивника";"Страница 3",#N/A,FALSE,"Модель Интенсивника"}</definedName>
    <definedName name="ffffffffffffffff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fffffffffffffffff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fhjgh" hidden="1">{"glc1",#N/A,FALSE,"GLC";"glc2",#N/A,FALSE,"GLC";"glc3",#N/A,FALSE,"GLC";"glc4",#N/A,FALSE,"GLC";"glc5",#N/A,FALSE,"GLC"}</definedName>
    <definedName name="h" hidden="1">{"glc1",#N/A,FALSE,"GLC";"glc2",#N/A,FALSE,"GLC";"glc3",#N/A,FALSE,"GLC";"glc4",#N/A,FALSE,"GLC";"glc5",#N/A,FALSE,"GLC"}</definedName>
    <definedName name="HTML1_1" hidden="1">"'[Financials V2.01 Sub Sales Excite 4.xls]Income Statement'!$B$1:$AA$38"</definedName>
    <definedName name="HTML1_10" hidden="1">""</definedName>
    <definedName name="HTML1_11" hidden="1">1</definedName>
    <definedName name="HTML1_12" hidden="1">"C:\My Documents\Financials_01.htm"</definedName>
    <definedName name="HTML1_13" hidden="1">#N/A</definedName>
    <definedName name="HTML1_14" hidden="1">#N/A</definedName>
    <definedName name="HTML1_15" hidden="1">#N/A</definedName>
    <definedName name="HTML1_2" hidden="1">1</definedName>
    <definedName name="HTML1_3" hidden="1">"Financials V.1.0.2"</definedName>
    <definedName name="HTML1_4" hidden="1">"Income Statement"</definedName>
    <definedName name="HTML1_5" hidden="1">""</definedName>
    <definedName name="HTML1_6" hidden="1">-4146</definedName>
    <definedName name="HTML1_7" hidden="1">-4146</definedName>
    <definedName name="HTML1_8" hidden="1">"8/22/98"</definedName>
    <definedName name="HTML1_9" hidden="1">"Bill Nguyen"</definedName>
    <definedName name="HTML2_1" hidden="1">"'[Financials V2.01 Sub Sales Excite 4.xls]Income Statement'!$B$10:$AA$38"</definedName>
    <definedName name="HTML2_10" hidden="1">""</definedName>
    <definedName name="HTML2_11" hidden="1">1</definedName>
    <definedName name="HTML2_12" hidden="1">"C:\My Documents\financials.html"</definedName>
    <definedName name="HTML2_13" hidden="1">#N/A</definedName>
    <definedName name="HTML2_14" hidden="1">#N/A</definedName>
    <definedName name="HTML2_15" hidden="1">#N/A</definedName>
    <definedName name="HTML2_2" hidden="1">1</definedName>
    <definedName name="HTML2_3" hidden="1">"Financials"</definedName>
    <definedName name="HTML2_4" hidden="1">"Income Statement"</definedName>
    <definedName name="HTML2_5" hidden="1">""</definedName>
    <definedName name="HTML2_6" hidden="1">-4146</definedName>
    <definedName name="HTML2_7" hidden="1">1</definedName>
    <definedName name="HTML2_8" hidden="1">"8/22/98"</definedName>
    <definedName name="HTML2_9" hidden="1">"Bill Nguyen"</definedName>
    <definedName name="HTMLCount" hidden="1">2</definedName>
    <definedName name="ii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iokjhj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CAGR" hidden="1">"c6159"</definedName>
    <definedName name="IQ_ACCT_RECV_10YR_ANN_GROWTH" hidden="1">"c1924"</definedName>
    <definedName name="IQ_ACCT_RECV_1YR_ANN_GROWTH" hidden="1">"c1919"</definedName>
    <definedName name="IQ_ACCT_RECV_2YR_ANN_CAGR" hidden="1">"c6155"</definedName>
    <definedName name="IQ_ACCT_RECV_2YR_ANN_GROWTH" hidden="1">"c1920"</definedName>
    <definedName name="IQ_ACCT_RECV_3YR_ANN_CAGR" hidden="1">"c6156"</definedName>
    <definedName name="IQ_ACCT_RECV_3YR_ANN_GROWTH" hidden="1">"c1921"</definedName>
    <definedName name="IQ_ACCT_RECV_5YR_ANN_CAGR" hidden="1">"c6157"</definedName>
    <definedName name="IQ_ACCT_RECV_5YR_ANN_GROWTH" hidden="1">"c1922"</definedName>
    <definedName name="IQ_ACCT_RECV_7YR_ANN_CAGR" hidden="1">"c6158"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" hidden="1">"c6195"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CAGR" hidden="1">"c6035"</definedName>
    <definedName name="IQ_ALLOWANCE_10YR_ANN_GROWTH" hidden="1">"c18"</definedName>
    <definedName name="IQ_ALLOWANCE_1YR_ANN_GROWTH" hidden="1">"c19"</definedName>
    <definedName name="IQ_ALLOWANCE_2YR_ANN_CAGR" hidden="1">"c6036"</definedName>
    <definedName name="IQ_ALLOWANCE_2YR_ANN_GROWTH" hidden="1">"c20"</definedName>
    <definedName name="IQ_ALLOWANCE_3YR_ANN_CAGR" hidden="1">"c6037"</definedName>
    <definedName name="IQ_ALLOWANCE_3YR_ANN_GROWTH" hidden="1">"c21"</definedName>
    <definedName name="IQ_ALLOWANCE_5YR_ANN_CAGR" hidden="1">"c6038"</definedName>
    <definedName name="IQ_ALLOWANCE_5YR_ANN_GROWTH" hidden="1">"c22"</definedName>
    <definedName name="IQ_ALLOWANCE_7YR_ANN_CAGR" hidden="1">"c6039"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" hidden="1">"c6196"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" hidden="1">"c6197"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" hidden="1">"c6198"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" hidden="1">"c6199"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EMPLOYEES" hidden="1">"c6019"</definedName>
    <definedName name="IQ_AVG_INDUSTRY_REC" hidden="1">"c4455"</definedName>
    <definedName name="IQ_AVG_INT_BEAR_LIAB" hidden="1">"c66"</definedName>
    <definedName name="IQ_AVG_INT_BEAR_LIAB_10YR_ANN_CAGR" hidden="1">"c6040"</definedName>
    <definedName name="IQ_AVG_INT_BEAR_LIAB_10YR_ANN_GROWTH" hidden="1">"c67"</definedName>
    <definedName name="IQ_AVG_INT_BEAR_LIAB_1YR_ANN_GROWTH" hidden="1">"c68"</definedName>
    <definedName name="IQ_AVG_INT_BEAR_LIAB_2YR_ANN_CAGR" hidden="1">"c6041"</definedName>
    <definedName name="IQ_AVG_INT_BEAR_LIAB_2YR_ANN_GROWTH" hidden="1">"c69"</definedName>
    <definedName name="IQ_AVG_INT_BEAR_LIAB_3YR_ANN_CAGR" hidden="1">"c6042"</definedName>
    <definedName name="IQ_AVG_INT_BEAR_LIAB_3YR_ANN_GROWTH" hidden="1">"c70"</definedName>
    <definedName name="IQ_AVG_INT_BEAR_LIAB_5YR_ANN_CAGR" hidden="1">"c6043"</definedName>
    <definedName name="IQ_AVG_INT_BEAR_LIAB_5YR_ANN_GROWTH" hidden="1">"c71"</definedName>
    <definedName name="IQ_AVG_INT_BEAR_LIAB_7YR_ANN_CAGR" hidden="1">"c6044"</definedName>
    <definedName name="IQ_AVG_INT_BEAR_LIAB_7YR_ANN_GROWTH" hidden="1">"c72"</definedName>
    <definedName name="IQ_AVG_INT_EARN_ASSETS" hidden="1">"c73"</definedName>
    <definedName name="IQ_AVG_INT_EARN_ASSETS_10YR_ANN_CAGR" hidden="1">"c6045"</definedName>
    <definedName name="IQ_AVG_INT_EARN_ASSETS_10YR_ANN_GROWTH" hidden="1">"c74"</definedName>
    <definedName name="IQ_AVG_INT_EARN_ASSETS_1YR_ANN_GROWTH" hidden="1">"c75"</definedName>
    <definedName name="IQ_AVG_INT_EARN_ASSETS_2YR_ANN_CAGR" hidden="1">"c6046"</definedName>
    <definedName name="IQ_AVG_INT_EARN_ASSETS_2YR_ANN_GROWTH" hidden="1">"c76"</definedName>
    <definedName name="IQ_AVG_INT_EARN_ASSETS_3YR_ANN_CAGR" hidden="1">"c6047"</definedName>
    <definedName name="IQ_AVG_INT_EARN_ASSETS_3YR_ANN_GROWTH" hidden="1">"c77"</definedName>
    <definedName name="IQ_AVG_INT_EARN_ASSETS_5YR_ANN_CAGR" hidden="1">"c6048"</definedName>
    <definedName name="IQ_AVG_INT_EARN_ASSETS_5YR_ANN_GROWTH" hidden="1">"c78"</definedName>
    <definedName name="IQ_AVG_INT_EARN_ASSETS_7YR_ANN_CAGR" hidden="1">"c6049"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MP_EMPLOYEES" hidden="1">"c6020"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ONDRATING_FITCH" hidden="1">"IQ_BONDRATING_FITCH"</definedName>
    <definedName name="IQ_BONDRATING_SP" hidden="1">"IQ_BONDRATING_SP"</definedName>
    <definedName name="IQ_BOOK_VALUE" hidden="1">"IQ_BOOK_VALUE"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OVER_SHARES" hidden="1">"c1349"</definedName>
    <definedName name="IQ_BV_SHARE" hidden="1">"c100"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CAGR" hidden="1">"c6050"</definedName>
    <definedName name="IQ_CAPEX_10YR_ANN_GROWTH" hidden="1">"c104"</definedName>
    <definedName name="IQ_CAPEX_1YR_ANN_GROWTH" hidden="1">"c105"</definedName>
    <definedName name="IQ_CAPEX_2YR_ANN_CAGR" hidden="1">"c6051"</definedName>
    <definedName name="IQ_CAPEX_2YR_ANN_GROWTH" hidden="1">"c106"</definedName>
    <definedName name="IQ_CAPEX_3YR_ANN_CAGR" hidden="1">"c6052"</definedName>
    <definedName name="IQ_CAPEX_3YR_ANN_GROWTH" hidden="1">"c107"</definedName>
    <definedName name="IQ_CAPEX_5YR_ANN_CAGR" hidden="1">"c6053"</definedName>
    <definedName name="IQ_CAPEX_5YR_ANN_GROWTH" hidden="1">"c108"</definedName>
    <definedName name="IQ_CAPEX_7YR_ANN_CAGR" hidden="1">"c6054"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"c1630"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FLOW_ACT_OR_EST" hidden="1">"c4154"</definedName>
    <definedName name="IQ_CASH_INTEREST" hidden="1">"c120"</definedName>
    <definedName name="IQ_CASH_INTEREST_FINAN" hidden="1">"c6295"</definedName>
    <definedName name="IQ_CASH_INTEREST_INVEST" hidden="1">"c6294"</definedName>
    <definedName name="IQ_CASH_INTEREST_OPER" hidden="1">"c6293"</definedName>
    <definedName name="IQ_CASH_INVEST" hidden="1">"c121"</definedName>
    <definedName name="IQ_CASH_OPER" hidden="1">"c122"</definedName>
    <definedName name="IQ_CASH_OPER_ACT_OR_EST" hidden="1">"c4164"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ASH_TAXES_FINAN" hidden="1">"c6292"</definedName>
    <definedName name="IQ_CASH_TAXES_INVEST" hidden="1">"c6291"</definedName>
    <definedName name="IQ_CASH_TAXES_OPER" hidden="1">"c6290"</definedName>
    <definedName name="IQ_CDS_ASK" hidden="1">"c6027"</definedName>
    <definedName name="IQ_CDS_BID" hidden="1">"c6026"</definedName>
    <definedName name="IQ_CDS_CURRENCY" hidden="1">"c6031"</definedName>
    <definedName name="IQ_CDS_EVAL_DATE" hidden="1">"c6029"</definedName>
    <definedName name="IQ_CDS_MID" hidden="1">"c6028"</definedName>
    <definedName name="IQ_CDS_NAME" hidden="1">"c6034"</definedName>
    <definedName name="IQ_CDS_TERM" hidden="1">"c6030"</definedName>
    <definedName name="IQ_CDS_TYPE" hidden="1">"c6025"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CAGR" hidden="1">"c6055"</definedName>
    <definedName name="IQ_CFO_10YR_ANN_GROWTH" hidden="1">"c126"</definedName>
    <definedName name="IQ_CFO_1YR_ANN_GROWTH" hidden="1">"c127"</definedName>
    <definedName name="IQ_CFO_2YR_ANN_CAGR" hidden="1">"c6056"</definedName>
    <definedName name="IQ_CFO_2YR_ANN_GROWTH" hidden="1">"c128"</definedName>
    <definedName name="IQ_CFO_3YR_ANN_CAGR" hidden="1">"c6057"</definedName>
    <definedName name="IQ_CFO_3YR_ANN_GROWTH" hidden="1">"c129"</definedName>
    <definedName name="IQ_CFO_5YR_ANN_CAGR" hidden="1">"c6058"</definedName>
    <definedName name="IQ_CFO_5YR_ANN_GROWTH" hidden="1">"c130"</definedName>
    <definedName name="IQ_CFO_7YR_ANN_CAGR" hidden="1">"c6059"</definedName>
    <definedName name="IQ_CFO_7YR_ANN_GROWTH" hidden="1">"c131"</definedName>
    <definedName name="IQ_CFO_CURRENT_LIAB" hidden="1">"c132"</definedName>
    <definedName name="IQ_CFPS_ACT_OR_EST" hidden="1">"c2217"</definedName>
    <definedName name="IQ_CFPS_EST" hidden="1">"c1667"</definedName>
    <definedName name="IQ_CFPS_HIGH_EST" hidden="1">"c1669"</definedName>
    <definedName name="IQ_CFPS_LOW_EST" hidden="1">"c1670"</definedName>
    <definedName name="IQ_CFPS_MEDIAN_EST" hidden="1">"c1668"</definedName>
    <definedName name="IQ_CFPS_NUM_EST" hidden="1">"c1671"</definedName>
    <definedName name="IQ_CFPS_STDDEV_EST" hidden="1">"c1672"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" hidden="1">"c6200"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" hidden="1">"c6201"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" hidden="1">"c6285"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ABLE_END_OS" hidden="1">"c5809"</definedName>
    <definedName name="IQ_CLASSA_OPTIONS_EXERCISED" hidden="1">"c2681"</definedName>
    <definedName name="IQ_CLASSA_OPTIONS_GRANTED" hidden="1">"c2680"</definedName>
    <definedName name="IQ_CLASSA_OPTIONS_STRIKE_PRICE_BEG_OS" hidden="1">"c5810"</definedName>
    <definedName name="IQ_CLASSA_OPTIONS_STRIKE_PRICE_CANCELLED" hidden="1">"c5812"</definedName>
    <definedName name="IQ_CLASSA_OPTIONS_STRIKE_PRICE_EXERCISABLE" hidden="1">"c5813"</definedName>
    <definedName name="IQ_CLASSA_OPTIONS_STRIKE_PRICE_EXERCISED" hidden="1">"c5811"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" hidden="1">"c6202"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CAGR" hidden="1">"c6060"</definedName>
    <definedName name="IQ_COMMON_EQUITY_10YR_ANN_GROWTH" hidden="1">"c191"</definedName>
    <definedName name="IQ_COMMON_EQUITY_1YR_ANN_GROWTH" hidden="1">"c192"</definedName>
    <definedName name="IQ_COMMON_EQUITY_2YR_ANN_CAGR" hidden="1">"c6061"</definedName>
    <definedName name="IQ_COMMON_EQUITY_2YR_ANN_GROWTH" hidden="1">"c193"</definedName>
    <definedName name="IQ_COMMON_EQUITY_3YR_ANN_CAGR" hidden="1">"c6062"</definedName>
    <definedName name="IQ_COMMON_EQUITY_3YR_ANN_GROWTH" hidden="1">"c194"</definedName>
    <definedName name="IQ_COMMON_EQUITY_5YR_ANN_CAGR" hidden="1">"c6063"</definedName>
    <definedName name="IQ_COMMON_EQUITY_5YR_ANN_GROWTH" hidden="1">"c195"</definedName>
    <definedName name="IQ_COMMON_EQUITY_7YR_ANN_CAGR" hidden="1">"c6064"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" hidden="1">"c6203"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" hidden="1">"c6204"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TRACTS_OTHER_COMMODITIES_EQUITIES._FDIC" hidden="1">"c6522"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E" hidden="1">"c2192"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" hidden="1">"c6205"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" hidden="1">"c6283"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USIP" hidden="1">"c2245"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" hidden="1">"c6206"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" hidden="1">"c6207"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" hidden="1">"c6208"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" hidden="1">"c6209"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" hidden="1">"c6210"</definedName>
    <definedName name="IQ_DEF_CHARGES_LT_REIT" hidden="1">"c297"</definedName>
    <definedName name="IQ_DEF_CHARGES_LT_UTI" hidden="1">"c298"</definedName>
    <definedName name="IQ_DEF_CHARGES_RE" hidden="1">"c6211"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" hidden="1">"c6212"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" hidden="1">"c6213"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NTM" hidden="1">700000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OC_CLAUSE" hidden="1">"c6032"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CAGR" hidden="1">"c6065"</definedName>
    <definedName name="IQ_DPS_10YR_ANN_GROWTH" hidden="1">"c337"</definedName>
    <definedName name="IQ_DPS_1YR_ANN_GROWTH" hidden="1">"c338"</definedName>
    <definedName name="IQ_DPS_2YR_ANN_CAGR" hidden="1">"c6066"</definedName>
    <definedName name="IQ_DPS_2YR_ANN_GROWTH" hidden="1">"c339"</definedName>
    <definedName name="IQ_DPS_3YR_ANN_CAGR" hidden="1">"c6067"</definedName>
    <definedName name="IQ_DPS_3YR_ANN_GROWTH" hidden="1">"c340"</definedName>
    <definedName name="IQ_DPS_5YR_ANN_CAGR" hidden="1">"c6068"</definedName>
    <definedName name="IQ_DPS_5YR_ANN_GROWTH" hidden="1">"c341"</definedName>
    <definedName name="IQ_DPS_7YR_ANN_CAGR" hidden="1">"c6069"</definedName>
    <definedName name="IQ_DPS_7YR_ANN_GROWTH" hidden="1">"c342"</definedName>
    <definedName name="IQ_DPS_ACT_OR_EST" hidden="1">"c2218"</definedName>
    <definedName name="IQ_DPS_EST" hidden="1">"c1674"</definedName>
    <definedName name="IQ_DPS_HIGH_EST" hidden="1">"c1676"</definedName>
    <definedName name="IQ_DPS_LOW_EST" hidden="1">"c1677"</definedName>
    <definedName name="IQ_DPS_MEDIAN_EST" hidden="1">"c1675"</definedName>
    <definedName name="IQ_DPS_NUM_EST" hidden="1">"c1678"</definedName>
    <definedName name="IQ_DPS_STDDEV_EST" hidden="1">"c1679"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CAGR" hidden="1">"c6070"</definedName>
    <definedName name="IQ_EARNING_CO_10YR_ANN_GROWTH" hidden="1">"c345"</definedName>
    <definedName name="IQ_EARNING_CO_1YR_ANN_GROWTH" hidden="1">"c346"</definedName>
    <definedName name="IQ_EARNING_CO_2YR_ANN_CAGR" hidden="1">"c6071"</definedName>
    <definedName name="IQ_EARNING_CO_2YR_ANN_GROWTH" hidden="1">"c347"</definedName>
    <definedName name="IQ_EARNING_CO_3YR_ANN_CAGR" hidden="1">"c6072"</definedName>
    <definedName name="IQ_EARNING_CO_3YR_ANN_GROWTH" hidden="1">"c348"</definedName>
    <definedName name="IQ_EARNING_CO_5YR_ANN_CAGR" hidden="1">"c6073"</definedName>
    <definedName name="IQ_EARNING_CO_5YR_ANN_GROWTH" hidden="1">"c349"</definedName>
    <definedName name="IQ_EARNING_CO_7YR_ANN_CAGR" hidden="1">"c6074"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K" hidden="1">"IQ_EBIT_10K"</definedName>
    <definedName name="IQ_EBIT_10Q" hidden="1">"IQ_EBIT_10Q"</definedName>
    <definedName name="IQ_EBIT_10Q1" hidden="1">"IQ_EBIT_10Q1"</definedName>
    <definedName name="IQ_EBIT_10YR_ANN_CAGR" hidden="1">"c6075"</definedName>
    <definedName name="IQ_EBIT_10YR_ANN_GROWTH" hidden="1">"c353"</definedName>
    <definedName name="IQ_EBIT_1YR_ANN_GROWTH" hidden="1">"c354"</definedName>
    <definedName name="IQ_EBIT_2YR_ANN_CAGR" hidden="1">"c6076"</definedName>
    <definedName name="IQ_EBIT_2YR_ANN_GROWTH" hidden="1">"c355"</definedName>
    <definedName name="IQ_EBIT_3YR_ANN_CAGR" hidden="1">"c6077"</definedName>
    <definedName name="IQ_EBIT_3YR_ANN_GROWTH" hidden="1">"c356"</definedName>
    <definedName name="IQ_EBIT_5YR_ANN_CAGR" hidden="1">"c6078"</definedName>
    <definedName name="IQ_EBIT_5YR_ANN_GROWTH" hidden="1">"c357"</definedName>
    <definedName name="IQ_EBIT_7YR_ANN_CAGR" hidden="1">"c6079"</definedName>
    <definedName name="IQ_EBIT_7YR_ANN_GROWTH" hidden="1">"c358"</definedName>
    <definedName name="IQ_EBIT_ACT_OR_EST" hidden="1">"c2219"</definedName>
    <definedName name="IQ_EBIT_EQ_INC" hidden="1">"c3498"</definedName>
    <definedName name="IQ_EBIT_EQ_INC_EXCL_SBC" hidden="1">"c3502"</definedName>
    <definedName name="IQ_EBIT_EST" hidden="1">"c1681"</definedName>
    <definedName name="IQ_EBIT_EXCL_SBC" hidden="1">"c3082"</definedName>
    <definedName name="IQ_EBIT_GROWTH_1" hidden="1">"IQ_EBIT_GROWTH_1"</definedName>
    <definedName name="IQ_EBIT_GROWTH_2" hidden="1">"IQ_EBIT_GROWTH_2"</definedName>
    <definedName name="IQ_EBIT_GW_ACT_OR_EST" hidden="1">"c4306"</definedName>
    <definedName name="IQ_EBIT_HIGH_EST" hidden="1">"c1683"</definedName>
    <definedName name="IQ_EBIT_INT" hidden="1">"c360"</definedName>
    <definedName name="IQ_EBIT_LOW_EST" hidden="1">"c1684"</definedName>
    <definedName name="IQ_EBIT_MARGIN" hidden="1">"c359"</definedName>
    <definedName name="IQ_EBIT_MEDIAN_EST" hidden="1">"c1682"</definedName>
    <definedName name="IQ_EBIT_NUM_EST" hidden="1">"c1685"</definedName>
    <definedName name="IQ_EBIT_OVER_IE" hidden="1">"c1369"</definedName>
    <definedName name="IQ_EBIT_SBC_ACT_OR_EST" hidden="1">"c4316"</definedName>
    <definedName name="IQ_EBIT_SBC_GW_ACT_OR_EST" hidden="1">"c4320"</definedName>
    <definedName name="IQ_EBIT_STDDEV_EST" hidden="1">"c1686"</definedName>
    <definedName name="IQ_EBITA" hidden="1">"c1910"</definedName>
    <definedName name="IQ_EBITA_10YR_ANN_CAGR" hidden="1">"c6184"</definedName>
    <definedName name="IQ_EBITA_10YR_ANN_GROWTH" hidden="1">"c1954"</definedName>
    <definedName name="IQ_EBITA_1YR_ANN_GROWTH" hidden="1">"c1949"</definedName>
    <definedName name="IQ_EBITA_2YR_ANN_CAGR" hidden="1">"c6180"</definedName>
    <definedName name="IQ_EBITA_2YR_ANN_GROWTH" hidden="1">"c1950"</definedName>
    <definedName name="IQ_EBITA_3YR_ANN_CAGR" hidden="1">"c6181"</definedName>
    <definedName name="IQ_EBITA_3YR_ANN_GROWTH" hidden="1">"c1951"</definedName>
    <definedName name="IQ_EBITA_5YR_ANN_CAGR" hidden="1">"c6182"</definedName>
    <definedName name="IQ_EBITA_5YR_ANN_GROWTH" hidden="1">"c1952"</definedName>
    <definedName name="IQ_EBITA_7YR_ANN_CAGR" hidden="1">"c6183"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K" hidden="1">"IQ_EBITDA_10K"</definedName>
    <definedName name="IQ_EBITDA_10Q" hidden="1">"IQ_EBITDA_10Q"</definedName>
    <definedName name="IQ_EBITDA_10Q1" hidden="1">"IQ_EBITDA_10Q1"</definedName>
    <definedName name="IQ_EBITDA_10YR_ANN_CAGR" hidden="1">"c6080"</definedName>
    <definedName name="IQ_EBITDA_10YR_ANN_GROWTH" hidden="1">"c362"</definedName>
    <definedName name="IQ_EBITDA_1YR_ANN_GROWTH" hidden="1">"c363"</definedName>
    <definedName name="IQ_EBITDA_2YR_ANN_CAGR" hidden="1">"c6081"</definedName>
    <definedName name="IQ_EBITDA_2YR_ANN_GROWTH" hidden="1">"c364"</definedName>
    <definedName name="IQ_EBITDA_3YR_ANN_CAGR" hidden="1">"c6082"</definedName>
    <definedName name="IQ_EBITDA_3YR_ANN_GROWTH" hidden="1">"c365"</definedName>
    <definedName name="IQ_EBITDA_5YR_ANN_CAGR" hidden="1">"c6083"</definedName>
    <definedName name="IQ_EBITDA_5YR_ANN_GROWTH" hidden="1">"c366"</definedName>
    <definedName name="IQ_EBITDA_7YR_ANN_CAGR" hidden="1">"c6084"</definedName>
    <definedName name="IQ_EBITDA_7YR_ANN_GROWTH" hidden="1">"c367"</definedName>
    <definedName name="IQ_EBITDA_ACT_OR_EST" hidden="1">"c2215"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ROWTH_1" hidden="1">"IQ_EBITDA_GROWTH_1"</definedName>
    <definedName name="IQ_EBITDA_GROWTH_2" hidden="1">"IQ_EBITDA_GROWTH_2"</definedName>
    <definedName name="IQ_EBITDA_HIGH_EST" hidden="1">"c370"</definedName>
    <definedName name="IQ_EBITDA_HIGH_EST_REUT" hidden="1">"c3642"</definedName>
    <definedName name="IQ_EBITDA_INT" hidden="1">"c373"</definedName>
    <definedName name="IQ_EBITDA_LOW_EST" hidden="1">"c371"</definedName>
    <definedName name="IQ_EBITDA_LOW_EST_REUT" hidden="1">"c3643"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"c1371"</definedName>
    <definedName name="IQ_EBITDA_SBC_ACT_OR_EST" hidden="1">"c4337"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" hidden="1">"c6214"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" hidden="1">"c6215"</definedName>
    <definedName name="IQ_EBT_REIT" hidden="1">"c389"</definedName>
    <definedName name="IQ_EBT_SBC_ACT_OR_EST" hidden="1">"c4350"</definedName>
    <definedName name="IQ_EBT_SBC_GW_ACT_OR_EST" hidden="1">"c4354"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" hidden="1">"IQ_EPS"</definedName>
    <definedName name="IQ_EPS_10K" hidden="1">"IQ_EPS_10K"</definedName>
    <definedName name="IQ_EPS_10Q" hidden="1">"IQ_EPS_10Q"</definedName>
    <definedName name="IQ_EPS_10Q1" hidden="1">"IQ_EPS_10Q1"</definedName>
    <definedName name="IQ_EPS_10YR_ANN_CAGR" hidden="1">"c6085"</definedName>
    <definedName name="IQ_EPS_10YR_ANN_GROWTH" hidden="1">"c393"</definedName>
    <definedName name="IQ_EPS_1YR_ANN_GROWTH" hidden="1">"c394"</definedName>
    <definedName name="IQ_EPS_2YR_ANN_CAGR" hidden="1">"c6086"</definedName>
    <definedName name="IQ_EPS_2YR_ANN_GROWTH" hidden="1">"c395"</definedName>
    <definedName name="IQ_EPS_3YR_ANN_CAGR" hidden="1">"c6087"</definedName>
    <definedName name="IQ_EPS_3YR_ANN_GROWTH" hidden="1">"c396"</definedName>
    <definedName name="IQ_EPS_5YR_ANN_CAGR" hidden="1">"c6088"</definedName>
    <definedName name="IQ_EPS_5YR_ANN_GROWTH" hidden="1">"c397"</definedName>
    <definedName name="IQ_EPS_7YR_ANN_CAGR" hidden="1">"c6089"</definedName>
    <definedName name="IQ_EPS_7YR_ANN_GROWTH" hidden="1">"c398"</definedName>
    <definedName name="IQ_EPS_ACT_OR_EST" hidden="1">"c2213"</definedName>
    <definedName name="IQ_EPS_EST" hidden="1">"c399"</definedName>
    <definedName name="IQ_EPS_EST_1" hidden="1">"IQ_EPS_EST_1"</definedName>
    <definedName name="IQ_EPS_EST_REUT" hidden="1">"c5453"</definedName>
    <definedName name="IQ_EPS_GW_ACT_OR_EST" hidden="1">"c2223"</definedName>
    <definedName name="IQ_EPS_GW_EST" hidden="1">"c1737"</definedName>
    <definedName name="IQ_EPS_GW_EST_REUT" hidden="1">"c5389"</definedName>
    <definedName name="IQ_EPS_GW_HIGH_EST" hidden="1">"c1739"</definedName>
    <definedName name="IQ_EPS_GW_HIGH_EST_REUT" hidden="1">"c5391"</definedName>
    <definedName name="IQ_EPS_GW_LOW_EST" hidden="1">"c1740"</definedName>
    <definedName name="IQ_EPS_GW_LOW_EST_REUT" hidden="1">"c5392"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ED_EST" hidden="1">"c1744"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GW_ACT_OR_EST" hidden="1">"c4380"</definedName>
    <definedName name="IQ_EPS_STDDEV_EST" hidden="1">"c403"</definedName>
    <definedName name="IQ_EPS_STDDEV_EST_REUT" hidden="1">"c5452"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CFPS" hidden="1">"c1673"</definedName>
    <definedName name="IQ_EST_ACT_DPS" hidden="1">"c1680"</definedName>
    <definedName name="IQ_EST_ACT_EBIT" hidden="1">"c1687"</definedName>
    <definedName name="IQ_EST_ACT_EBITDA" hidden="1">"c1664"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FFO" hidden="1">"c1666"</definedName>
    <definedName name="IQ_EST_ACT_NAV" hidden="1">"c1757"</definedName>
    <definedName name="IQ_EST_ACT_NI" hidden="1">"c1722"</definedName>
    <definedName name="IQ_EST_ACT_NI_GW" hidden="1">"c1729"</definedName>
    <definedName name="IQ_EST_ACT_NI_REPORTED" hidden="1">"c1736"</definedName>
    <definedName name="IQ_EST_ACT_OPER_INC" hidden="1">"c1694"</definedName>
    <definedName name="IQ_EST_ACT_PRETAX_GW_INC" hidden="1">"c1708"</definedName>
    <definedName name="IQ_EST_ACT_PRETAX_INC" hidden="1">"c1701"</definedName>
    <definedName name="IQ_EST_ACT_PRETAX_REPORT_INC" hidden="1">"c1715"</definedName>
    <definedName name="IQ_EST_ACT_REV" hidden="1">"c2113"</definedName>
    <definedName name="IQ_EST_CFPS_DIFF" hidden="1">"c1871"</definedName>
    <definedName name="IQ_EST_CFPS_GROWTH_1YR" hidden="1">"c1774"</definedName>
    <definedName name="IQ_EST_CFPS_GROWTH_2YR" hidden="1">"c1775"</definedName>
    <definedName name="IQ_EST_CFPS_GROWTH_Q_1YR" hidden="1">"c1776"</definedName>
    <definedName name="IQ_EST_CFPS_SEQ_GROWTH_Q" hidden="1">"c1777"</definedName>
    <definedName name="IQ_EST_CFPS_SURPRISE_PERCENT" hidden="1">"c1872"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PS_DIFF" hidden="1">"c1873"</definedName>
    <definedName name="IQ_EST_DPS_GROWTH_1YR" hidden="1">"c1778"</definedName>
    <definedName name="IQ_EST_DPS_GROWTH_2YR" hidden="1">"c1779"</definedName>
    <definedName name="IQ_EST_DPS_GROWTH_Q_1YR" hidden="1">"c1780"</definedName>
    <definedName name="IQ_EST_DPS_SEQ_GROWTH_Q" hidden="1">"c1781"</definedName>
    <definedName name="IQ_EST_DPS_SURPRISE_PERCENT" hidden="1">"c1874"</definedName>
    <definedName name="IQ_EST_EBIT_DIFF" hidden="1">"c1875"</definedName>
    <definedName name="IQ_EST_EBIT_SURPRISE_PERCENT" hidden="1">"c1876"</definedName>
    <definedName name="IQ_EST_EBITDA_DIFF" hidden="1">"c1867"</definedName>
    <definedName name="IQ_EST_EBITDA_GROWTH_1YR" hidden="1">"c1766"</definedName>
    <definedName name="IQ_EST_EBITDA_GROWTH_2YR" hidden="1">"c1767"</definedName>
    <definedName name="IQ_EST_EBITDA_GROWTH_Q_1YR" hidden="1">"c1768"</definedName>
    <definedName name="IQ_EST_EBITDA_SEQ_GROWTH_Q" hidden="1">"c1769"</definedName>
    <definedName name="IQ_EST_EBITDA_SURPRISE_PERCENT" hidden="1">"c1868"</definedName>
    <definedName name="IQ_EST_EPS_DIFF" hidden="1">"c1864"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5YR" hidden="1">"c1655"</definedName>
    <definedName name="IQ_EST_EPS_GROWTH_5YR_HIGH" hidden="1">"c1657"</definedName>
    <definedName name="IQ_EST_EPS_GROWTH_5YR_LOW" hidden="1">"c1658"</definedName>
    <definedName name="IQ_EST_EPS_GROWTH_5YR_MEDIAN" hidden="1">"c1656"</definedName>
    <definedName name="IQ_EST_EPS_GROWTH_5YR_NUM" hidden="1">"c1659"</definedName>
    <definedName name="IQ_EST_EPS_GROWTH_5YR_REUT" hidden="1">"c3633"</definedName>
    <definedName name="IQ_EST_EPS_GROWTH_5YR_STDDEV" hidden="1">"c1660"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EQ_GROWTH_Q" hidden="1">"c1764"</definedName>
    <definedName name="IQ_EST_EPS_SURPRISE" hidden="1">"c1635"</definedName>
    <definedName name="IQ_EST_EPS_SURPRISE_PERCENT" hidden="1">"c1635"</definedName>
    <definedName name="IQ_EST_FFO_DIFF" hidden="1">"c1869"</definedName>
    <definedName name="IQ_EST_FFO_GROWTH_1YR" hidden="1">"c1770"</definedName>
    <definedName name="IQ_EST_FFO_GROWTH_2YR" hidden="1">"c1771"</definedName>
    <definedName name="IQ_EST_FFO_GROWTH_Q_1YR" hidden="1">"c1772"</definedName>
    <definedName name="IQ_EST_FFO_SEQ_GROWTH_Q" hidden="1">"c1773"</definedName>
    <definedName name="IQ_EST_FFO_SURPRISE_PERCENT" hidden="1">"c1870"</definedName>
    <definedName name="IQ_EST_NAV_DIFF" hidden="1">"c1895"</definedName>
    <definedName name="IQ_EST_NAV_SURPRISE_PERCENT" hidden="1">"c1896"</definedName>
    <definedName name="IQ_EST_NI_DIFF" hidden="1">"c1885"</definedName>
    <definedName name="IQ_EST_NI_GW_DIFF" hidden="1">"c1887"</definedName>
    <definedName name="IQ_EST_NI_GW_SURPRISE_PERCENT" hidden="1">"c1888"</definedName>
    <definedName name="IQ_EST_NI_REPORT_DIFF" hidden="1">"c1889"</definedName>
    <definedName name="IQ_EST_NI_REPORT_SURPRISE_PERCENT" hidden="1">"c1890"</definedName>
    <definedName name="IQ_EST_NI_SURPRISE_PERCENT" hidden="1">"c1886"</definedName>
    <definedName name="IQ_EST_NUM_BUY" hidden="1">"c1759"</definedName>
    <definedName name="IQ_EST_NUM_HOLD" hidden="1">"c1761"</definedName>
    <definedName name="IQ_EST_NUM_NO_OPINION" hidden="1">"c1758"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SURPRISE_PERCENT" hidden="1">"c1878"</definedName>
    <definedName name="IQ_EST_PRE_TAX_DIFF" hidden="1">"c1879"</definedName>
    <definedName name="IQ_EST_PRE_TAX_GW_DIFF" hidden="1">"c1881"</definedName>
    <definedName name="IQ_EST_PRE_TAX_GW_SURPRISE_PERCENT" hidden="1">"c1882"</definedName>
    <definedName name="IQ_EST_PRE_TAX_REPORT_DIFF" hidden="1">"c1883"</definedName>
    <definedName name="IQ_EST_PRE_TAX_REPORT_SURPRISE_PERCENT" hidden="1">"c1884"</definedName>
    <definedName name="IQ_EST_PRE_TAX_SURPRISE_PERCENT" hidden="1">"c1880"</definedName>
    <definedName name="IQ_EST_REV_DIFF" hidden="1">"c1865"</definedName>
    <definedName name="IQ_EST_REV_GROWTH_1YR" hidden="1">"c1638"</definedName>
    <definedName name="IQ_EST_REV_GROWTH_2YR" hidden="1">"c1639"</definedName>
    <definedName name="IQ_EST_REV_GROWTH_Q_1YR" hidden="1">"c1640"</definedName>
    <definedName name="IQ_EST_REV_SEQ_GROWTH_Q" hidden="1">"c1765"</definedName>
    <definedName name="IQ_EST_REV_SURPRISE_PERCENT" hidden="1">"c1866"</definedName>
    <definedName name="IQ_EST_VENDOR" hidden="1">"c5564"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_OVER_REVENUE_EST" hidden="1">"IQ_EV_OVER_REVENUE_EST"</definedName>
    <definedName name="IQ_EV_OVER_REVENUE_EST_1" hidden="1">"IQ_EV_OVER_REVENUE_EST_1"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" hidden="1">"c6216"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EST" hidden="1">"c418"</definedName>
    <definedName name="IQ_FFO_HIGH_EST" hidden="1">"c419"</definedName>
    <definedName name="IQ_FFO_LOW_EST" hidden="1">"c420"</definedName>
    <definedName name="IQ_FFO_MEDIAN_EST" hidden="1">"c1665"</definedName>
    <definedName name="IQ_FFO_NUM_EST" hidden="1">"c421"</definedName>
    <definedName name="IQ_FFO_PAYOUT_RATIO" hidden="1">"c3492"</definedName>
    <definedName name="IQ_FFO_SHARE_ACT_OR_EST" hidden="1">"c4446"</definedName>
    <definedName name="IQ_FFO_STDDEV_EST" hidden="1">"c422"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ASH_EQUIV" hidden="1">"c6289"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_DIV_ST_INVEST" hidden="1">"c6288"</definedName>
    <definedName name="IQ_FINANCING_CASH" hidden="1">"c1405"</definedName>
    <definedName name="IQ_FINANCING_CASH_SUPPL" hidden="1">"c1406"</definedName>
    <definedName name="IQ_FINANCING_OBLIG_CURRENT" hidden="1">"c6190"</definedName>
    <definedName name="IQ_FINANCING_OBLIG_NON_CURRENT" hidden="1">"c6191"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BRANCHES_U.S._BANKS_LOANS_FDIC" hidden="1">"c6438"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" hidden="1">"LTM"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WD_Q3" hidden="1">"504"</definedName>
    <definedName name="IQ_FWD_Q4" hidden="1">"505"</definedName>
    <definedName name="IQ_FWD_Q5" hidden="1">"506"</definedName>
    <definedName name="IQ_FWD_Q6" hidden="1">"507"</definedName>
    <definedName name="IQ_FWD_Q7" hidden="1">"508"</definedName>
    <definedName name="IQ_FWD1" hidden="1">"LTM"</definedName>
    <definedName name="IQ_FX" hidden="1">"c451"</definedName>
    <definedName name="IQ_FY" hidden="1">1000</definedName>
    <definedName name="IQ_FY_DATE" hidden="1">"IQ_FY_DATE"</definedName>
    <definedName name="IQ_GA_EXP" hidden="1">"c2241"</definedName>
    <definedName name="IQ_GAAP_IS" hidden="1">"c6194"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" hidden="1">"c6217"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" hidden="1">"c6218"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" hidden="1">"c6219"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" hidden="1">"c6220"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" hidden="1">"c6278"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" hidden="1">"c6221"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"c1380"</definedName>
    <definedName name="IQ_GP" hidden="1">"c511"</definedName>
    <definedName name="IQ_GP_10YR_ANN_CAGR" hidden="1">"c6090"</definedName>
    <definedName name="IQ_GP_10YR_ANN_GROWTH" hidden="1">"c512"</definedName>
    <definedName name="IQ_GP_1YR_ANN_GROWTH" hidden="1">"c513"</definedName>
    <definedName name="IQ_GP_2YR_ANN_CAGR" hidden="1">"c6091"</definedName>
    <definedName name="IQ_GP_2YR_ANN_GROWTH" hidden="1">"c514"</definedName>
    <definedName name="IQ_GP_3YR_ANN_CAGR" hidden="1">"c6092"</definedName>
    <definedName name="IQ_GP_3YR_ANN_GROWTH" hidden="1">"c515"</definedName>
    <definedName name="IQ_GP_5YR_ANN_CAGR" hidden="1">"c6093"</definedName>
    <definedName name="IQ_GP_5YR_ANN_GROWTH" hidden="1">"c516"</definedName>
    <definedName name="IQ_GP_7YR_ANN_CAGR" hidden="1">"c6094"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CAGR" hidden="1">"c6095"</definedName>
    <definedName name="IQ_GROSS_LOANS_10YR_ANN_GROWTH" hidden="1">"c522"</definedName>
    <definedName name="IQ_GROSS_LOANS_1YR_ANN_GROWTH" hidden="1">"c523"</definedName>
    <definedName name="IQ_GROSS_LOANS_2YR_ANN_CAGR" hidden="1">"c6096"</definedName>
    <definedName name="IQ_GROSS_LOANS_2YR_ANN_GROWTH" hidden="1">"c524"</definedName>
    <definedName name="IQ_GROSS_LOANS_3YR_ANN_CAGR" hidden="1">"c6097"</definedName>
    <definedName name="IQ_GROSS_LOANS_3YR_ANN_GROWTH" hidden="1">"c525"</definedName>
    <definedName name="IQ_GROSS_LOANS_5YR_ANN_CAGR" hidden="1">"c6098"</definedName>
    <definedName name="IQ_GROSS_LOANS_5YR_ANN_GROWTH" hidden="1">"c526"</definedName>
    <definedName name="IQ_GROSS_LOANS_7YR_ANN_CAGR" hidden="1">"c6099"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" hidden="1">"c6279"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" hidden="1">"c6280"</definedName>
    <definedName name="IQ_GW_INTAN_AMORT_REIT" hidden="1">"c1480"</definedName>
    <definedName name="IQ_GW_INTAN_AMORT_UTI" hidden="1">"c1481"</definedName>
    <definedName name="IQ_HC_ADMISSIONS" hidden="1">"c5953"</definedName>
    <definedName name="IQ_HC_ADMISSIONS_GROWTH" hidden="1">"c5997"</definedName>
    <definedName name="IQ_HC_ADMISSIONS_MANAGED_CARE" hidden="1">"c5956"</definedName>
    <definedName name="IQ_HC_ADMISSIONS_MEDICAID" hidden="1">"c5955"</definedName>
    <definedName name="IQ_HC_ADMISSIONS_MEDICARE" hidden="1">"c5954"</definedName>
    <definedName name="IQ_HC_ADMISSIONS_OTHER" hidden="1">"c5957"</definedName>
    <definedName name="IQ_HC_ADMISSIONS_SF" hidden="1">"c6006"</definedName>
    <definedName name="IQ_HC_ALFS" hidden="1">"c5952"</definedName>
    <definedName name="IQ_HC_AVG_BEDS_SVC" hidden="1">"c5951"</definedName>
    <definedName name="IQ_HC_AVG_DAILY_CENSUS" hidden="1">"c5965"</definedName>
    <definedName name="IQ_HC_AVG_LICENSED_BEDS" hidden="1">"c5949"</definedName>
    <definedName name="IQ_HC_AVG_LICENSED_BEDS_SF" hidden="1">"c6004"</definedName>
    <definedName name="IQ_HC_AVG_STAY" hidden="1">"c5966"</definedName>
    <definedName name="IQ_HC_AVG_STAY_SF" hidden="1">"c6016"</definedName>
    <definedName name="IQ_HC_BEDS_SVC" hidden="1">"c5950"</definedName>
    <definedName name="IQ_HC_DAYS_REV_OUT" hidden="1">"c5993"</definedName>
    <definedName name="IQ_HC_EQUIV_ADMISSIONS_GROWTH" hidden="1">"c5998"</definedName>
    <definedName name="IQ_HC_EQUIVALENT_ADMISSIONS" hidden="1">"c5958"</definedName>
    <definedName name="IQ_HC_EQUIVALENT_ADMISSIONS_SF" hidden="1">"c6007"</definedName>
    <definedName name="IQ_HC_ER_VISITS" hidden="1">"c5964"</definedName>
    <definedName name="IQ_HC_ER_VISITS_SF" hidden="1">"c6017"</definedName>
    <definedName name="IQ_HC_GROSS_INPATIENT_REV" hidden="1">"c5987"</definedName>
    <definedName name="IQ_HC_GROSS_OUTPATIENT_REV" hidden="1">"c5988"</definedName>
    <definedName name="IQ_HC_GROSS_PATIENT_REV" hidden="1">"c5989"</definedName>
    <definedName name="IQ_HC_HOSP_FACILITIES_CONSOL" hidden="1">"c5945"</definedName>
    <definedName name="IQ_HC_HOSP_FACILITIES_CONSOL_SF" hidden="1">"c6000"</definedName>
    <definedName name="IQ_HC_HOSP_FACILITIES_NON_CONSOL" hidden="1">"c5946"</definedName>
    <definedName name="IQ_HC_HOSP_FACILITIES_NON_CONSOL_SF" hidden="1">"c6001"</definedName>
    <definedName name="IQ_HC_HOSP_FACILITIES_TOTAL" hidden="1">"c5947"</definedName>
    <definedName name="IQ_HC_HOSP_FACILITIES_TOTAL_SF" hidden="1">"c6002"</definedName>
    <definedName name="IQ_HC_INPATIENT_PROCEDURES" hidden="1">"c5961"</definedName>
    <definedName name="IQ_HC_INPATIENT_PROCEDURES_SF" hidden="1">"c6011"</definedName>
    <definedName name="IQ_HC_INPATIENT_REV_PER_ADMISSION" hidden="1">"c5994"</definedName>
    <definedName name="IQ_HC_INTPATIENT_SVCS_PCT_REV" hidden="1">"c5975"</definedName>
    <definedName name="IQ_HC_INTPATIENT_SVCS_PCT_REV_SF" hidden="1">"c6015"</definedName>
    <definedName name="IQ_HC_LICENSED_BEDS" hidden="1">"c5948"</definedName>
    <definedName name="IQ_HC_LICENSED_BEDS_SF" hidden="1">"c6003"</definedName>
    <definedName name="IQ_HC_MANAGED_CARE_PCT_ADMISSIONS" hidden="1">"c5982"</definedName>
    <definedName name="IQ_HC_MANAGED_CARE_PCT_REV" hidden="1">"c5978"</definedName>
    <definedName name="IQ_HC_MEDICAID_PCT_ADMISSIONS" hidden="1">"c5981"</definedName>
    <definedName name="IQ_HC_MEDICAID_PCT_REV" hidden="1">"c5977"</definedName>
    <definedName name="IQ_HC_MEDICARE_PCT_ADMISSIONS" hidden="1">"c5980"</definedName>
    <definedName name="IQ_HC_MEDICARE_PCT_REV" hidden="1">"c5976"</definedName>
    <definedName name="IQ_HC_NET_INPATIENT_REV" hidden="1">"c5984"</definedName>
    <definedName name="IQ_HC_NET_OUTPATIENT_REV" hidden="1">"c5985"</definedName>
    <definedName name="IQ_HC_NET_PATIENT_REV" hidden="1">"c5986"</definedName>
    <definedName name="IQ_HC_NET_PATIENT_REV_SF" hidden="1">"c6005"</definedName>
    <definedName name="IQ_HC_OCC_RATE" hidden="1">"c5967"</definedName>
    <definedName name="IQ_HC_OCC_RATE_LICENSED_BEDS" hidden="1">"c5968"</definedName>
    <definedName name="IQ_HC_OCC_RATE_SF" hidden="1">"c6009"</definedName>
    <definedName name="IQ_HC_OPEX_SUPPLIES" hidden="1">"c5990"</definedName>
    <definedName name="IQ_HC_OTHER_OPEX_PCT_REV" hidden="1">"c5973"</definedName>
    <definedName name="IQ_HC_OUTPATIENT_PROCEDURES" hidden="1">"c5962"</definedName>
    <definedName name="IQ_HC_OUTPATIENT_PROCEDURES_SF" hidden="1">"c6012"</definedName>
    <definedName name="IQ_HC_OUTPATIENT_REV_PER_ADMISSION" hidden="1">"c5995"</definedName>
    <definedName name="IQ_HC_OUTPATIENT_SVCS_PCT_REV" hidden="1">"c5974"</definedName>
    <definedName name="IQ_HC_OUTPATIENT_SVCS_PCT_REV_SF" hidden="1">"c6014"</definedName>
    <definedName name="IQ_HC_PATIENT_DAYS" hidden="1">"c5960"</definedName>
    <definedName name="IQ_HC_PATIENT_DAYS_SF" hidden="1">"c6010"</definedName>
    <definedName name="IQ_HC_PROF_GEN_LIAB_CLAIM_PAID" hidden="1">"c5991"</definedName>
    <definedName name="IQ_HC_PROF_GEN_LIAB_EXP_BENEFIT" hidden="1">"c5992"</definedName>
    <definedName name="IQ_HC_PROVISION_DOUBTFUL_PCT_REV" hidden="1">"c5972"</definedName>
    <definedName name="IQ_HC_REV_GROWTH" hidden="1">"c5996"</definedName>
    <definedName name="IQ_HC_REV_PER_EQUIV_ADMISSION" hidden="1">"c5959"</definedName>
    <definedName name="IQ_HC_REV_PER_EQUIV_ADMISSION_SF" hidden="1">"c6008"</definedName>
    <definedName name="IQ_HC_REV_PER_EQUIV_ADMISSIONS_GROWTH" hidden="1">"c5999"</definedName>
    <definedName name="IQ_HC_REV_PER_PATIENT_DAY" hidden="1">"c5969"</definedName>
    <definedName name="IQ_HC_REV_PER_PATIENT_DAY_SF" hidden="1">"c6018"</definedName>
    <definedName name="IQ_HC_SALARIES_PCT_REV" hidden="1">"c5970"</definedName>
    <definedName name="IQ_HC_SUPPLIES_PCT_REV" hidden="1">"c5971"</definedName>
    <definedName name="IQ_HC_TOTAL_PROCEDURES" hidden="1">"c5963"</definedName>
    <definedName name="IQ_HC_TOTAL_PROCEDURES_SF" hidden="1">"c6013"</definedName>
    <definedName name="IQ_HC_UNINSURED_PCT_ADMISSIONS" hidden="1">"c5983"</definedName>
    <definedName name="IQ_HC_UNINSURED_PCT_REV" hidden="1">"c5979"</definedName>
    <definedName name="IQ_HIGH_TARGET_PRICE" hidden="1">"c1651"</definedName>
    <definedName name="IQ_HIGH_TARGET_PRICE_REUT" hidden="1">"c5317"</definedName>
    <definedName name="IQ_HIGHPRICE" hidden="1">"c545"</definedName>
    <definedName name="IQ_HOME_AVG_LOAN_SIZE" hidden="1">"c5911"</definedName>
    <definedName name="IQ_HOME_BACKLOG" hidden="1">"c5844"</definedName>
    <definedName name="IQ_HOME_BACKLOG_AVG_JV" hidden="1">"c5848"</definedName>
    <definedName name="IQ_HOME_BACKLOG_AVG_JV_GROWTH" hidden="1">"c5928"</definedName>
    <definedName name="IQ_HOME_BACKLOG_AVG_JV_INC" hidden="1">"c5851"</definedName>
    <definedName name="IQ_HOME_BACKLOG_AVG_JV_INC_GROWTH" hidden="1">"c5931"</definedName>
    <definedName name="IQ_HOME_BACKLOG_AVG_PRICE" hidden="1">"c5845"</definedName>
    <definedName name="IQ_HOME_BACKLOG_AVG_PRICE_GROWTH" hidden="1">"c5925"</definedName>
    <definedName name="IQ_HOME_BACKLOG_GROWTH" hidden="1">"c5924"</definedName>
    <definedName name="IQ_HOME_BACKLOG_JV" hidden="1">"c5847"</definedName>
    <definedName name="IQ_HOME_BACKLOG_JV_GROWTH" hidden="1">"c5927"</definedName>
    <definedName name="IQ_HOME_BACKLOG_JV_INC" hidden="1">"c5850"</definedName>
    <definedName name="IQ_HOME_BACKLOG_JV_INC_GROWTH" hidden="1">"c5930"</definedName>
    <definedName name="IQ_HOME_BACKLOG_VALUE" hidden="1">"c5846"</definedName>
    <definedName name="IQ_HOME_BACKLOG_VALUE_GROWTH" hidden="1">"c5926"</definedName>
    <definedName name="IQ_HOME_BACKLOG_VALUE_JV" hidden="1">"c5849"</definedName>
    <definedName name="IQ_HOME_BACKLOG_VALUE_JV_GROWTH" hidden="1">"c5929"</definedName>
    <definedName name="IQ_HOME_BACKLOG_VALUE_JV_INC" hidden="1">"c5852"</definedName>
    <definedName name="IQ_HOME_BACKLOG_VALUE_JV_INC_GROWTH" hidden="1">"c5932"</definedName>
    <definedName name="IQ_HOME_COMMUNITIES_ACTIVE" hidden="1">"c5862"</definedName>
    <definedName name="IQ_HOME_COMMUNITIES_ACTIVE_GROWTH" hidden="1">"c5942"</definedName>
    <definedName name="IQ_HOME_COMMUNITIES_ACTIVE_JV" hidden="1">"c5863"</definedName>
    <definedName name="IQ_HOME_COMMUNITIES_ACTIVE_JV_GROWTH" hidden="1">"c5943"</definedName>
    <definedName name="IQ_HOME_COMMUNITIES_ACTIVE_JV_INC" hidden="1">"c5864"</definedName>
    <definedName name="IQ_HOME_COMMUNITIES_ACTIVE_JV_INC_GROWTH" hidden="1">"c5944"</definedName>
    <definedName name="IQ_HOME_COST_CONSTRUCTION_SVCS" hidden="1">"c5882"</definedName>
    <definedName name="IQ_HOME_COST_ELIMINATIONS_OTHER" hidden="1">"c5883"</definedName>
    <definedName name="IQ_HOME_COST_FINANCIAL_SVCS" hidden="1">"c5881"</definedName>
    <definedName name="IQ_HOME_COST_HOUSING" hidden="1">"c5877"</definedName>
    <definedName name="IQ_HOME_COST_LAND_LOT" hidden="1">"c5878"</definedName>
    <definedName name="IQ_HOME_COST_OTHER_HOMEBUILDING" hidden="1">"c5879"</definedName>
    <definedName name="IQ_HOME_COST_TOTAL" hidden="1">"c5884"</definedName>
    <definedName name="IQ_HOME_COST_TOTAL_HOMEBUILDING" hidden="1">"c5880"</definedName>
    <definedName name="IQ_HOME_DELIVERED" hidden="1">"c5835"</definedName>
    <definedName name="IQ_HOME_DELIVERED_AVG_PRICE" hidden="1">"c5836"</definedName>
    <definedName name="IQ_HOME_DELIVERED_AVG_PRICE_GROWTH" hidden="1">"c5916"</definedName>
    <definedName name="IQ_HOME_DELIVERED_AVG_PRICE_JV" hidden="1">"c5839"</definedName>
    <definedName name="IQ_HOME_DELIVERED_AVG_PRICE_JV_GROWTH" hidden="1">"c5919"</definedName>
    <definedName name="IQ_HOME_DELIVERED_AVG_PRICE_JV_INC" hidden="1">"c5842"</definedName>
    <definedName name="IQ_HOME_DELIVERED_AVG_PRICE_JV_INC_GROWTH" hidden="1">"c5922"</definedName>
    <definedName name="IQ_HOME_DELIVERED_GROWTH" hidden="1">"c5915"</definedName>
    <definedName name="IQ_HOME_DELIVERED_JV" hidden="1">"c5838"</definedName>
    <definedName name="IQ_HOME_DELIVERED_JV_GROWTH" hidden="1">"c5918"</definedName>
    <definedName name="IQ_HOME_DELIVERED_JV_INC" hidden="1">"c5841"</definedName>
    <definedName name="IQ_HOME_DELIVERED_JV_INC_GROWTH" hidden="1">"c5921"</definedName>
    <definedName name="IQ_HOME_DELIVERED_VALUE" hidden="1">"c5837"</definedName>
    <definedName name="IQ_HOME_DELIVERED_VALUE_GROWTH" hidden="1">"c5917"</definedName>
    <definedName name="IQ_HOME_DELIVERED_VALUE_JV" hidden="1">"c5840"</definedName>
    <definedName name="IQ_HOME_DELIVERED_VALUE_JV_GROWTH" hidden="1">"c5920"</definedName>
    <definedName name="IQ_HOME_DELIVERED_VALUE_JV_INC" hidden="1">"c5843"</definedName>
    <definedName name="IQ_HOME_DELIVERED_VALUE_JV_INC_GROWTH" hidden="1">"c5923"</definedName>
    <definedName name="IQ_HOME_FINISHED_HOMES_CIP" hidden="1">"c5865"</definedName>
    <definedName name="IQ_HOME_FIRSTLIEN_MORT_ORIGINATED" hidden="1">"c5905"</definedName>
    <definedName name="IQ_HOME_FIRSTLIEN_MORT_ORIGINATED_VOL" hidden="1">"c5908"</definedName>
    <definedName name="IQ_HOME_HUC" hidden="1">"c5822"</definedName>
    <definedName name="IQ_HOME_HUC_JV" hidden="1">"c5823"</definedName>
    <definedName name="IQ_HOME_HUC_JV_INC" hidden="1">"c5824"</definedName>
    <definedName name="IQ_HOME_INV_NOT_OWNED" hidden="1">"c5868"</definedName>
    <definedName name="IQ_HOME_LAND_DEVELOPMENT" hidden="1">"c5866"</definedName>
    <definedName name="IQ_HOME_LAND_FUTURE_DEVELOPMENT" hidden="1">"c5867"</definedName>
    <definedName name="IQ_HOME_LOAN_APPLICATIONS" hidden="1">"c5910"</definedName>
    <definedName name="IQ_HOME_LOANS_SOLD_COUNT" hidden="1">"c5912"</definedName>
    <definedName name="IQ_HOME_LOANS_SOLD_VALUE" hidden="1">"c5913"</definedName>
    <definedName name="IQ_HOME_LOTS_CONTROLLED" hidden="1">"c5831"</definedName>
    <definedName name="IQ_HOME_LOTS_FINISHED" hidden="1">"c5827"</definedName>
    <definedName name="IQ_HOME_LOTS_HELD_SALE" hidden="1">"c5830"</definedName>
    <definedName name="IQ_HOME_LOTS_JV" hidden="1">"c5833"</definedName>
    <definedName name="IQ_HOME_LOTS_JV_INC" hidden="1">"c5834"</definedName>
    <definedName name="IQ_HOME_LOTS_OTHER" hidden="1">"c5832"</definedName>
    <definedName name="IQ_HOME_LOTS_OWNED" hidden="1">"c5828"</definedName>
    <definedName name="IQ_HOME_LOTS_UNDER_DEVELOPMENT" hidden="1">"c5826"</definedName>
    <definedName name="IQ_HOME_LOTS_UNDER_OPTION" hidden="1">"c5829"</definedName>
    <definedName name="IQ_HOME_LOTS_UNDEVELOPED" hidden="1">"c5825"</definedName>
    <definedName name="IQ_HOME_MORT_CAPTURE_RATE" hidden="1">"c5906"</definedName>
    <definedName name="IQ_HOME_MORT_ORIGINATED" hidden="1">"c5907"</definedName>
    <definedName name="IQ_HOME_OBLIGATIONS_INV_NOT_OWNED" hidden="1">"c5914"</definedName>
    <definedName name="IQ_HOME_ORDERS" hidden="1">"c5853"</definedName>
    <definedName name="IQ_HOME_ORDERS_AVG_PRICE" hidden="1">"c5854"</definedName>
    <definedName name="IQ_HOME_ORDERS_AVG_PRICE_GROWTH" hidden="1">"c5934"</definedName>
    <definedName name="IQ_HOME_ORDERS_AVG_PRICE_JV" hidden="1">"c5857"</definedName>
    <definedName name="IQ_HOME_ORDERS_AVG_PRICE_JV_GROWTH" hidden="1">"c5937"</definedName>
    <definedName name="IQ_HOME_ORDERS_AVG_PRICE_JV_INC" hidden="1">"c5860"</definedName>
    <definedName name="IQ_HOME_ORDERS_AVG_PRICE_JV_INC_GROWTH" hidden="1">"c5940"</definedName>
    <definedName name="IQ_HOME_ORDERS_GROWTH" hidden="1">"c5933"</definedName>
    <definedName name="IQ_HOME_ORDERS_JV" hidden="1">"c5856"</definedName>
    <definedName name="IQ_HOME_ORDERS_JV_GROWTH" hidden="1">"c5936"</definedName>
    <definedName name="IQ_HOME_ORDERS_JV_INC" hidden="1">"c5859"</definedName>
    <definedName name="IQ_HOME_ORDERS_JV_INC_GROWTH" hidden="1">"c5939"</definedName>
    <definedName name="IQ_HOME_ORDERS_VALUE" hidden="1">"c5855"</definedName>
    <definedName name="IQ_HOME_ORDERS_VALUE_GROWTH" hidden="1">"c5935"</definedName>
    <definedName name="IQ_HOME_ORDERS_VALUE_JV" hidden="1">"c5858"</definedName>
    <definedName name="IQ_HOME_ORDERS_VALUE_JV_GROWTH" hidden="1">"c5938"</definedName>
    <definedName name="IQ_HOME_ORDERS_VALUE_JV_INC" hidden="1">"c5861"</definedName>
    <definedName name="IQ_HOME_ORDERS_VALUE_JV_INC_GROWTH" hidden="1">"c5941"</definedName>
    <definedName name="IQ_HOME_ORIGINATION_TOTAL" hidden="1">"c5909"</definedName>
    <definedName name="IQ_HOME_PRETAX_INC_CONSTRUCTION_SVCS" hidden="1">"c5890"</definedName>
    <definedName name="IQ_HOME_PRETAX_INC_ELIMINATIONS_OTHER" hidden="1">"c5891"</definedName>
    <definedName name="IQ_HOME_PRETAX_INC_FINANCIAL_SVCS" hidden="1">"c5889"</definedName>
    <definedName name="IQ_HOME_PRETAX_INC_HOUSING" hidden="1">"c5885"</definedName>
    <definedName name="IQ_HOME_PRETAX_INC_LAND_LOT" hidden="1">"c5886"</definedName>
    <definedName name="IQ_HOME_PRETAX_INC_OTHER_HOMEBUILDING" hidden="1">"c5887"</definedName>
    <definedName name="IQ_HOME_PRETAX_INC_TOTAL" hidden="1">"c5892"</definedName>
    <definedName name="IQ_HOME_PRETAX_INC_TOTAL_HOMEBUILDING" hidden="1">"c5888"</definedName>
    <definedName name="IQ_HOME_PURCH_OBLIGATION_1YR" hidden="1">"c5898"</definedName>
    <definedName name="IQ_HOME_PURCH_OBLIGATION_2YR" hidden="1">"c5899"</definedName>
    <definedName name="IQ_HOME_PURCH_OBLIGATION_3YR" hidden="1">"c5900"</definedName>
    <definedName name="IQ_HOME_PURCH_OBLIGATION_4YR" hidden="1">"c5901"</definedName>
    <definedName name="IQ_HOME_PURCH_OBLIGATION_5YR" hidden="1">"c5902"</definedName>
    <definedName name="IQ_HOME_PURCH_OBLIGATION_AFTER5" hidden="1">"c5903"</definedName>
    <definedName name="IQ_HOME_PURCH_OBLIGATION_TOTAL" hidden="1">"c5904"</definedName>
    <definedName name="IQ_HOME_REV_CONSTRUCTION_SERVICES" hidden="1">"c5874"</definedName>
    <definedName name="IQ_HOME_REV_ELIMINATIONS_OTHER" hidden="1">"c5875"</definedName>
    <definedName name="IQ_HOME_REV_FINANCIAL_SERVICES" hidden="1">"c5873"</definedName>
    <definedName name="IQ_HOME_REV_HOUSING" hidden="1">"c5872"</definedName>
    <definedName name="IQ_HOME_REV_LAND_LOT" hidden="1">"c5870"</definedName>
    <definedName name="IQ_HOME_REV_OTHER_HOMEBUILDING" hidden="1">"c5871"</definedName>
    <definedName name="IQ_HOME_REV_TOTAL" hidden="1">"c5876"</definedName>
    <definedName name="IQ_HOME_TOTAL_INV" hidden="1">"c5869"</definedName>
    <definedName name="IQ_HOME_WARRANTY_RES_BEG" hidden="1">"c5893"</definedName>
    <definedName name="IQ_HOME_WARRANTY_RES_END" hidden="1">"c5897"</definedName>
    <definedName name="IQ_HOME_WARRANTY_RES_ISS" hidden="1">"c5894"</definedName>
    <definedName name="IQ_HOME_WARRANTY_RES_OTHER" hidden="1">"c5896"</definedName>
    <definedName name="IQ_HOME_WARRANTY_RES_PAY" hidden="1">"c5895"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" hidden="1">"c6222"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" hidden="1">"c6223"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" hidden="1">"c6224"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" hidden="1">"c6225"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" hidden="1">"c6226"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10K" hidden="1">"IQ_INTEREST_INC_10K"</definedName>
    <definedName name="IQ_INTEREST_INC_10Q" hidden="1">"IQ_INTEREST_INC_10Q"</definedName>
    <definedName name="IQ_INTEREST_INC_10Q1" hidden="1">"IQ_INTEREST_INC_10Q1"</definedName>
    <definedName name="IQ_INTEREST_INC_NON" hidden="1">"c1384"</definedName>
    <definedName name="IQ_INTEREST_INVEST_INC" hidden="1">"c619"</definedName>
    <definedName name="IQ_INV_10YR_ANN_CAGR" hidden="1">"c6164"</definedName>
    <definedName name="IQ_INV_10YR_ANN_GROWTH" hidden="1">"c1930"</definedName>
    <definedName name="IQ_INV_1YR_ANN_GROWTH" hidden="1">"c1925"</definedName>
    <definedName name="IQ_INV_2YR_ANN_CAGR" hidden="1">"c6160"</definedName>
    <definedName name="IQ_INV_2YR_ANN_GROWTH" hidden="1">"c1926"</definedName>
    <definedName name="IQ_INV_3YR_ANN_CAGR" hidden="1">"c6161"</definedName>
    <definedName name="IQ_INV_3YR_ANN_GROWTH" hidden="1">"c1927"</definedName>
    <definedName name="IQ_INV_5YR_ANN_CAGR" hidden="1">"c6162"</definedName>
    <definedName name="IQ_INV_5YR_ANN_GROWTH" hidden="1">"c1928"</definedName>
    <definedName name="IQ_INV_7YR_ANN_CAGR" hidden="1">"c6163"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" hidden="1">"c6227"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" hidden="1">"c6228"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EBIT_MARGIN" hidden="1">"IQ_LAST_EBIT_MARGIN"</definedName>
    <definedName name="IQ_LAST_EBITDA_MARGIN" hidden="1">"IQ_LAST_EBITDA_MARGIN"</definedName>
    <definedName name="IQ_LAST_GROSS_MARGIN" hidden="1">"IQ_LAST_GROSS_MARGIN"</definedName>
    <definedName name="IQ_LAST_NET_INC_MARGIN" hidden="1">"IQ_LAST_NET_INC_MARGIN"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" hidden="1">"1"</definedName>
    <definedName name="IQ_LATESTK" hidden="1">1000</definedName>
    <definedName name="IQ_LATESTKFR" hidden="1">"100"</definedName>
    <definedName name="IQ_LATESTQ" hidden="1">500</definedName>
    <definedName name="IQ_LATESTQFR" hidden="1">"50"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" hidden="1">"c6229"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CAGR" hidden="1">"c6174"</definedName>
    <definedName name="IQ_LFCF_10YR_ANN_GROWTH" hidden="1">"c1942"</definedName>
    <definedName name="IQ_LFCF_1YR_ANN_GROWTH" hidden="1">"c1937"</definedName>
    <definedName name="IQ_LFCF_2YR_ANN_CAGR" hidden="1">"c6170"</definedName>
    <definedName name="IQ_LFCF_2YR_ANN_GROWTH" hidden="1">"c1938"</definedName>
    <definedName name="IQ_LFCF_3YR_ANN_CAGR" hidden="1">"c6171"</definedName>
    <definedName name="IQ_LFCF_3YR_ANN_GROWTH" hidden="1">"c1939"</definedName>
    <definedName name="IQ_LFCF_5YR_ANN_CAGR" hidden="1">"c6172"</definedName>
    <definedName name="IQ_LFCF_5YR_ANN_GROWTH" hidden="1">"c1940"</definedName>
    <definedName name="IQ_LFCF_7YR_ANN_CAGR" hidden="1">"c6173"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" hidden="1">"c6230"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" hidden="1">"c6231"</definedName>
    <definedName name="IQ_LT_DEBT_ISSUED_REIT" hidden="1">"c686"</definedName>
    <definedName name="IQ_LT_DEBT_ISSUED_UTI" hidden="1">"c687"</definedName>
    <definedName name="IQ_LT_DEBT_RE" hidden="1">"c6232"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" hidden="1">"c6233"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" hidden="1">"c6234"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DATE" hidden="1">"IQ_LTM_DATE"</definedName>
    <definedName name="IQ_LTM_REVENUE_OVER_EMPLOYEES" hidden="1">"c1437"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" hidden="1">"c6235"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" hidden="1">"c6236"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" hidden="1">"c6237"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MTD" hidden="1">800000</definedName>
    <definedName name="IQ_NAMES_REVISION_DATE_" hidden="1">41612.7446296296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EBITDA" hidden="1">"c750"</definedName>
    <definedName name="IQ_NET_DEBT_EBITDA_CAPEX" hidden="1">"c2949"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" hidden="1">"c6238"</definedName>
    <definedName name="IQ_NET_DEBT_ISSUED_REIT" hidden="1">"c756"</definedName>
    <definedName name="IQ_NET_DEBT_ISSUED_UTI" hidden="1">"c757"</definedName>
    <definedName name="IQ_NET_EARNED" hidden="1">"c2734"</definedName>
    <definedName name="IQ_NET_INC" hidden="1">"c1394"</definedName>
    <definedName name="IQ_NET_INC_10K" hidden="1">"IQ_NET_INC_10K"</definedName>
    <definedName name="IQ_NET_INC_10Q" hidden="1">"IQ_NET_INC_10Q"</definedName>
    <definedName name="IQ_NET_INC_10Q1" hidden="1">"IQ_NET_INC_10Q1"</definedName>
    <definedName name="IQ_NET_INC_BEFORE" hidden="1">"c1368"</definedName>
    <definedName name="IQ_NET_INC_CF" hidden="1">"c1397"</definedName>
    <definedName name="IQ_NET_INC_GROWTH_1" hidden="1">"IQ_NET_INC_GROWTH_1"</definedName>
    <definedName name="IQ_NET_INC_GROWTH_2" hidden="1">"IQ_NET_INC_GROWTH_2"</definedName>
    <definedName name="IQ_NET_INC_MARGIN" hidden="1">"c1398"</definedName>
    <definedName name="IQ_NET_INT_INC_10YR_ANN_CAGR" hidden="1">"c6100"</definedName>
    <definedName name="IQ_NET_INT_INC_10YR_ANN_GROWTH" hidden="1">"c758"</definedName>
    <definedName name="IQ_NET_INT_INC_1YR_ANN_GROWTH" hidden="1">"c759"</definedName>
    <definedName name="IQ_NET_INT_INC_2YR_ANN_CAGR" hidden="1">"c6101"</definedName>
    <definedName name="IQ_NET_INT_INC_2YR_ANN_GROWTH" hidden="1">"c760"</definedName>
    <definedName name="IQ_NET_INT_INC_3YR_ANN_CAGR" hidden="1">"c6102"</definedName>
    <definedName name="IQ_NET_INT_INC_3YR_ANN_GROWTH" hidden="1">"c761"</definedName>
    <definedName name="IQ_NET_INT_INC_5YR_ANN_CAGR" hidden="1">"c6103"</definedName>
    <definedName name="IQ_NET_INT_INC_5YR_ANN_GROWTH" hidden="1">"c762"</definedName>
    <definedName name="IQ_NET_INT_INC_7YR_ANN_CAGR" hidden="1">"c6104"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" hidden="1">"c6239"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CAGR" hidden="1">"c6105"</definedName>
    <definedName name="IQ_NET_LOANS_10YR_ANN_GROWTH" hidden="1">"c773"</definedName>
    <definedName name="IQ_NET_LOANS_1YR_ANN_GROWTH" hidden="1">"c774"</definedName>
    <definedName name="IQ_NET_LOANS_2YR_ANN_CAGR" hidden="1">"c6106"</definedName>
    <definedName name="IQ_NET_LOANS_2YR_ANN_GROWTH" hidden="1">"c775"</definedName>
    <definedName name="IQ_NET_LOANS_3YR_ANN_CAGR" hidden="1">"c6107"</definedName>
    <definedName name="IQ_NET_LOANS_3YR_ANN_GROWTH" hidden="1">"c776"</definedName>
    <definedName name="IQ_NET_LOANS_5YR_ANN_CAGR" hidden="1">"c6108"</definedName>
    <definedName name="IQ_NET_LOANS_5YR_ANN_GROWTH" hidden="1">"c777"</definedName>
    <definedName name="IQ_NET_LOANS_7YR_ANN_CAGR" hidden="1">"c6109"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CAGR" hidden="1">"c6110"</definedName>
    <definedName name="IQ_NI_10YR_ANN_GROWTH" hidden="1">"c782"</definedName>
    <definedName name="IQ_NI_1YR_ANN_GROWTH" hidden="1">"c783"</definedName>
    <definedName name="IQ_NI_2YR_ANN_CAGR" hidden="1">"c6111"</definedName>
    <definedName name="IQ_NI_2YR_ANN_GROWTH" hidden="1">"c784"</definedName>
    <definedName name="IQ_NI_3YR_ANN_CAGR" hidden="1">"c6112"</definedName>
    <definedName name="IQ_NI_3YR_ANN_GROWTH" hidden="1">"c785"</definedName>
    <definedName name="IQ_NI_5YR_ANN_CAGR" hidden="1">"c6113"</definedName>
    <definedName name="IQ_NI_5YR_ANN_GROWTH" hidden="1">"c786"</definedName>
    <definedName name="IQ_NI_7YR_ANN_CAGR" hidden="1">"c6114"</definedName>
    <definedName name="IQ_NI_7YR_ANN_GROWTH" hidden="1">"c787"</definedName>
    <definedName name="IQ_NI_ACT_OR_EST" hidden="1">"c2222"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GW_EST" hidden="1">"c1723"</definedName>
    <definedName name="IQ_NI_GW_HIGH_EST" hidden="1">"c1725"</definedName>
    <definedName name="IQ_NI_GW_LOW_EST" hidden="1">"c1726"</definedName>
    <definedName name="IQ_NI_GW_MEDIAN_EST" hidden="1">"c1724"</definedName>
    <definedName name="IQ_NI_GW_NUM_EST" hidden="1">"c1727"</definedName>
    <definedName name="IQ_NI_GW_STDDEV_EST" hidden="1">"c1728"</definedName>
    <definedName name="IQ_NI_HIGH_EST" hidden="1">"c1718"</definedName>
    <definedName name="IQ_NI_LOW_EST" hidden="1">"c1719"</definedName>
    <definedName name="IQ_NI_MARGIN" hidden="1">"c794"</definedName>
    <definedName name="IQ_NI_MEDIAN_EST" hidden="1">"c1717"</definedName>
    <definedName name="IQ_NI_NORM" hidden="1">"c1901"</definedName>
    <definedName name="IQ_NI_NORM_10YR_ANN_CAGR" hidden="1">"c6189"</definedName>
    <definedName name="IQ_NI_NORM_10YR_ANN_GROWTH" hidden="1">"c1960"</definedName>
    <definedName name="IQ_NI_NORM_1YR_ANN_GROWTH" hidden="1">"c1955"</definedName>
    <definedName name="IQ_NI_NORM_2YR_ANN_CAGR" hidden="1">"c6185"</definedName>
    <definedName name="IQ_NI_NORM_2YR_ANN_GROWTH" hidden="1">"c1956"</definedName>
    <definedName name="IQ_NI_NORM_3YR_ANN_CAGR" hidden="1">"c6186"</definedName>
    <definedName name="IQ_NI_NORM_3YR_ANN_GROWTH" hidden="1">"c1957"</definedName>
    <definedName name="IQ_NI_NORM_5YR_ANN_CAGR" hidden="1">"c6187"</definedName>
    <definedName name="IQ_NI_NORM_5YR_ANN_GROWTH" hidden="1">"c1958"</definedName>
    <definedName name="IQ_NI_NORM_7YR_ANN_CAGR" hidden="1">"c6188"</definedName>
    <definedName name="IQ_NI_NORM_7YR_ANN_GROWTH" hidden="1">"c1959"</definedName>
    <definedName name="IQ_NI_NORM_MARGIN" hidden="1">"c1964"</definedName>
    <definedName name="IQ_NI_NUM_EST" hidden="1">"c1720"</definedName>
    <definedName name="IQ_NI_REPORTED_EST" hidden="1">"c1730"</definedName>
    <definedName name="IQ_NI_REPORTED_HIGH_EST" hidden="1">"c1732"</definedName>
    <definedName name="IQ_NI_REPORTED_LOW_EST" hidden="1">"c1733"</definedName>
    <definedName name="IQ_NI_REPORTED_MEDIAN_EST" hidden="1">"c1731"</definedName>
    <definedName name="IQ_NI_REPORTED_NUM_EST" hidden="1">"c1734"</definedName>
    <definedName name="IQ_NI_REPORTED_STDDEV_EST" hidden="1">"c1735"</definedName>
    <definedName name="IQ_NI_SBC_ACT_OR_EST" hidden="1">"c4474"</definedName>
    <definedName name="IQ_NI_SBC_GW_ACT_OR_EST" hidden="1">"c4478"</definedName>
    <definedName name="IQ_NI_SFAS" hidden="1">"c795"</definedName>
    <definedName name="IQ_NI_STDDEV_EST" hidden="1">"c1721"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CAGR" hidden="1">"c6115"</definedName>
    <definedName name="IQ_NON_INT_INC_10YR_ANN_GROWTH" hidden="1">"c803"</definedName>
    <definedName name="IQ_NON_INT_INC_1YR_ANN_GROWTH" hidden="1">"c804"</definedName>
    <definedName name="IQ_NON_INT_INC_2YR_ANN_CAGR" hidden="1">"c6116"</definedName>
    <definedName name="IQ_NON_INT_INC_2YR_ANN_GROWTH" hidden="1">"c805"</definedName>
    <definedName name="IQ_NON_INT_INC_3YR_ANN_CAGR" hidden="1">"c6117"</definedName>
    <definedName name="IQ_NON_INT_INC_3YR_ANN_GROWTH" hidden="1">"c806"</definedName>
    <definedName name="IQ_NON_INT_INC_5YR_ANN_CAGR" hidden="1">"c6118"</definedName>
    <definedName name="IQ_NON_INT_INC_5YR_ANN_GROWTH" hidden="1">"c807"</definedName>
    <definedName name="IQ_NON_INT_INC_7YR_ANN_CAGR" hidden="1">"c6119"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CAGR" hidden="1">"c6120"</definedName>
    <definedName name="IQ_NON_PERF_ASSETS_10YR_ANN_GROWTH" hidden="1">"c811"</definedName>
    <definedName name="IQ_NON_PERF_ASSETS_1YR_ANN_GROWTH" hidden="1">"c812"</definedName>
    <definedName name="IQ_NON_PERF_ASSETS_2YR_ANN_CAGR" hidden="1">"c6121"</definedName>
    <definedName name="IQ_NON_PERF_ASSETS_2YR_ANN_GROWTH" hidden="1">"c813"</definedName>
    <definedName name="IQ_NON_PERF_ASSETS_3YR_ANN_CAGR" hidden="1">"c6122"</definedName>
    <definedName name="IQ_NON_PERF_ASSETS_3YR_ANN_GROWTH" hidden="1">"c814"</definedName>
    <definedName name="IQ_NON_PERF_ASSETS_5YR_ANN_CAGR" hidden="1">"c6123"</definedName>
    <definedName name="IQ_NON_PERF_ASSETS_5YR_ANN_GROWTH" hidden="1">"c815"</definedName>
    <definedName name="IQ_NON_PERF_ASSETS_7YR_ANN_CAGR" hidden="1">"c6124"</definedName>
    <definedName name="IQ_NON_PERF_ASSETS_7YR_ANN_GROWTH" hidden="1">"c816"</definedName>
    <definedName name="IQ_NON_PERF_ASSETS_TOTAL_ASSETS" hidden="1">"c817"</definedName>
    <definedName name="IQ_NON_PERF_LOANS_10YR_ANN_CAGR" hidden="1">"c6125"</definedName>
    <definedName name="IQ_NON_PERF_LOANS_10YR_ANN_GROWTH" hidden="1">"c818"</definedName>
    <definedName name="IQ_NON_PERF_LOANS_1YR_ANN_GROWTH" hidden="1">"c819"</definedName>
    <definedName name="IQ_NON_PERF_LOANS_2YR_ANN_CAGR" hidden="1">"c6126"</definedName>
    <definedName name="IQ_NON_PERF_LOANS_2YR_ANN_GROWTH" hidden="1">"c820"</definedName>
    <definedName name="IQ_NON_PERF_LOANS_3YR_ANN_CAGR" hidden="1">"c6127"</definedName>
    <definedName name="IQ_NON_PERF_LOANS_3YR_ANN_GROWTH" hidden="1">"c821"</definedName>
    <definedName name="IQ_NON_PERF_LOANS_5YR_ANN_CAGR" hidden="1">"c6128"</definedName>
    <definedName name="IQ_NON_PERF_LOANS_5YR_ANN_GROWTH" hidden="1">"c822"</definedName>
    <definedName name="IQ_NON_PERF_LOANS_7YR_ANN_CAGR" hidden="1">"c6129"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CAGR" hidden="1">"c6130"</definedName>
    <definedName name="IQ_NPPE_10YR_ANN_GROWTH" hidden="1">"c830"</definedName>
    <definedName name="IQ_NPPE_1YR_ANN_GROWTH" hidden="1">"c831"</definedName>
    <definedName name="IQ_NPPE_2YR_ANN_CAGR" hidden="1">"c6131"</definedName>
    <definedName name="IQ_NPPE_2YR_ANN_GROWTH" hidden="1">"c832"</definedName>
    <definedName name="IQ_NPPE_3YR_ANN_CAGR" hidden="1">"c6132"</definedName>
    <definedName name="IQ_NPPE_3YR_ANN_GROWTH" hidden="1">"c833"</definedName>
    <definedName name="IQ_NPPE_5YR_ANN_CAGR" hidden="1">"c6133"</definedName>
    <definedName name="IQ_NPPE_5YR_ANN_GROWTH" hidden="1">"c834"</definedName>
    <definedName name="IQ_NPPE_7YR_ANN_CAGR" hidden="1">"c6134"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AVG_DAILY_SALES_VOL_EQ_INC_GAS" hidden="1">"c5797"</definedName>
    <definedName name="IQ_OG_AVG_DAILY_SALES_VOL_EQ_INC_NGL" hidden="1">"c5798"</definedName>
    <definedName name="IQ_OG_AVG_DAILY_SALES_VOL_EQ_INC_OIL" hidden="1">"c5796"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ACRE_GROSS_EQ_INC" hidden="1">"c5802"</definedName>
    <definedName name="IQ_OG_DEVELOPED_ACRE_NET_EQ_INC" hidden="1">"c5803"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SERVE_REPLACEMENT_RATIO" hidden="1">"c5799"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ALES_VOL_EQ_INC_GAS" hidden="1">"c5794"</definedName>
    <definedName name="IQ_OG_SALES_VOL_EQ_INC_NGL" hidden="1">"c5795"</definedName>
    <definedName name="IQ_OG_SALES_VOL_EQ_INC_OIL" hidden="1">"c5793"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ACRE_GROSS_EQ_INC" hidden="1">"c5800"</definedName>
    <definedName name="IQ_OG_UNDEVELOPED_ACRE_NET_EQ_INC" hidden="1">"c5801"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CT_NEXT" hidden="1">"c5774"</definedName>
    <definedName name="IQ_OPEB_ACT_NEXT_DOM" hidden="1">"c5772"</definedName>
    <definedName name="IQ_OPEB_ACT_NEXT_FOREIGN" hidden="1">"c5773"</definedName>
    <definedName name="IQ_OPEB_AMT_RECOG_NEXT" hidden="1">"c5783"</definedName>
    <definedName name="IQ_OPEB_AMT_RECOG_NEXT_DOM" hidden="1">"c5781"</definedName>
    <definedName name="IQ_OPEB_AMT_RECOG_NEXT_FOREIGN" hidden="1">"c5782"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CI_ACT" hidden="1">"c5759"</definedName>
    <definedName name="IQ_OPEB_CI_ACT_DOM" hidden="1">"c5757"</definedName>
    <definedName name="IQ_OPEB_CI_ACT_FOREIGN" hidden="1">"c5758"</definedName>
    <definedName name="IQ_OPEB_CI_NET_AMT_RECOG" hidden="1">"c5771"</definedName>
    <definedName name="IQ_OPEB_CI_NET_AMT_RECOG_DOM" hidden="1">"c5769"</definedName>
    <definedName name="IQ_OPEB_CI_NET_AMT_RECOG_FOREIGN" hidden="1">"c5770"</definedName>
    <definedName name="IQ_OPEB_CI_OTHER_MISC_ADJ" hidden="1">"c5768"</definedName>
    <definedName name="IQ_OPEB_CI_OTHER_MISC_ADJ_DOM" hidden="1">"c5766"</definedName>
    <definedName name="IQ_OPEB_CI_OTHER_MISC_ADJ_FOREIGN" hidden="1">"c5767"</definedName>
    <definedName name="IQ_OPEB_CI_PRIOR_SERVICE" hidden="1">"c5762"</definedName>
    <definedName name="IQ_OPEB_CI_PRIOR_SERVICE_DOM" hidden="1">"c5760"</definedName>
    <definedName name="IQ_OPEB_CI_PRIOR_SERVICE_FOREIGN" hidden="1">"c5761"</definedName>
    <definedName name="IQ_OPEB_CI_TRANSITION" hidden="1">"c5765"</definedName>
    <definedName name="IQ_OPEB_CI_TRANSITION_DOM" hidden="1">"c5763"</definedName>
    <definedName name="IQ_OPEB_CI_TRANSITION_FOREIGN" hidden="1">"c5764"</definedName>
    <definedName name="IQ_OPEB_CL" hidden="1">"c5789"</definedName>
    <definedName name="IQ_OPEB_CL_DOM" hidden="1">"c5787"</definedName>
    <definedName name="IQ_OPEB_CL_FOREIGN" hidden="1">"c5788"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LT_ASSETS" hidden="1">"c5786"</definedName>
    <definedName name="IQ_OPEB_LT_ASSETS_DOM" hidden="1">"c5784"</definedName>
    <definedName name="IQ_OPEB_LT_ASSETS_FOREIGN" hidden="1">"c5785"</definedName>
    <definedName name="IQ_OPEB_LT_LIAB" hidden="1">"c5792"</definedName>
    <definedName name="IQ_OPEB_LT_LIAB_DOM" hidden="1">"c5790"</definedName>
    <definedName name="IQ_OPEB_LT_LIAB_FOREIGN" hidden="1">"c5791"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PRIOR_SERVICE_NEXT" hidden="1">"c5777"</definedName>
    <definedName name="IQ_OPEB_PRIOR_SERVICE_NEXT_DOM" hidden="1">"c5775"</definedName>
    <definedName name="IQ_OPEB_PRIOR_SERVICE_NEXT_FOREIGN" hidden="1">"c5776"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TRANSITION_NEXT" hidden="1">"c5780"</definedName>
    <definedName name="IQ_OPEB_TRANSITION_NEXT_DOM" hidden="1">"c5778"</definedName>
    <definedName name="IQ_OPEB_TRANSITION_NEXT_FOREIGN" hidden="1">"c5779"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BR" hidden="1">"c850"</definedName>
    <definedName name="IQ_OPER_INC_EST" hidden="1">"c1688"</definedName>
    <definedName name="IQ_OPER_INC_FIN" hidden="1">"c851"</definedName>
    <definedName name="IQ_OPER_INC_HIGH_EST" hidden="1">"c1690"</definedName>
    <definedName name="IQ_OPER_INC_INS" hidden="1">"c852"</definedName>
    <definedName name="IQ_OPER_INC_LOW_EST" hidden="1">"c1691"</definedName>
    <definedName name="IQ_OPER_INC_MARGIN" hidden="1">"c1448"</definedName>
    <definedName name="IQ_OPER_INC_MEDIAN_EST" hidden="1">"c1689"</definedName>
    <definedName name="IQ_OPER_INC_NUM_EST" hidden="1">"c1692"</definedName>
    <definedName name="IQ_OPER_INC_RE" hidden="1">"c6240"</definedName>
    <definedName name="IQ_OPER_INC_REIT" hidden="1">"c853"</definedName>
    <definedName name="IQ_OPER_INC_STDDEV_EST" hidden="1">"c1693"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ABLE_END_OS" hidden="1">"c5804"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BEG_OS" hidden="1">"c5805"</definedName>
    <definedName name="IQ_OPTIONS_STRIKE_PRICE_CANCELLED" hidden="1">"c5807"</definedName>
    <definedName name="IQ_OPTIONS_STRIKE_PRICE_EXERCISABLE" hidden="1">"c5808"</definedName>
    <definedName name="IQ_OPTIONS_STRIKE_PRICE_EXERCISED" hidden="1">"c5806"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" hidden="1">"c6287"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" hidden="1">"c6241"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" hidden="1">"c6242"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INS" hidden="1">"C6021"</definedName>
    <definedName name="IQ_OTHER_CL_SUPPL_RE" hidden="1">"c6243"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" hidden="1">"c6244"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" hidden="1">"c6245"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" hidden="1">"c6246"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" hidden="1">"c6247"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" hidden="1">"c6248"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" hidden="1">"c6249"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" hidden="1">"c6250"</definedName>
    <definedName name="IQ_OTHER_LIAB_LT_REIT" hidden="1">"c940"</definedName>
    <definedName name="IQ_OTHER_LIAB_LT_UTI" hidden="1">"c941"</definedName>
    <definedName name="IQ_OTHER_LIAB_RE" hidden="1">"c6251"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" hidden="1">"c6252"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" hidden="1">"c6253"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" hidden="1">"c6254"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" hidden="1">"c6255"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" hidden="1">"c6256"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" hidden="1">"c6257"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" hidden="1">"c6258"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ABLE_END_OS" hidden="1">"c5814"</definedName>
    <definedName name="IQ_OTHER_OPTIONS_EXERCISED" hidden="1">"c2688"</definedName>
    <definedName name="IQ_OTHER_OPTIONS_GRANTED" hidden="1">"c2687"</definedName>
    <definedName name="IQ_OTHER_OPTIONS_STRIKE_PRICE_BEG_OS" hidden="1">"c5815"</definedName>
    <definedName name="IQ_OTHER_OPTIONS_STRIKE_PRICE_CANCELLED" hidden="1">"c5817"</definedName>
    <definedName name="IQ_OTHER_OPTIONS_STRIKE_PRICE_EXERCISABLE" hidden="1">"c5818"</definedName>
    <definedName name="IQ_OTHER_OPTIONS_STRIKE_PRICE_EXERCISED" hidden="1">"c5816"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" hidden="1">"c6259"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" hidden="1">"c6260"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" hidden="1">"c6282"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" hidden="1">"c6281"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"c2127"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CT_NEXT" hidden="1">"c5738"</definedName>
    <definedName name="IQ_PENSION_ACT_NEXT_DOM" hidden="1">"c5736"</definedName>
    <definedName name="IQ_PENSION_ACT_NEXT_FOREIGN" hidden="1">"c5737"</definedName>
    <definedName name="IQ_PENSION_AMT_RECOG_NEXT_DOM" hidden="1">"c5745"</definedName>
    <definedName name="IQ_PENSION_AMT_RECOG_NEXT_FOREIGN" hidden="1">"c5746"</definedName>
    <definedName name="IQ_PENSION_AMT_RECOG_PERIOD" hidden="1">"c5747"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I_ACT" hidden="1">"c5723"</definedName>
    <definedName name="IQ_PENSION_CI_ACT_DOM" hidden="1">"c5721"</definedName>
    <definedName name="IQ_PENSION_CI_ACT_FOREIGN" hidden="1">"c5722"</definedName>
    <definedName name="IQ_PENSION_CI_NET_AMT_RECOG" hidden="1">"c5735"</definedName>
    <definedName name="IQ_PENSION_CI_NET_AMT_RECOG_DOM" hidden="1">"c5733"</definedName>
    <definedName name="IQ_PENSION_CI_NET_AMT_RECOG_FOREIGN" hidden="1">"c5734"</definedName>
    <definedName name="IQ_PENSION_CI_OTHER_MISC_ADJ" hidden="1">"c5732"</definedName>
    <definedName name="IQ_PENSION_CI_OTHER_MISC_ADJ_DOM" hidden="1">"c5730"</definedName>
    <definedName name="IQ_PENSION_CI_OTHER_MISC_ADJ_FOREIGN" hidden="1">"c5731"</definedName>
    <definedName name="IQ_PENSION_CI_PRIOR_SERVICE" hidden="1">"c5726"</definedName>
    <definedName name="IQ_PENSION_CI_PRIOR_SERVICE_DOM" hidden="1">"c5724"</definedName>
    <definedName name="IQ_PENSION_CI_PRIOR_SERVICE_FOREIGN" hidden="1">"c5725"</definedName>
    <definedName name="IQ_PENSION_CI_TRANSITION" hidden="1">"c5729"</definedName>
    <definedName name="IQ_PENSION_CI_TRANSITION_DOM" hidden="1">"c5727"</definedName>
    <definedName name="IQ_PENSION_CI_TRANSITION_FOREIGN" hidden="1">"c5728"</definedName>
    <definedName name="IQ_PENSION_CL" hidden="1">"c5753"</definedName>
    <definedName name="IQ_PENSION_CL_DOM" hidden="1">"c5751"</definedName>
    <definedName name="IQ_PENSION_CL_FOREIGN" hidden="1">"c5752"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LT_ASSETS" hidden="1">"c5750"</definedName>
    <definedName name="IQ_PENSION_LT_ASSETS_DOM" hidden="1">"c5748"</definedName>
    <definedName name="IQ_PENSION_LT_ASSETS_FOREIGN" hidden="1">"c5749"</definedName>
    <definedName name="IQ_PENSION_LT_LIAB" hidden="1">"c5756"</definedName>
    <definedName name="IQ_PENSION_LT_LIAB_DOM" hidden="1">"c5754"</definedName>
    <definedName name="IQ_PENSION_LT_LIAB_FOREIGN" hidden="1">"c5755"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IOR_SERVICE_NEXT" hidden="1">"c5741"</definedName>
    <definedName name="IQ_PENSION_PRIOR_SERVICE_NEXT_DOM" hidden="1">"c5739"</definedName>
    <definedName name="IQ_PENSION_PRIOR_SERVICE_NEXT_FOREIGN" hidden="1">"c5740"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TRANSITION_NEXT" hidden="1">"c5744"</definedName>
    <definedName name="IQ_PENSION_TRANSITION_NEXT_DOM" hidden="1">"c5742"</definedName>
    <definedName name="IQ_PENSION_TRANSITION_NEXT_FOREIGN" hidden="1">"c5743"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8MONTHS" hidden="1">"c1853"</definedName>
    <definedName name="IQ_PERCENT_CHANGE_EST_5YR_GROWTH_RATE_3MONTHS" hidden="1">"c1849"</definedName>
    <definedName name="IQ_PERCENT_CHANGE_EST_5YR_GROWTH_RATE_6MONTHS" hidden="1">"c1850"</definedName>
    <definedName name="IQ_PERCENT_CHANGE_EST_5YR_GROWTH_RATE_9MONTHS" hidden="1">"c1851"</definedName>
    <definedName name="IQ_PERCENT_CHANGE_EST_5YR_GROWTH_RATE_DAY" hidden="1">"c1846"</definedName>
    <definedName name="IQ_PERCENT_CHANGE_EST_5YR_GROWTH_RATE_MONTH" hidden="1">"c1848"</definedName>
    <definedName name="IQ_PERCENT_CHANGE_EST_5YR_GROWTH_RATE_WEEK" hidden="1">"c1847"</definedName>
    <definedName name="IQ_PERCENT_CHANGE_EST_CFPS_12MONTHS" hidden="1">"c1812"</definedName>
    <definedName name="IQ_PERCENT_CHANGE_EST_CFPS_18MONTHS" hidden="1">"c1813"</definedName>
    <definedName name="IQ_PERCENT_CHANGE_EST_CFPS_3MONTHS" hidden="1">"c1809"</definedName>
    <definedName name="IQ_PERCENT_CHANGE_EST_CFPS_6MONTHS" hidden="1">"c1810"</definedName>
    <definedName name="IQ_PERCENT_CHANGE_EST_CFPS_9MONTHS" hidden="1">"c1811"</definedName>
    <definedName name="IQ_PERCENT_CHANGE_EST_CFPS_DAY" hidden="1">"c1806"</definedName>
    <definedName name="IQ_PERCENT_CHANGE_EST_CFPS_MONTH" hidden="1">"c1808"</definedName>
    <definedName name="IQ_PERCENT_CHANGE_EST_CFPS_WEEK" hidden="1">"c1807"</definedName>
    <definedName name="IQ_PERCENT_CHANGE_EST_DPS_12MONTHS" hidden="1">"c1820"</definedName>
    <definedName name="IQ_PERCENT_CHANGE_EST_DPS_18MONTHS" hidden="1">"c1821"</definedName>
    <definedName name="IQ_PERCENT_CHANGE_EST_DPS_3MONTHS" hidden="1">"c1817"</definedName>
    <definedName name="IQ_PERCENT_CHANGE_EST_DPS_6MONTHS" hidden="1">"c1818"</definedName>
    <definedName name="IQ_PERCENT_CHANGE_EST_DPS_9MONTHS" hidden="1">"c1819"</definedName>
    <definedName name="IQ_PERCENT_CHANGE_EST_DPS_DAY" hidden="1">"c1814"</definedName>
    <definedName name="IQ_PERCENT_CHANGE_EST_DPS_MONTH" hidden="1">"c1816"</definedName>
    <definedName name="IQ_PERCENT_CHANGE_EST_DPS_WEEK" hidden="1">"c1815"</definedName>
    <definedName name="IQ_PERCENT_CHANGE_EST_EBITDA_12MONTHS" hidden="1">"c1804"</definedName>
    <definedName name="IQ_PERCENT_CHANGE_EST_EBITDA_18MONTHS" hidden="1">"c1805"</definedName>
    <definedName name="IQ_PERCENT_CHANGE_EST_EBITDA_3MONTHS" hidden="1">"c1801"</definedName>
    <definedName name="IQ_PERCENT_CHANGE_EST_EBITDA_6MONTHS" hidden="1">"c1802"</definedName>
    <definedName name="IQ_PERCENT_CHANGE_EST_EBITDA_9MONTHS" hidden="1">"c1803"</definedName>
    <definedName name="IQ_PERCENT_CHANGE_EST_EBITDA_DAY" hidden="1">"c1798"</definedName>
    <definedName name="IQ_PERCENT_CHANGE_EST_EBITDA_MONTH" hidden="1">"c1800"</definedName>
    <definedName name="IQ_PERCENT_CHANGE_EST_EBITDA_WEEK" hidden="1">"c1799"</definedName>
    <definedName name="IQ_PERCENT_CHANGE_EST_EPS_12MONTHS" hidden="1">"c1788"</definedName>
    <definedName name="IQ_PERCENT_CHANGE_EST_EPS_18MONTHS" hidden="1">"c1789"</definedName>
    <definedName name="IQ_PERCENT_CHANGE_EST_EPS_3MONTHS" hidden="1">"c1785"</definedName>
    <definedName name="IQ_PERCENT_CHANGE_EST_EPS_6MONTHS" hidden="1">"c1786"</definedName>
    <definedName name="IQ_PERCENT_CHANGE_EST_EPS_9MONTHS" hidden="1">"c1787"</definedName>
    <definedName name="IQ_PERCENT_CHANGE_EST_EPS_DAY" hidden="1">"c1782"</definedName>
    <definedName name="IQ_PERCENT_CHANGE_EST_EPS_MONTH" hidden="1">"c1784"</definedName>
    <definedName name="IQ_PERCENT_CHANGE_EST_EPS_WEEK" hidden="1">"c1783"</definedName>
    <definedName name="IQ_PERCENT_CHANGE_EST_FFO_12MONTHS" hidden="1">"c1828"</definedName>
    <definedName name="IQ_PERCENT_CHANGE_EST_FFO_18MONTHS" hidden="1">"c1829"</definedName>
    <definedName name="IQ_PERCENT_CHANGE_EST_FFO_3MONTHS" hidden="1">"c1825"</definedName>
    <definedName name="IQ_PERCENT_CHANGE_EST_FFO_6MONTHS" hidden="1">"c1826"</definedName>
    <definedName name="IQ_PERCENT_CHANGE_EST_FFO_9MONTHS" hidden="1">"c1827"</definedName>
    <definedName name="IQ_PERCENT_CHANGE_EST_FFO_DAY" hidden="1">"c1822"</definedName>
    <definedName name="IQ_PERCENT_CHANGE_EST_FFO_MONTH" hidden="1">"c1824"</definedName>
    <definedName name="IQ_PERCENT_CHANGE_EST_FFO_WEEK" hidden="1">"c1823"</definedName>
    <definedName name="IQ_PERCENT_CHANGE_EST_PRICE_TARGET_12MONTHS" hidden="1">"c1844"</definedName>
    <definedName name="IQ_PERCENT_CHANGE_EST_PRICE_TARGET_18MONTHS" hidden="1">"c1845"</definedName>
    <definedName name="IQ_PERCENT_CHANGE_EST_PRICE_TARGET_3MONTHS" hidden="1">"c1841"</definedName>
    <definedName name="IQ_PERCENT_CHANGE_EST_PRICE_TARGET_6MONTHS" hidden="1">"c1842"</definedName>
    <definedName name="IQ_PERCENT_CHANGE_EST_PRICE_TARGET_9MONTHS" hidden="1">"c1843"</definedName>
    <definedName name="IQ_PERCENT_CHANGE_EST_PRICE_TARGET_DAY" hidden="1">"c1838"</definedName>
    <definedName name="IQ_PERCENT_CHANGE_EST_PRICE_TARGET_MONTH" hidden="1">"c1840"</definedName>
    <definedName name="IQ_PERCENT_CHANGE_EST_PRICE_TARGET_WEEK" hidden="1">"c1839"</definedName>
    <definedName name="IQ_PERCENT_CHANGE_EST_RECO_12MONTHS" hidden="1">"c1836"</definedName>
    <definedName name="IQ_PERCENT_CHANGE_EST_RECO_18MONTHS" hidden="1">"c1837"</definedName>
    <definedName name="IQ_PERCENT_CHANGE_EST_RECO_3MONTHS" hidden="1">"c1833"</definedName>
    <definedName name="IQ_PERCENT_CHANGE_EST_RECO_6MONTHS" hidden="1">"c1834"</definedName>
    <definedName name="IQ_PERCENT_CHANGE_EST_RECO_9MONTHS" hidden="1">"c1835"</definedName>
    <definedName name="IQ_PERCENT_CHANGE_EST_RECO_DAY" hidden="1">"c1830"</definedName>
    <definedName name="IQ_PERCENT_CHANGE_EST_RECO_MONTH" hidden="1">"c1832"</definedName>
    <definedName name="IQ_PERCENT_CHANGE_EST_RECO_WEEK" hidden="1">"c1831"</definedName>
    <definedName name="IQ_PERCENT_CHANGE_EST_REV_12MONTHS" hidden="1">"c1796"</definedName>
    <definedName name="IQ_PERCENT_CHANGE_EST_REV_18MONTHS" hidden="1">"c1797"</definedName>
    <definedName name="IQ_PERCENT_CHANGE_EST_REV_3MONTHS" hidden="1">"c1793"</definedName>
    <definedName name="IQ_PERCENT_CHANGE_EST_REV_6MONTHS" hidden="1">"c1794"</definedName>
    <definedName name="IQ_PERCENT_CHANGE_EST_REV_9MONTHS" hidden="1">"c1795"</definedName>
    <definedName name="IQ_PERCENT_CHANGE_EST_REV_DAY" hidden="1">"c1790"</definedName>
    <definedName name="IQ_PERCENT_CHANGE_EST_REV_MONTH" hidden="1">"c1792"</definedName>
    <definedName name="IQ_PERCENT_CHANGE_EST_REV_WEEK" hidden="1">"c1791"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RE_OPEN_COST" hidden="1">"c1040"</definedName>
    <definedName name="IQ_PRE_TAX_ACT_OR_EST" hidden="1">"c2221"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" hidden="1">"c6261"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" hidden="1">"c6262"</definedName>
    <definedName name="IQ_PREF_OTHER_REIT" hidden="1">"c1058"</definedName>
    <definedName name="IQ_PREF_OTHER_UTI" hidden="1">"C6022"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" hidden="1">"c6263"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ETAX_GW_INC_EST" hidden="1">"c1702"</definedName>
    <definedName name="IQ_PRETAX_GW_INC_HIGH_EST" hidden="1">"c1704"</definedName>
    <definedName name="IQ_PRETAX_GW_INC_LOW_EST" hidden="1">"c1705"</definedName>
    <definedName name="IQ_PRETAX_GW_INC_MEDIAN_EST" hidden="1">"c1703"</definedName>
    <definedName name="IQ_PRETAX_GW_INC_NUM_EST" hidden="1">"c1706"</definedName>
    <definedName name="IQ_PRETAX_GW_INC_STDDEV_EST" hidden="1">"c1707"</definedName>
    <definedName name="IQ_PRETAX_INC" hidden="1">"IQ_PRETAX_INC"</definedName>
    <definedName name="IQ_PRETAX_INC_10K" hidden="1">"IQ_PRETAX_INC_10K"</definedName>
    <definedName name="IQ_PRETAX_INC_10Q" hidden="1">"IQ_PRETAX_INC_10Q"</definedName>
    <definedName name="IQ_PRETAX_INC_10Q1" hidden="1">"IQ_PRETAX_INC_10Q1"</definedName>
    <definedName name="IQ_PRETAX_INC_EST" hidden="1">"c1695"</definedName>
    <definedName name="IQ_PRETAX_INC_HIGH_EST" hidden="1">"c1697"</definedName>
    <definedName name="IQ_PRETAX_INC_LOW_EST" hidden="1">"c1698"</definedName>
    <definedName name="IQ_PRETAX_INC_MEDIAN_EST" hidden="1">"c1696"</definedName>
    <definedName name="IQ_PRETAX_INC_NUM_EST" hidden="1">"c1699"</definedName>
    <definedName name="IQ_PRETAX_INC_STDDEV_EST" hidden="1">"c1700"</definedName>
    <definedName name="IQ_PRETAX_REPORT_INC_EST" hidden="1">"c1709"</definedName>
    <definedName name="IQ_PRETAX_REPORT_INC_HIGH_EST" hidden="1">"c1711"</definedName>
    <definedName name="IQ_PRETAX_REPORT_INC_LOW_EST" hidden="1">"c1712"</definedName>
    <definedName name="IQ_PRETAX_REPORT_INC_MEDIAN_EST" hidden="1">"c1710"</definedName>
    <definedName name="IQ_PRETAX_REPORT_INC_NUM_EST" hidden="1">"c1713"</definedName>
    <definedName name="IQ_PRETAX_REPORT_INC_STDDEV_EST" hidden="1">"c1714"</definedName>
    <definedName name="IQ_PRICE_CFPS_FWD" hidden="1">"c2237"</definedName>
    <definedName name="IQ_PRICE_OVER_BVPS" hidden="1">"c1412"</definedName>
    <definedName name="IQ_PRICE_OVER_EPS_EST" hidden="1">"IQ_PRICE_OVER_EPS_EST"</definedName>
    <definedName name="IQ_PRICE_OVER_EPS_EST_1" hidden="1">"IQ_PRICE_OVER_EPS_EST_1"</definedName>
    <definedName name="IQ_PRICE_OVER_LTM_EPS" hidden="1">"c1413"</definedName>
    <definedName name="IQ_PRICE_TARGET" hidden="1">"c82"</definedName>
    <definedName name="IQ_PRICE_TARGET_REUT" hidden="1">"c3631"</definedName>
    <definedName name="IQ_PRICEDATE" hidden="1">"c1069"</definedName>
    <definedName name="IQ_PRICEDATETIME" hidden="1">"IQ_PRICEDATETIME"</definedName>
    <definedName name="IQ_PRICING_DATE" hidden="1">"c1613"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CAGR" hidden="1">"c6135"</definedName>
    <definedName name="IQ_PROVISION_10YR_ANN_GROWTH" hidden="1">"c1077"</definedName>
    <definedName name="IQ_PROVISION_1YR_ANN_GROWTH" hidden="1">"c1078"</definedName>
    <definedName name="IQ_PROVISION_2YR_ANN_CAGR" hidden="1">"c6136"</definedName>
    <definedName name="IQ_PROVISION_2YR_ANN_GROWTH" hidden="1">"c1079"</definedName>
    <definedName name="IQ_PROVISION_3YR_ANN_CAGR" hidden="1">"c6137"</definedName>
    <definedName name="IQ_PROVISION_3YR_ANN_GROWTH" hidden="1">"c1080"</definedName>
    <definedName name="IQ_PROVISION_5YR_ANN_CAGR" hidden="1">"c6138"</definedName>
    <definedName name="IQ_PROVISION_5YR_ANN_GROWTH" hidden="1">"c1081"</definedName>
    <definedName name="IQ_PROVISION_7YR_ANN_CAGR" hidden="1">"c6139"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TD" hidden="1">750000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SHARE_ACT_OR_EST" hidden="1">"c4508"</definedName>
    <definedName name="IQ_REDEEM_PREF_STOCK" hidden="1">"c1417"</definedName>
    <definedName name="IQ_REF_ENTITY" hidden="1">"c6033"</definedName>
    <definedName name="IQ_REF_ENTITY_CIQID" hidden="1">"c6024"</definedName>
    <definedName name="IQ_REF_ENTITY_TICKER" hidden="1">"c6023"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ICTED_CASH_NON_CURRENT" hidden="1">"c6192"</definedName>
    <definedName name="IQ_RESTRICTED_CASH_TOTAL" hidden="1">"c6193"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" hidden="1">"c6264"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"c2903"</definedName>
    <definedName name="IQ_RETAIL_ACQUIRED_OWNED_STORES" hidden="1">"c2895"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"c1422"</definedName>
    <definedName name="IQ_REVENUE_10K" hidden="1">"IQ_REVENUE_10K"</definedName>
    <definedName name="IQ_REVENUE_10Q" hidden="1">"IQ_REVENUE_10Q"</definedName>
    <definedName name="IQ_REVENUE_10Q1" hidden="1">"IQ_REVENUE_10Q1"</definedName>
    <definedName name="IQ_REVENUE_ACT_OR_EST" hidden="1">"c2214"</definedName>
    <definedName name="IQ_REVENUE_EST" hidden="1">"c1126"</definedName>
    <definedName name="IQ_REVENUE_EST_1" hidden="1">"IQ_REVENUE_EST_1"</definedName>
    <definedName name="IQ_REVENUE_EST_REUT" hidden="1">"c3634"</definedName>
    <definedName name="IQ_REVENUE_GROWTH_1" hidden="1">"IQ_REVENUE_GROWTH_1"</definedName>
    <definedName name="IQ_REVENUE_GROWTH_2" hidden="1">"IQ_REVENUE_GROWTH_2"</definedName>
    <definedName name="IQ_REVENUE_HIGH_EST" hidden="1">"c1127"</definedName>
    <definedName name="IQ_REVENUE_HIGH_EST_REUT" hidden="1">"c3636"</definedName>
    <definedName name="IQ_REVENUE_LOW_EST" hidden="1">"c1128"</definedName>
    <definedName name="IQ_REVENUE_LOW_EST_REUT" hidden="1">"c3637"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38944.634837963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" hidden="1">"c6284"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" hidden="1">"c6265"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_PURCHASED_AVERAGE_PRICE" hidden="1">"c5821"</definedName>
    <definedName name="IQ_SHARES_PURCHASED_QUARTER" hidden="1">"c5820"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BANK" hidden="1">"c2637"</definedName>
    <definedName name="IQ_SP_BANK_ACTION" hidden="1">"c2636"</definedName>
    <definedName name="IQ_SP_BANK_DATE" hidden="1">"c2635"</definedName>
    <definedName name="IQ_SP_DATE" hidden="1">"c2172"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" hidden="1">"c6266"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" hidden="1">"c6267"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" hidden="1">"c6268"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" hidden="1">"c6269"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GA" hidden="1">"c2993"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CAGR" hidden="1">"c6169"</definedName>
    <definedName name="IQ_TBV_10YR_ANN_GROWTH" hidden="1">"c1936"</definedName>
    <definedName name="IQ_TBV_1YR_ANN_GROWTH" hidden="1">"c1931"</definedName>
    <definedName name="IQ_TBV_2YR_ANN_CAGR" hidden="1">"c6165"</definedName>
    <definedName name="IQ_TBV_2YR_ANN_GROWTH" hidden="1">"c1932"</definedName>
    <definedName name="IQ_TBV_3YR_ANN_CAGR" hidden="1">"c6166"</definedName>
    <definedName name="IQ_TBV_3YR_ANN_GROWTH" hidden="1">"c1933"</definedName>
    <definedName name="IQ_TBV_5YR_ANN_CAGR" hidden="1">"c6167"</definedName>
    <definedName name="IQ_TBV_5YR_ANN_GROWTH" hidden="1">"c1934"</definedName>
    <definedName name="IQ_TBV_7YR_ANN_CAGR" hidden="1">"c6168"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" hidden="1">"c6270"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CAGR" hidden="1">"c6140"</definedName>
    <definedName name="IQ_TOTAL_ASSETS_10YR_ANN_GROWTH" hidden="1">"c1235"</definedName>
    <definedName name="IQ_TOTAL_ASSETS_1YR_ANN_GROWTH" hidden="1">"c1236"</definedName>
    <definedName name="IQ_TOTAL_ASSETS_2YR_ANN_CAGR" hidden="1">"c6141"</definedName>
    <definedName name="IQ_TOTAL_ASSETS_2YR_ANN_GROWTH" hidden="1">"c1237"</definedName>
    <definedName name="IQ_TOTAL_ASSETS_3YR_ANN_CAGR" hidden="1">"c6142"</definedName>
    <definedName name="IQ_TOTAL_ASSETS_3YR_ANN_GROWTH" hidden="1">"c1238"</definedName>
    <definedName name="IQ_TOTAL_ASSETS_5YR_ANN_CAGR" hidden="1">"c6143"</definedName>
    <definedName name="IQ_TOTAL_ASSETS_5YR_ANN_GROWTH" hidden="1">"c1239"</definedName>
    <definedName name="IQ_TOTAL_ASSETS_7YR_ANN_CAGR" hidden="1">"c6144"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XCL_FIN" hidden="1">"c2937"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" hidden="1">"c6271"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" hidden="1">"c6272"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CAGR" hidden="1">"c6145"</definedName>
    <definedName name="IQ_TOTAL_EQUITY_10YR_ANN_GROWTH" hidden="1">"c1268"</definedName>
    <definedName name="IQ_TOTAL_EQUITY_1YR_ANN_GROWTH" hidden="1">"c1269"</definedName>
    <definedName name="IQ_TOTAL_EQUITY_2YR_ANN_CAGR" hidden="1">"c6146"</definedName>
    <definedName name="IQ_TOTAL_EQUITY_2YR_ANN_GROWTH" hidden="1">"c1270"</definedName>
    <definedName name="IQ_TOTAL_EQUITY_3YR_ANN_CAGR" hidden="1">"c6147"</definedName>
    <definedName name="IQ_TOTAL_EQUITY_3YR_ANN_GROWTH" hidden="1">"c1271"</definedName>
    <definedName name="IQ_TOTAL_EQUITY_5YR_ANN_CAGR" hidden="1">"c6148"</definedName>
    <definedName name="IQ_TOTAL_EQUITY_5YR_ANN_GROWTH" hidden="1">"c1272"</definedName>
    <definedName name="IQ_TOTAL_EQUITY_7YR_ANN_CAGR" hidden="1">"c6149"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" hidden="1">"c6273"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" hidden="1">"c6274"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ABLE_END_OS" hidden="1">"c5819"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CAGR" hidden="1">"c6150"</definedName>
    <definedName name="IQ_TOTAL_REV_10YR_ANN_GROWTH" hidden="1">"c1295"</definedName>
    <definedName name="IQ_TOTAL_REV_1YR_ANN_GROWTH" hidden="1">"c1296"</definedName>
    <definedName name="IQ_TOTAL_REV_2YR_ANN_CAGR" hidden="1">"c6151"</definedName>
    <definedName name="IQ_TOTAL_REV_2YR_ANN_GROWTH" hidden="1">"c1297"</definedName>
    <definedName name="IQ_TOTAL_REV_3YR_ANN_CAGR" hidden="1">"c6152"</definedName>
    <definedName name="IQ_TOTAL_REV_3YR_ANN_GROWTH" hidden="1">"c1298"</definedName>
    <definedName name="IQ_TOTAL_REV_5YR_ANN_CAGR" hidden="1">"c6153"</definedName>
    <definedName name="IQ_TOTAL_REV_5YR_ANN_GROWTH" hidden="1">"c1299"</definedName>
    <definedName name="IQ_TOTAL_REV_7YR_ANN_CAGR" hidden="1">"c6154"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" hidden="1">"c6275"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" hidden="1">"c6286"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" hidden="1">"c6276"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CAGR" hidden="1">"c6179"</definedName>
    <definedName name="IQ_UFCF_10YR_ANN_GROWTH" hidden="1">"c1948"</definedName>
    <definedName name="IQ_UFCF_1YR_ANN_GROWTH" hidden="1">"c1943"</definedName>
    <definedName name="IQ_UFCF_2YR_ANN_CAGR" hidden="1">"c6175"</definedName>
    <definedName name="IQ_UFCF_2YR_ANN_GROWTH" hidden="1">"c1944"</definedName>
    <definedName name="IQ_UFCF_3YR_ANN_CAGR" hidden="1">"c6176"</definedName>
    <definedName name="IQ_UFCF_3YR_ANN_GROWTH" hidden="1">"c1945"</definedName>
    <definedName name="IQ_UFCF_5YR_ANN_CAGR" hidden="1">"c6177"</definedName>
    <definedName name="IQ_UFCF_5YR_ANN_GROWTH" hidden="1">"c1946"</definedName>
    <definedName name="IQ_UFCF_7YR_ANN_CAGR" hidden="1">"c6178"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" hidden="1">"c6277"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jim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jksdf" hidden="1">{"client cfbs",#N/A,FALSE,"Client"}</definedName>
    <definedName name="jny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K2_WBEVMODE" hidden="1">-1</definedName>
    <definedName name="kamil" hidden="1">{"glc1",#N/A,FALSE,"GLC";"glc2",#N/A,FALSE,"GLC";"glc3",#N/A,FALSE,"GLC";"glc4",#N/A,FALSE,"GLC";"glc5",#N/A,FALSE,"GLC"}</definedName>
    <definedName name="KFP" hidden="1">{"glc1",#N/A,FALSE,"GLC";"glc2",#N/A,FALSE,"GLC";"glc3",#N/A,FALSE,"GLC";"glc4",#N/A,FALSE,"GLC";"glc5",#N/A,FALSE,"GLC"}</definedName>
    <definedName name="kop" hidden="1">{#N/A,#N/A,FALSE,"Aging Summary";#N/A,#N/A,FALSE,"Ratio Analysis";#N/A,#N/A,FALSE,"Test 120 Day Accts";#N/A,#N/A,FALSE,"Tickmarks"}</definedName>
    <definedName name="limcount" hidden="1">1</definedName>
    <definedName name="ll" hidden="1">{#N/A,#N/A,FALSE,"Aging Summary";#N/A,#N/A,FALSE,"Ratio Analysis";#N/A,#N/A,FALSE,"Test 120 Day Accts";#N/A,#N/A,FALSE,"Tickmarks"}</definedName>
    <definedName name="mistake" hidden="1">{#N/A,#N/A,FALSE,"Sales"}</definedName>
    <definedName name="mmm" hidden="1">{#N/A,#N/A,FALSE,"DCF";#N/A,#N/A,FALSE,"WACC";#N/A,#N/A,FALSE,"Sales_EBIT";#N/A,#N/A,FALSE,"Capex_Depreciation";#N/A,#N/A,FALSE,"WC";#N/A,#N/A,FALSE,"Interest";#N/A,#N/A,FALSE,"Assumptions"}</definedName>
    <definedName name="mmmm" hidden="1">{#N/A,#N/A,FALSE,"Inc. Statement-DCF";#N/A,#N/A,FALSE,"Assumptions";#N/A,#N/A,FALSE,"Inputs - Sales (KFF)";#N/A,#N/A,FALSE,"Inputs - Margins %";#N/A,#N/A,FALSE,"Inputs - Units";#N/A,#N/A,FALSE,"Output - Prices";#N/A,#N/A,FALSE,"Outputs - Margins (KFF)";#N/A,#N/A,FALSE,"Outputs - Costs";#N/A,#N/A,FALSE,"Outputs - Costs % ";#N/A,#N/A,FALSE,"Output - Units % Inc.";#N/A,#N/A,FALSE,"Output - Sales % Inc";#N/A,#N/A,FALSE,"Output - Prices % Inc.";#N/A,#N/A,FALSE,"WACC"}</definedName>
    <definedName name="mmmmm" hidden="1">{"Valuation_Common",#N/A,FALSE,"Valuation"}</definedName>
    <definedName name="mmmmmm" hidden="1">{"Страница 1",#N/A,FALSE,"Модель Интенсивника";"Страница 2",#N/A,FALSE,"Модель Интенсивника";"Страница 3",#N/A,FALSE,"Модель Интенсивника"}</definedName>
    <definedName name="mmmmmmmm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mmmmmmmmm" hidden="1">{#N/A,#N/A,TRUE,"Лист2"}</definedName>
    <definedName name="naa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new" hidden="1">{"summary report",#N/A,FALSE,"SUMMARY REPORT";"salary model ytd",#N/A,FALSE,"SALARY MODEL - YTD";"salary model mtd",#N/A,FALSE,"SALARY MODEL - MTD";"detail 311",#N/A,FALSE,"311 ACTUAL"}</definedName>
    <definedName name="nnnnnnnnnnnnn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nnnnnnnnnnnnnnn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nnnnnnnnnnnnnnnnnn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oo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ooo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oooooo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pp" hidden="1">{#N/A,#N/A,FALSE,"Aging Summary";#N/A,#N/A,FALSE,"Ratio Analysis";#N/A,#N/A,FALSE,"Test 120 Day Accts";#N/A,#N/A,FALSE,"Tickmarks"}</definedName>
    <definedName name="příjmy" hidden="1">{"glc1",#N/A,FALSE,"GLC";"glc2",#N/A,FALSE,"GLC";"glc3",#N/A,FALSE,"GLC";"glc4",#N/A,FALSE,"GLC";"glc5",#N/A,FALSE,"GLC"}</definedName>
    <definedName name="_xlnm.Print_Area" localSheetId="4">BS!$B$2:$I$45</definedName>
    <definedName name="_xlnm.Print_Area" localSheetId="5">CF!$B$2:$I$44</definedName>
    <definedName name="_xlnm.Print_Area" localSheetId="13">'Comp Sheet'!$B$2:$L$16</definedName>
    <definedName name="_xlnm.Print_Area" localSheetId="0">Cover!$B$2:$L$3</definedName>
    <definedName name="_xlnm.Print_Area" localSheetId="9">DCF!$B$2:$I$34</definedName>
    <definedName name="_xlnm.Print_Area" localSheetId="8">Debt!$B$2:$E$21</definedName>
    <definedName name="_xlnm.Print_Area" localSheetId="7">Equity!$B$2:$E$30</definedName>
    <definedName name="_xlnm.Print_Area" localSheetId="11">Holders!$B$2:$H$25</definedName>
    <definedName name="_xlnm.Print_Area" localSheetId="2">IS!$B$2:$I$35</definedName>
    <definedName name="_xlnm.Print_Area" localSheetId="3">'IS-Segments'!$B$2:$I$80</definedName>
    <definedName name="_xlnm.Print_Area" localSheetId="12">Returns!$B$2:$I$40</definedName>
    <definedName name="_xlnm.Print_Area" localSheetId="10">Sensitivity!$B$2:$K$42</definedName>
    <definedName name="_xlnm.Print_Area" localSheetId="1">Summary!$B$2:$O$19</definedName>
    <definedName name="_xlnm.Print_Area" localSheetId="6">WC!$B$2:$I$22</definedName>
    <definedName name="qe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qq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qqq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Quarterly" hidden="1">{"Annual",#N/A,FALSE,"Sales &amp; Market";"Quarterly",#N/A,FALSE,"Sales &amp; Market"}</definedName>
    <definedName name="quarterly1" hidden="1">{"Annual",#N/A,FALSE,"Sales &amp; Market";"Quarterly",#N/A,FALSE,"Sales &amp; Market"}</definedName>
    <definedName name="qw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rawerwerfwarf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rozvaha_vysledovka" hidden="1">{"glc1",#N/A,FALSE,"GLC";"glc2",#N/A,FALSE,"GLC";"glc3",#N/A,FALSE,"GLC";"glc4",#N/A,FALSE,"GLC";"glc5",#N/A,FALSE,"GLC"}</definedName>
    <definedName name="rr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rrr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rrrrrrrrrrrrrrrrrrrrrrrr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SAPBEXrevision" hidden="1">1</definedName>
    <definedName name="SAPBEXsysID" hidden="1">"BWP"</definedName>
    <definedName name="SAPBEXwbID" hidden="1">"84MNLAZ0HDCMBFWARUK2VC28J"</definedName>
    <definedName name="save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sencount" hidden="1">1</definedName>
    <definedName name="sfsfs" hidden="1">"W:\WPFILES\GB759\EXCEL\FIGBUS.mdb"</definedName>
    <definedName name="sn" hidden="1">{"HEDGES",#N/A,FALSE,"Summary";"SUMMARY",#N/A,FALSE,"Summary"}</definedName>
    <definedName name="sssssss" hidden="1">{"Страница 1",#N/A,FALSE,"Модель Интенсивника";"Страница 3",#N/A,FALSE,"Модель Интенсивника"}</definedName>
    <definedName name="ssssssssssss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sssssssssssssss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sssssssssssssssss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sssssssssssssssssss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tt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ttt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uu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uuuuuuuuuuuu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vvvv" hidden="1">{"DCF","UPSIDE CASE",FALSE,"Sheet1";"DCF","BASE CASE",FALSE,"Sheet1";"DCF","DOWNSIDE CASE",FALSE,"Sheet1"}</definedName>
    <definedName name="wrn" hidden="1">{"glc1",#N/A,FALSE,"GLC";"glc2",#N/A,FALSE,"GLC";"glc3",#N/A,FALSE,"GLC";"glc4",#N/A,FALSE,"GLC";"glc5",#N/A,FALSE,"GLC"}</definedName>
    <definedName name="wrn.Acquisition_matrix." hidden="1">{"Acq_matrix",#N/A,FALSE,"Acquisition Matrix"}</definedName>
    <definedName name="wrn.Actual._.Data._.Entry." hidden="1">{#N/A,#N/A,FALSE,"Sales"}</definedName>
    <definedName name="wrn.adj95." hidden="1">{"adj95mult",#N/A,FALSE,"COMPCO";"adj95est",#N/A,FALSE,"COMPCO"}</definedName>
    <definedName name="wrn.adj95a" hidden="1">{"adj95mult",#N/A,FALSE,"COMPCO";"adj95est",#N/A,FALSE,"COMPCO"}</definedName>
    <definedName name="wrn.Aging._.and._.Trend._.Analysis." hidden="1">{#N/A,#N/A,FALSE,"Aging Summary";#N/A,#N/A,FALSE,"Ratio Analysis";#N/A,#N/A,FALSE,"Test 120 Day Accts";#N/A,#N/A,FALSE,"Tickmarks"}</definedName>
    <definedName name="wrn.ALL." hidden="1">{"INTEREST",#N/A,FALSE,"A";"RATE",#N/A,FALSE,"A"}</definedName>
    <definedName name="wrn.Annual_n_Quarterly." hidden="1">{"Annual",#N/A,FALSE,"Sales &amp; Market";"Quarterly",#N/A,FALSE,"Sales &amp; Market"}</definedName>
    <definedName name="wrn.AQUIROR._.DCF." hidden="1">{"AQUIRORDCF",#N/A,FALSE,"Merger consequences";"Acquirorassns",#N/A,FALSE,"Merger consequences"}</definedName>
    <definedName name="wrn.backup." hidden="1">{"background",#N/A,FALSE,"CS First Boston Merger Model";"inputs",#N/A,FALSE,"CS First Boston Merger Model"}</definedName>
    <definedName name="wrn.Basic." hidden="1">{#N/A,#N/A,FALSE,"Cover";#N/A,#N/A,FALSE,"Assumptions";#N/A,#N/A,FALSE,"Acquirer";#N/A,#N/A,FALSE,"Target";#N/A,#N/A,FALSE,"Income Statement";#N/A,#N/A,FALSE,"Summary Tables"}</definedName>
    <definedName name="wrn.basicfin." hidden="1">{"assets",#N/A,FALSE,"historicBS";"liab",#N/A,FALSE,"historicBS";"is",#N/A,FALSE,"historicIS";"ratios",#N/A,FALSE,"ratios"}</definedName>
    <definedName name="wrn.Client._.cfbs." hidden="1">{"client cfbs",#N/A,FALSE,"Client"}</definedName>
    <definedName name="wrn.Client._.is." hidden="1">{"client is",#N/A,FALSE,"Client"}</definedName>
    <definedName name="wrn.Client._.stats." hidden="1">{"client stats",#N/A,FALSE,"Client"}</definedName>
    <definedName name="wrn.compco." hidden="1">{"mult96",#N/A,FALSE,"PETCOMP";"est96",#N/A,FALSE,"PETCOMP";"mult95",#N/A,FALSE,"PETCOMP";"est95",#N/A,FALSE,"PETCOMP";"multltm",#N/A,FALSE,"PETCOMP";"resultltm",#N/A,FALSE,"PETCOMP"}</definedName>
    <definedName name="wrn.compco2" hidden="1">{"mult96",#N/A,FALSE,"PETCOMP";"est96",#N/A,FALSE,"PETCOMP";"mult95",#N/A,FALSE,"PETCOMP";"est95",#N/A,FALSE,"PETCOMP";"multltm",#N/A,FALSE,"PETCOMP";"resultltm",#N/A,FALSE,"PETCOMP"}</definedName>
    <definedName name="wrn.DCF." hidden="1">{"DCF1",#N/A,FALSE,"SIERRA DCF";"MATRIX1",#N/A,FALSE,"SIERRA DCF"}</definedName>
    <definedName name="wrn.DCF_Terminal_Value_qchm." hidden="1">{"qchm_dcf",#N/A,FALSE,"QCHMDCF2";"qchm_terminal",#N/A,FALSE,"QCHMDCF2"}</definedName>
    <definedName name="wrn.DCFEpervier." hidden="1">{#N/A,#N/A,FALSE,"Inc. Statement-DCF";#N/A,#N/A,FALSE,"Assumptions";#N/A,#N/A,FALSE,"Inputs - Sales (KFF)";#N/A,#N/A,FALSE,"Inputs - Margins %";#N/A,#N/A,FALSE,"Inputs - Units";#N/A,#N/A,FALSE,"Output - Prices";#N/A,#N/A,FALSE,"Outputs - Margins (KFF)";#N/A,#N/A,FALSE,"Outputs - Costs";#N/A,#N/A,FALSE,"Outputs - Costs % ";#N/A,#N/A,FALSE,"Output - Units % Inc.";#N/A,#N/A,FALSE,"Output - Sales % Inc";#N/A,#N/A,FALSE,"Output - Prices % Inc.";#N/A,#N/A,FALSE,"WACC"}</definedName>
    <definedName name="wrn.Economic._.Value._.Added._.Analysis." hidden="1">{"EVA",#N/A,FALSE,"EVA";"WACC",#N/A,FALSE,"WACC"}</definedName>
    <definedName name="wrn.FOUR._.CASES." hidden="1">{"MODEL","ALL STOCK",FALSE,"CS First Boston Merger Model";"MODEL","ALL CASH",FALSE,"CS First Boston Merger Model";"MODEL","ALL CASH WITH EQUITY OFFERING",FALSE,"CS First Boston Merger Model";"MODEL","HALF CASH/HALF STOCK",FALSE,"CS First Boston Merger Model"}</definedName>
    <definedName name="wrn.Full." hidden="1">{"Comp1",#N/A,FALSE,"COMP";"Comp2",#N/A,FALSE,"COMP";"Comp3",#N/A,FALSE,"COMP";"Comp4",#N/A,FALSE,"COMP"}</definedName>
    <definedName name="wrn.full._.report." hidden="1">{"summary",#N/A,FALSE,"Summary";"transaction",#N/A,FALSE,"Transaction";"sales",#N/A,FALSE,"Sales";"sales existing",#N/A,FALSE,"Sales";"sales rd1",#N/A,FALSE,"Sales";"sales rd2",#N/A,FALSE,"Sales";"costs",#N/A,FALSE,"Costs";"income statement",#N/A,FALSE,"Financials";"cash flow statement",#N/A,FALSE,"Financials";"balance sheet",#N/A,FALSE,"Financials";"consolidated capitalization",#N/A,FALSE,"Financials";"op co. capitalization",#N/A,FALSE,"Financials";"ebitda",#N/A,FALSE,"EBITDA";"profit imp opps",#N/A,FALSE,"EBITDA";"returns",#N/A,FALSE,"Equity &amp; Sub Valuation"}</definedName>
    <definedName name="wrn.glc." hidden="1">{"glcbs",#N/A,FALSE,"GLCBS";"glccsbs",#N/A,FALSE,"GLCCSBS";"glcis",#N/A,FALSE,"GLCIS";"glccsis",#N/A,FALSE,"GLCCSIS";"glcrat1",#N/A,FALSE,"GLC-ratios1"}</definedName>
    <definedName name="wrn.glcpromonte." hidden="1">{"glc1",#N/A,FALSE,"GLC";"glc2",#N/A,FALSE,"GLC";"glc3",#N/A,FALSE,"GLC";"glc4",#N/A,FALSE,"GLC";"glc5",#N/A,FALSE,"GLC"}</definedName>
    <definedName name="wrn.Internal._.is." hidden="1">{"internal is",#N/A,FALSE,"Model"}</definedName>
    <definedName name="wrn.OUTPUT." hidden="1">{"DCF","UPSIDE CASE",FALSE,"Sheet1";"DCF","BASE CASE",FALSE,"Sheet1";"DCF","DOWNSIDE CASE",FALSE,"Sheet1"}</definedName>
    <definedName name="wrn.Portrait._.letter._.is." hidden="1">{"portrait letter is",#N/A,FALSE,"Model"}</definedName>
    <definedName name="wrn.Print." hidden="1">{"OSMDIV",#N/A,FALSE,"A";"OGI",#N/A,FALSE,"A";"CPC",#N/A,FALSE,"A";"all_print",#N/A,FALSE,"A";"all_print",#N/A,FALSE,"A"}</definedName>
    <definedName name="wrn.Print._.Sum_Hedges." hidden="1">{"HEDGES",#N/A,FALSE,"Summary";"SUMMARY",#N/A,FALSE,"Summary"}</definedName>
    <definedName name="wrn.QTR._.1._.INCOME._.STATEMENT." hidden="1">{"QTR 1 INC STMT",#N/A,FALSE,"INCOME STATEMENT";"QTR 1 SUPP",#N/A,FALSE,"SUPPLEMENTAL"}</definedName>
    <definedName name="wrn.QTR._.1._.MCS." hidden="1">{"QTR 1 MELT",#N/A,FALSE,"MELT SHOP";"QTR 1 SCARF",#N/A,FALSE,"SCARFING";"QTR 1 OLD SLAB",#N/A,FALSE,"SLAB PREPARATION";"QTR 1 NEW ROLLING",#N/A,FALSE,"PLATE FINISHING &amp; ROLLING";"QTR 1 COIL ROLL",#N/A,FALSE,"COIL FINISHING &amp; ROLLING ";"QTR 1 NEW PLATE",#N/A,FALSE,"FINISHED PLATE INVENTORY";"QTR 1 COIL",#N/A,FALSE,"FINISHED COIL INVENTORY ";"QTR 1 HT GREEN",#N/A,FALSE,"HEAT TREAT - GREEN";"QTR 1 HT TREATED",#N/A,FALSE,"HEAT TREAT - TREATED"}</definedName>
    <definedName name="wrn.QTR._.2._.INCOME._.STATEMENT." hidden="1">{"QTR 2 INC STMT",#N/A,FALSE,"INCOME STATEMENT";"QTR 2 SUPP",#N/A,FALSE,"SUPPLEMENTAL"}</definedName>
    <definedName name="wrn.QTR._.2._.MCS." hidden="1">{"QTR 2 SCRAP",#N/A,FALSE,"SCRAP";"QTR 2 HBI",#N/A,FALSE,"HBI";"QTR 2 PIG IRON",#N/A,FALSE,"PIG IRON";"QTR 2 MELT",#N/A,FALSE,"MELT SHOP";"QTR 2 SCARF",#N/A,FALSE,"SCARFING";"QTR 2 OLD SLAB",#N/A,FALSE,"SLAB PREPARATION-OLD";"QTR 2 NEW SLAB",#N/A,FALSE,"SLAB PREPARATION-NEW";"QTR 2 OLD ROLLING",#N/A,FALSE,"PLATE FINISHING &amp; ROLLING-OLD";"QTR 2 NEW ROLLING",#N/A,FALSE,"PLATE FINISHING &amp; ROLLING-NEW";"QTR 2 COIL ROLL",#N/A,FALSE,"COIL FINISHING &amp; ROLLING ";"QTR 2 OLD PLATE",#N/A,FALSE,"FINISHED PLATE INVENTORY-OLD";"QTR 2 NEW PLATE",#N/A,FALSE,"FINISHED PLATE INVENTORY-NEW";"QTR 2 COIL",#N/A,FALSE,"FINISHED COIL INVENTORY ";"QTR 2 HT GREEN",#N/A,FALSE,"HEAT TREAT - GREEN";"QTR 2 HT TREATED",#N/A,FALSE,"HEAT TREAT - TREATED"}</definedName>
    <definedName name="wrn.QTR._.3._.INCOME._.STATEMENT." hidden="1">{"QTR 3 INC STMT",#N/A,FALSE,"INCOME STATEMENT";"QTR 3 SUPP",#N/A,FALSE,"SUPPLEMENTAL"}</definedName>
    <definedName name="wrn.QTR._.3._.MCS." hidden="1">{"QTR 3 SCRAP",#N/A,FALSE,"SCRAP";"QTR 3 PIG IRON",#N/A,FALSE,"PIG IRON";"QTR 3 HBI",#N/A,FALSE,"HBI";"QTR 3 MELT",#N/A,FALSE,"MELT SHOP";"QTR 3 SCARF",#N/A,FALSE,"SCARFING";"QTR 3 OLD SLAB",#N/A,FALSE,"SLAB PREPARATION-OLD";"QTR 3 NEW SLAB",#N/A,FALSE,"SLAB PREPARATION-NEW";"QTR 3 OLD ROLLING",#N/A,FALSE,"PLATE FINISHING &amp; ROLLING-OLD";"QTR 3 NEW ROLLING",#N/A,FALSE,"PLATE FINISHING &amp; ROLLING-NEW";"QTR 3 COIL ROLL",#N/A,FALSE,"COIL FINISHING &amp; ROLLING ";"QTR 3 OLD PLATE",#N/A,FALSE,"FINISHED PLATE INVENTORY-OLD";"QTR 3 NEW PLATE",#N/A,FALSE,"FINISHED PLATE INVENTORY-NEW";"QTR 3 COIL",#N/A,FALSE,"FINISHED COIL INVENTORY ";"QTR 3 HT GREEN",#N/A,FALSE,"HEAT TREAT - GREEN";"QTR 3 HT TREATED",#N/A,FALSE,"HEAT TREAT - TREATED"}</definedName>
    <definedName name="wrn.QTR._.4._.INCOME._.STATEMENT." hidden="1">{"QTR 4 INC STMT",#N/A,FALSE,"INCOME STATEMENT";"QTR 4 SUPP",#N/A,FALSE,"SUPPLEMENTAL"}</definedName>
    <definedName name="wrn.QTR._.4._.MCS." hidden="1">{"QTR 4 SCRAP",#N/A,FALSE,"SCRAP";"QTR 4 HBI",#N/A,FALSE,"HBI";"QTR 4 PIG IRON",#N/A,FALSE,"PIG IRON";"QTR 4 MELT",#N/A,FALSE,"MELT SHOP";"QTR 4 SCARF",#N/A,FALSE,"SCARFING";"QTR 4 OLD SLAB",#N/A,FALSE,"SLAB PREPARATION-OLD";"QTR 4 NEW SLAB",#N/A,FALSE,"SLAB PREPARATION-NEW";"QTR 4 OLD ROLLING",#N/A,FALSE,"PLATE FINISHING &amp; ROLLING-OLD";"QTR 4 NEW ROLLING",#N/A,FALSE,"PLATE FINISHING &amp; ROLLING-NEW";"QTR 4 COIL ROLL",#N/A,FALSE,"COIL FINISHING &amp; ROLLING ";"QTR 4 OLD PLATE",#N/A,FALSE,"FINISHED PLATE INVENTORY-OLD";"QTR 4 NEW PLATE",#N/A,FALSE,"FINISHED PLATE INVENTORY-NEW";"QTR 4 COIL",#N/A,FALSE,"FINISHED COIL INVENTORY ";"QTR 4 HT GREEN",#N/A,FALSE,"HEAT TREAT - GREEN";"QTR 4 HT TREATED",#N/A,FALSE,"HEAT TREAT - TREATED"}</definedName>
    <definedName name="wrn.QTRLY._.MCS." hidden="1">{"QTRLY SCRAP",#N/A,FALSE,"SCRAP";"QTRLY PIG IRON",#N/A,FALSE,"PIG IRON";"QTRLY HBI",#N/A,FALSE,"HBI";"QTRLY MELT",#N/A,FALSE,"MELT SHOP";"QTRLY SCARF",#N/A,FALSE,"SCARFING";"QTRLY OLD SLAB",#N/A,FALSE,"SLAB PREPARATION-OLD";"QTRLY NEW SLAB",#N/A,FALSE,"SLAB PREPARATION-NEW";"QTRLY OLD ROLLING",#N/A,FALSE,"PLATE FINISHING &amp; ROLLING-OLD";"QTRLY NEW ROLLING",#N/A,FALSE,"PLATE FINISHING &amp; ROLLING-NEW";"QTRLY COIL ROLL",#N/A,FALSE,"COIL FINISHING &amp; ROLLING ";"QTRLY OLD PLATE",#N/A,FALSE,"FINISHED PLATE INVENTORY-OLD";"QTRLY NEW PLATE",#N/A,FALSE,"FINISHED PLATE INVENTORY-NEW";"QTRLY COIL",#N/A,FALSE,"FINISHED COIL INVENTORY ";"QTRLY HT GREEN",#N/A,FALSE,"HEAT TREAT - GREEN";"QTRLY HT TREATED",#N/A,FALSE,"HEAT TREAT - TREATED"}</definedName>
    <definedName name="wrn.QUARTERLY._.INCOME._.STATEMENT." hidden="1">{"QTRLY INC STMT",#N/A,FALSE,"INCOME STATEMENT";"QTRLY SUPP",#N/A,FALSE,"SUPPLEMENTAL"}</definedName>
    <definedName name="wrn.report._.set._.with._.311." hidden="1">{"summary report",#N/A,FALSE,"SUMMARY REPORT";"salary model ytd",#N/A,FALSE,"SALARY MODEL - YTD";"salary model mtd",#N/A,FALSE,"SALARY MODEL - MTD";"detail 311",#N/A,FALSE,"311 ACTUAL"}</definedName>
    <definedName name="wrn.report._.set._.without._.311." hidden="1">{"summary report",#N/A,FALSE,"SUMMARY REPORT";"salary model ytd",#N/A,FALSE,"SALARY MODEL - YTD";"salary model mtd",#N/A,FALSE,"SALARY MODEL - MTD"}</definedName>
    <definedName name="wrn.sales." hidden="1">{"sales",#N/A,FALSE,"Sales";"sales existing",#N/A,FALSE,"Sales";"sales rd1",#N/A,FALSE,"Sales";"sales rd2",#N/A,FALSE,"Sales"}</definedName>
    <definedName name="wrn.TARGET._.DCF." hidden="1">{"targetdcf",#N/A,FALSE,"Merger consequences";"TARGETASSU",#N/A,FALSE,"Merger consequences";"TERMINAL VALUE",#N/A,FALSE,"Merger consequences"}</definedName>
    <definedName name="wrn.test." hidden="1">{"Valuation_Common",#N/A,FALSE,"Valuation"}</definedName>
    <definedName name="wrn.ukazatele." hidden="1">{#N/A,#N/A,FALSE,"List A";#N/A,#N/A,FALSE,"ListB";#N/A,#N/A,FALSE,"ListC";#N/A,#N/A,FALSE,"ListCash";#N/A,#N/A,FALSE,"ListHF";#N/A,#N/A,FALSE,"ListUK";#N/A,#N/A,FALSE,"Graf"}</definedName>
    <definedName name="wrn.апрель.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wrn.ку." hidden="1">{#N/A,#N/A,TRUE,"Лист2"}</definedName>
    <definedName name="wrn.Модель._.Интенсивника." hidden="1">{"Страница 1",#N/A,FALSE,"Модель Интенсивника";"Страница 2",#N/A,FALSE,"Модель Интенсивника";"Страница 3",#N/A,FALSE,"Модель Интенсивника"}</definedName>
    <definedName name="wrn.Модель._.Интенсивника._.стр._.1._.и._.3." hidden="1">{"Страница 1",#N/A,FALSE,"Модель Интенсивника";"Страница 3",#N/A,FALSE,"Модель Интенсивника"}</definedName>
    <definedName name="wrn.Отчет.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wrn.справк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wrn.ФП_КМК." hidden="1">{#N/A,#N/A,FALSE,"Титул_ОСН";#N/A,#N/A,FALSE,"Итоги";#N/A,#N/A,FALSE,"Источники";#N/A,#N/A,FALSE,"ПрочПродажи";#N/A,#N/A,FALSE,"ЗП";#N/A,#N/A,FALSE,"Налоги";#N/A,#N/A,FALSE,"Энерго";#N/A,#N/A,FALSE,"Сырьё";#N/A,#N/A,FALSE,"Снабжение";#N/A,#N/A,FALSE,"Оборудование";#N/A,#N/A,FALSE,"Транспорт";#N/A,#N/A,FALSE,"Коммерция";#N/A,#N/A,FALSE,"ТЕК_РЕМ";#N/A,#N/A,FALSE,"КАП_РЕМ";#N/A,#N/A,FALSE,"КАП_СТР";#N/A,#N/A,FALSE,"НИОКР";#N/A,#N/A,FALSE,"Кадры";#N/A,#N/A,FALSE,"СОЦ";#N/A,#N/A,FALSE,"НепромПр";#N/A,#N/A,FALSE,"ФИНАНСЫ";#N/A,#N/A,FALSE,"Прочие";#N/A,#N/A,FALSE,"Гаш_кредит";#N/A,#N/A,FALSE,"ФП"}</definedName>
    <definedName name="wrn_eva" hidden="1">{"EVA",#N/A,FALSE,"EVA";"WACC",#N/A,FALSE,"WACC"}</definedName>
    <definedName name="wrn_otpt" hidden="1">{"DCF","UPSIDE CASE",FALSE,"Sheet1";"DCF","BASE CASE",FALSE,"Sheet1";"DCF","DOWNSIDE CASE",FALSE,"Sheet1"}</definedName>
    <definedName name="ww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www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wwwwwwwww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xxxxxxxxxxxxxx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yy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yyss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Z_0D0B497D_21F8_11D5_91EF_00B0D058E5A7_.wvu.Cols" localSheetId="9" hidden="1">#REF!</definedName>
    <definedName name="Z_0D0B497D_21F8_11D5_91EF_00B0D058E5A7_.wvu.Cols" localSheetId="7" hidden="1">#REF!</definedName>
    <definedName name="Z_0D0B497D_21F8_11D5_91EF_00B0D058E5A7_.wvu.Cols" localSheetId="10" hidden="1">#REF!</definedName>
    <definedName name="Z_0D0B497D_21F8_11D5_91EF_00B0D058E5A7_.wvu.Cols" hidden="1">#REF!</definedName>
    <definedName name="Z_0D0B497D_21F8_11D5_91EF_00B0D058E5A7_.wvu.FilterData" localSheetId="9" hidden="1">#REF!</definedName>
    <definedName name="Z_0D0B497D_21F8_11D5_91EF_00B0D058E5A7_.wvu.FilterData" localSheetId="7" hidden="1">#REF!</definedName>
    <definedName name="Z_0D0B497D_21F8_11D5_91EF_00B0D058E5A7_.wvu.FilterData" localSheetId="10" hidden="1">#REF!</definedName>
    <definedName name="Z_0D0B497D_21F8_11D5_91EF_00B0D058E5A7_.wvu.FilterData" hidden="1">#REF!</definedName>
    <definedName name="Z_0DD4EB58_0647_11D5_A6F7_00508B654A95_.wvu.Cols" localSheetId="9" hidden="1">#REF!,#REF!,#REF!,#REF!,#REF!</definedName>
    <definedName name="Z_0DD4EB58_0647_11D5_A6F7_00508B654A95_.wvu.Cols" localSheetId="7" hidden="1">#REF!,#REF!,#REF!,#REF!,#REF!</definedName>
    <definedName name="Z_0DD4EB58_0647_11D5_A6F7_00508B654A95_.wvu.Cols" localSheetId="10" hidden="1">#REF!,#REF!,#REF!,#REF!,#REF!</definedName>
    <definedName name="Z_0DD4EB58_0647_11D5_A6F7_00508B654A95_.wvu.Cols" hidden="1">#REF!,#REF!,#REF!,#REF!,#REF!</definedName>
    <definedName name="Z_10435A81_C305_11D5_A6F8_009027BEE0E0_.wvu.Cols" localSheetId="9" hidden="1">#REF!,#REF!,#REF!</definedName>
    <definedName name="Z_10435A81_C305_11D5_A6F8_009027BEE0E0_.wvu.Cols" localSheetId="7" hidden="1">#REF!,#REF!,#REF!</definedName>
    <definedName name="Z_10435A81_C305_11D5_A6F8_009027BEE0E0_.wvu.Cols" localSheetId="10" hidden="1">#REF!,#REF!,#REF!</definedName>
    <definedName name="Z_10435A81_C305_11D5_A6F8_009027BEE0E0_.wvu.Cols" hidden="1">#REF!,#REF!,#REF!</definedName>
    <definedName name="Z_10435A81_C305_11D5_A6F8_009027BEE0E0_.wvu.FilterData" localSheetId="9" hidden="1">#REF!</definedName>
    <definedName name="Z_10435A81_C305_11D5_A6F8_009027BEE0E0_.wvu.FilterData" localSheetId="7" hidden="1">#REF!</definedName>
    <definedName name="Z_10435A81_C305_11D5_A6F8_009027BEE0E0_.wvu.FilterData" localSheetId="10" hidden="1">#REF!</definedName>
    <definedName name="Z_10435A81_C305_11D5_A6F8_009027BEE0E0_.wvu.FilterData" hidden="1">#REF!</definedName>
    <definedName name="Z_10435A81_C305_11D5_A6F8_009027BEE0E0_.wvu.PrintArea" localSheetId="9" hidden="1">#REF!</definedName>
    <definedName name="Z_10435A81_C305_11D5_A6F8_009027BEE0E0_.wvu.PrintArea" localSheetId="7" hidden="1">#REF!</definedName>
    <definedName name="Z_10435A81_C305_11D5_A6F8_009027BEE0E0_.wvu.PrintArea" localSheetId="10" hidden="1">#REF!</definedName>
    <definedName name="Z_10435A81_C305_11D5_A6F8_009027BEE0E0_.wvu.PrintArea" hidden="1">#REF!</definedName>
    <definedName name="Z_10435A81_C305_11D5_A6F8_009027BEE0E0_.wvu.PrintTitles" localSheetId="9" hidden="1">#REF!</definedName>
    <definedName name="Z_10435A81_C305_11D5_A6F8_009027BEE0E0_.wvu.PrintTitles" localSheetId="7" hidden="1">#REF!</definedName>
    <definedName name="Z_10435A81_C305_11D5_A6F8_009027BEE0E0_.wvu.PrintTitles" localSheetId="10" hidden="1">#REF!</definedName>
    <definedName name="Z_10435A81_C305_11D5_A6F8_009027BEE0E0_.wvu.PrintTitles" hidden="1">#REF!</definedName>
    <definedName name="Z_10435A81_C305_11D5_A6F8_009027BEE0E0_.wvu.Rows" localSheetId="9" hidden="1">#REF!,#REF!</definedName>
    <definedName name="Z_10435A81_C305_11D5_A6F8_009027BEE0E0_.wvu.Rows" localSheetId="7" hidden="1">#REF!,#REF!</definedName>
    <definedName name="Z_10435A81_C305_11D5_A6F8_009027BEE0E0_.wvu.Rows" localSheetId="10" hidden="1">#REF!,#REF!</definedName>
    <definedName name="Z_10435A81_C305_11D5_A6F8_009027BEE0E0_.wvu.Rows" hidden="1">#REF!,#REF!</definedName>
    <definedName name="Z_2804E4BB_ED21_11D4_A6F8_00508B654B8B_.wvu.Cols" localSheetId="9" hidden="1">#REF!,#REF!,#REF!</definedName>
    <definedName name="Z_2804E4BB_ED21_11D4_A6F8_00508B654B8B_.wvu.Cols" localSheetId="7" hidden="1">#REF!,#REF!,#REF!</definedName>
    <definedName name="Z_2804E4BB_ED21_11D4_A6F8_00508B654B8B_.wvu.Cols" localSheetId="10" hidden="1">#REF!,#REF!,#REF!</definedName>
    <definedName name="Z_2804E4BB_ED21_11D4_A6F8_00508B654B8B_.wvu.Cols" hidden="1">#REF!,#REF!,#REF!</definedName>
    <definedName name="Z_2804E4BB_ED21_11D4_A6F8_00508B654B8B_.wvu.FilterData" localSheetId="9" hidden="1">#REF!</definedName>
    <definedName name="Z_2804E4BB_ED21_11D4_A6F8_00508B654B8B_.wvu.FilterData" localSheetId="7" hidden="1">#REF!</definedName>
    <definedName name="Z_2804E4BB_ED21_11D4_A6F8_00508B654B8B_.wvu.FilterData" localSheetId="10" hidden="1">#REF!</definedName>
    <definedName name="Z_2804E4BB_ED21_11D4_A6F8_00508B654B8B_.wvu.FilterData" hidden="1">#REF!</definedName>
    <definedName name="Z_2804E4BB_ED21_11D4_A6F8_00508B654B8B_.wvu.PrintArea" localSheetId="9" hidden="1">#REF!</definedName>
    <definedName name="Z_2804E4BB_ED21_11D4_A6F8_00508B654B8B_.wvu.PrintArea" localSheetId="7" hidden="1">#REF!</definedName>
    <definedName name="Z_2804E4BB_ED21_11D4_A6F8_00508B654B8B_.wvu.PrintArea" localSheetId="10" hidden="1">#REF!</definedName>
    <definedName name="Z_2804E4BB_ED21_11D4_A6F8_00508B654B8B_.wvu.PrintArea" hidden="1">#REF!</definedName>
    <definedName name="Z_2804E4BB_ED21_11D4_A6F8_00508B654B8B_.wvu.Rows" localSheetId="9" hidden="1">#REF!,#REF!</definedName>
    <definedName name="Z_2804E4BB_ED21_11D4_A6F8_00508B654B8B_.wvu.Rows" localSheetId="7" hidden="1">#REF!,#REF!</definedName>
    <definedName name="Z_2804E4BB_ED21_11D4_A6F8_00508B654B8B_.wvu.Rows" localSheetId="10" hidden="1">#REF!,#REF!</definedName>
    <definedName name="Z_2804E4BB_ED21_11D4_A6F8_00508B654B8B_.wvu.Rows" hidden="1">#REF!,#REF!</definedName>
    <definedName name="Z_5A868EA0_ED63_11D4_A6F8_009027BEE0E0_.wvu.Cols" localSheetId="9" hidden="1">#REF!,#REF!,#REF!</definedName>
    <definedName name="Z_5A868EA0_ED63_11D4_A6F8_009027BEE0E0_.wvu.Cols" localSheetId="7" hidden="1">#REF!,#REF!,#REF!</definedName>
    <definedName name="Z_5A868EA0_ED63_11D4_A6F8_009027BEE0E0_.wvu.Cols" localSheetId="10" hidden="1">#REF!,#REF!,#REF!</definedName>
    <definedName name="Z_5A868EA0_ED63_11D4_A6F8_009027BEE0E0_.wvu.Cols" hidden="1">#REF!,#REF!,#REF!</definedName>
    <definedName name="Z_5A868EA0_ED63_11D4_A6F8_009027BEE0E0_.wvu.FilterData" localSheetId="9" hidden="1">#REF!</definedName>
    <definedName name="Z_5A868EA0_ED63_11D4_A6F8_009027BEE0E0_.wvu.FilterData" localSheetId="7" hidden="1">#REF!</definedName>
    <definedName name="Z_5A868EA0_ED63_11D4_A6F8_009027BEE0E0_.wvu.FilterData" localSheetId="10" hidden="1">#REF!</definedName>
    <definedName name="Z_5A868EA0_ED63_11D4_A6F8_009027BEE0E0_.wvu.FilterData" hidden="1">#REF!</definedName>
    <definedName name="Z_5A868EA0_ED63_11D4_A6F8_009027BEE0E0_.wvu.PrintArea" localSheetId="9" hidden="1">#REF!</definedName>
    <definedName name="Z_5A868EA0_ED63_11D4_A6F8_009027BEE0E0_.wvu.PrintArea" localSheetId="7" hidden="1">#REF!</definedName>
    <definedName name="Z_5A868EA0_ED63_11D4_A6F8_009027BEE0E0_.wvu.PrintArea" localSheetId="10" hidden="1">#REF!</definedName>
    <definedName name="Z_5A868EA0_ED63_11D4_A6F8_009027BEE0E0_.wvu.PrintArea" hidden="1">#REF!</definedName>
    <definedName name="Z_5A868EA0_ED63_11D4_A6F8_009027BEE0E0_.wvu.Rows" localSheetId="9" hidden="1">#REF!,#REF!</definedName>
    <definedName name="Z_5A868EA0_ED63_11D4_A6F8_009027BEE0E0_.wvu.Rows" localSheetId="7" hidden="1">#REF!,#REF!</definedName>
    <definedName name="Z_5A868EA0_ED63_11D4_A6F8_009027BEE0E0_.wvu.Rows" localSheetId="10" hidden="1">#REF!,#REF!</definedName>
    <definedName name="Z_5A868EA0_ED63_11D4_A6F8_009027BEE0E0_.wvu.Rows" hidden="1">#REF!,#REF!</definedName>
    <definedName name="Z_6E40955B_C2F5_11D5_A6F7_009027BEE7F1_.wvu.Cols" localSheetId="9" hidden="1">#REF!,#REF!,#REF!</definedName>
    <definedName name="Z_6E40955B_C2F5_11D5_A6F7_009027BEE7F1_.wvu.Cols" localSheetId="7" hidden="1">#REF!,#REF!,#REF!</definedName>
    <definedName name="Z_6E40955B_C2F5_11D5_A6F7_009027BEE7F1_.wvu.Cols" localSheetId="10" hidden="1">#REF!,#REF!,#REF!</definedName>
    <definedName name="Z_6E40955B_C2F5_11D5_A6F7_009027BEE7F1_.wvu.Cols" hidden="1">#REF!,#REF!,#REF!</definedName>
    <definedName name="Z_6E40955B_C2F5_11D5_A6F7_009027BEE7F1_.wvu.FilterData" localSheetId="9" hidden="1">#REF!</definedName>
    <definedName name="Z_6E40955B_C2F5_11D5_A6F7_009027BEE7F1_.wvu.FilterData" localSheetId="7" hidden="1">#REF!</definedName>
    <definedName name="Z_6E40955B_C2F5_11D5_A6F7_009027BEE7F1_.wvu.FilterData" localSheetId="10" hidden="1">#REF!</definedName>
    <definedName name="Z_6E40955B_C2F5_11D5_A6F7_009027BEE7F1_.wvu.FilterData" hidden="1">#REF!</definedName>
    <definedName name="Z_6E40955B_C2F5_11D5_A6F7_009027BEE7F1_.wvu.PrintArea" localSheetId="9" hidden="1">#REF!</definedName>
    <definedName name="Z_6E40955B_C2F5_11D5_A6F7_009027BEE7F1_.wvu.PrintArea" localSheetId="7" hidden="1">#REF!</definedName>
    <definedName name="Z_6E40955B_C2F5_11D5_A6F7_009027BEE7F1_.wvu.PrintArea" localSheetId="10" hidden="1">#REF!</definedName>
    <definedName name="Z_6E40955B_C2F5_11D5_A6F7_009027BEE7F1_.wvu.PrintArea" hidden="1">#REF!</definedName>
    <definedName name="Z_6E40955B_C2F5_11D5_A6F7_009027BEE7F1_.wvu.PrintTitles" localSheetId="9" hidden="1">#REF!</definedName>
    <definedName name="Z_6E40955B_C2F5_11D5_A6F7_009027BEE7F1_.wvu.PrintTitles" localSheetId="7" hidden="1">#REF!</definedName>
    <definedName name="Z_6E40955B_C2F5_11D5_A6F7_009027BEE7F1_.wvu.PrintTitles" localSheetId="10" hidden="1">#REF!</definedName>
    <definedName name="Z_6E40955B_C2F5_11D5_A6F7_009027BEE7F1_.wvu.PrintTitles" hidden="1">#REF!</definedName>
    <definedName name="Z_6E40955B_C2F5_11D5_A6F7_009027BEE7F1_.wvu.Rows" localSheetId="9" hidden="1">#REF!,#REF!</definedName>
    <definedName name="Z_6E40955B_C2F5_11D5_A6F7_009027BEE7F1_.wvu.Rows" localSheetId="7" hidden="1">#REF!,#REF!</definedName>
    <definedName name="Z_6E40955B_C2F5_11D5_A6F7_009027BEE7F1_.wvu.Rows" localSheetId="10" hidden="1">#REF!,#REF!</definedName>
    <definedName name="Z_6E40955B_C2F5_11D5_A6F7_009027BEE7F1_.wvu.Rows" hidden="1">#REF!,#REF!</definedName>
    <definedName name="Z_901DD601_3312_11D5_8F89_00010215A1CA_.wvu.Rows" localSheetId="9" hidden="1">#REF!,#REF!</definedName>
    <definedName name="Z_901DD601_3312_11D5_8F89_00010215A1CA_.wvu.Rows" localSheetId="7" hidden="1">#REF!,#REF!</definedName>
    <definedName name="Z_901DD601_3312_11D5_8F89_00010215A1CA_.wvu.Rows" localSheetId="10" hidden="1">#REF!,#REF!</definedName>
    <definedName name="Z_901DD601_3312_11D5_8F89_00010215A1CA_.wvu.Rows" hidden="1">#REF!,#REF!</definedName>
    <definedName name="Z_A158D6E1_ED44_11D4_A6F7_00508B654028_.wvu.Cols" localSheetId="9" hidden="1">#REF!,#REF!</definedName>
    <definedName name="Z_A158D6E1_ED44_11D4_A6F7_00508B654028_.wvu.Cols" localSheetId="7" hidden="1">#REF!,#REF!</definedName>
    <definedName name="Z_A158D6E1_ED44_11D4_A6F7_00508B654028_.wvu.Cols" localSheetId="10" hidden="1">#REF!,#REF!</definedName>
    <definedName name="Z_A158D6E1_ED44_11D4_A6F7_00508B654028_.wvu.Cols" hidden="1">#REF!,#REF!</definedName>
    <definedName name="Z_A158D6E1_ED44_11D4_A6F7_00508B654028_.wvu.FilterData" localSheetId="9" hidden="1">#REF!</definedName>
    <definedName name="Z_A158D6E1_ED44_11D4_A6F7_00508B654028_.wvu.FilterData" localSheetId="7" hidden="1">#REF!</definedName>
    <definedName name="Z_A158D6E1_ED44_11D4_A6F7_00508B654028_.wvu.FilterData" localSheetId="10" hidden="1">#REF!</definedName>
    <definedName name="Z_A158D6E1_ED44_11D4_A6F7_00508B654028_.wvu.FilterData" hidden="1">#REF!</definedName>
    <definedName name="Z_A158D6E1_ED44_11D4_A6F7_00508B654028_.wvu.PrintArea" localSheetId="9" hidden="1">#REF!</definedName>
    <definedName name="Z_A158D6E1_ED44_11D4_A6F7_00508B654028_.wvu.PrintArea" localSheetId="7" hidden="1">#REF!</definedName>
    <definedName name="Z_A158D6E1_ED44_11D4_A6F7_00508B654028_.wvu.PrintArea" localSheetId="10" hidden="1">#REF!</definedName>
    <definedName name="Z_A158D6E1_ED44_11D4_A6F7_00508B654028_.wvu.PrintArea" hidden="1">#REF!</definedName>
    <definedName name="Z_A158D6E1_ED44_11D4_A6F7_00508B654028_.wvu.Rows" localSheetId="9" hidden="1">#REF!,#REF!</definedName>
    <definedName name="Z_A158D6E1_ED44_11D4_A6F7_00508B654028_.wvu.Rows" localSheetId="7" hidden="1">#REF!,#REF!</definedName>
    <definedName name="Z_A158D6E1_ED44_11D4_A6F7_00508B654028_.wvu.Rows" localSheetId="10" hidden="1">#REF!,#REF!</definedName>
    <definedName name="Z_A158D6E1_ED44_11D4_A6F7_00508B654028_.wvu.Rows" hidden="1">#REF!,#REF!</definedName>
    <definedName name="Z_ADA92181_C3E4_11D5_A6F7_00508B6A7686_.wvu.Cols" localSheetId="9" hidden="1">#REF!,#REF!,#REF!</definedName>
    <definedName name="Z_ADA92181_C3E4_11D5_A6F7_00508B6A7686_.wvu.Cols" localSheetId="7" hidden="1">#REF!,#REF!,#REF!</definedName>
    <definedName name="Z_ADA92181_C3E4_11D5_A6F7_00508B6A7686_.wvu.Cols" localSheetId="10" hidden="1">#REF!,#REF!,#REF!</definedName>
    <definedName name="Z_ADA92181_C3E4_11D5_A6F7_00508B6A7686_.wvu.Cols" hidden="1">#REF!,#REF!,#REF!</definedName>
    <definedName name="Z_ADA92181_C3E4_11D5_A6F7_00508B6A7686_.wvu.FilterData" localSheetId="9" hidden="1">#REF!</definedName>
    <definedName name="Z_ADA92181_C3E4_11D5_A6F7_00508B6A7686_.wvu.FilterData" localSheetId="7" hidden="1">#REF!</definedName>
    <definedName name="Z_ADA92181_C3E4_11D5_A6F7_00508B6A7686_.wvu.FilterData" localSheetId="10" hidden="1">#REF!</definedName>
    <definedName name="Z_ADA92181_C3E4_11D5_A6F7_00508B6A7686_.wvu.FilterData" hidden="1">#REF!</definedName>
    <definedName name="Z_ADA92181_C3E4_11D5_A6F7_00508B6A7686_.wvu.PrintArea" localSheetId="9" hidden="1">#REF!</definedName>
    <definedName name="Z_ADA92181_C3E4_11D5_A6F7_00508B6A7686_.wvu.PrintArea" localSheetId="7" hidden="1">#REF!</definedName>
    <definedName name="Z_ADA92181_C3E4_11D5_A6F7_00508B6A7686_.wvu.PrintArea" localSheetId="10" hidden="1">#REF!</definedName>
    <definedName name="Z_ADA92181_C3E4_11D5_A6F7_00508B6A7686_.wvu.PrintArea" hidden="1">#REF!</definedName>
    <definedName name="Z_ADA92181_C3E4_11D5_A6F7_00508B6A7686_.wvu.PrintTitles" localSheetId="9" hidden="1">#REF!</definedName>
    <definedName name="Z_ADA92181_C3E4_11D5_A6F7_00508B6A7686_.wvu.PrintTitles" localSheetId="7" hidden="1">#REF!</definedName>
    <definedName name="Z_ADA92181_C3E4_11D5_A6F7_00508B6A7686_.wvu.PrintTitles" localSheetId="10" hidden="1">#REF!</definedName>
    <definedName name="Z_ADA92181_C3E4_11D5_A6F7_00508B6A7686_.wvu.PrintTitles" hidden="1">#REF!</definedName>
    <definedName name="Z_ADA92181_C3E4_11D5_A6F7_00508B6A7686_.wvu.Rows" localSheetId="9" hidden="1">#REF!,#REF!</definedName>
    <definedName name="Z_ADA92181_C3E4_11D5_A6F7_00508B6A7686_.wvu.Rows" localSheetId="7" hidden="1">#REF!,#REF!</definedName>
    <definedName name="Z_ADA92181_C3E4_11D5_A6F7_00508B6A7686_.wvu.Rows" localSheetId="10" hidden="1">#REF!,#REF!</definedName>
    <definedName name="Z_ADA92181_C3E4_11D5_A6F7_00508B6A7686_.wvu.Rows" hidden="1">#REF!,#REF!</definedName>
    <definedName name="Z_D4FBBAF2_ED2F_11D4_A6F7_00508B6540C5_.wvu.FilterData" localSheetId="9" hidden="1">#REF!</definedName>
    <definedName name="Z_D4FBBAF2_ED2F_11D4_A6F7_00508B6540C5_.wvu.FilterData" localSheetId="7" hidden="1">#REF!</definedName>
    <definedName name="Z_D4FBBAF2_ED2F_11D4_A6F7_00508B6540C5_.wvu.FilterData" localSheetId="10" hidden="1">#REF!</definedName>
    <definedName name="Z_D4FBBAF2_ED2F_11D4_A6F7_00508B6540C5_.wvu.FilterData" hidden="1">#REF!</definedName>
    <definedName name="Z_D9E68341_C2F0_11D5_A6F7_00508B6540C5_.wvu.Cols" localSheetId="9" hidden="1">#REF!,#REF!,#REF!</definedName>
    <definedName name="Z_D9E68341_C2F0_11D5_A6F7_00508B6540C5_.wvu.Cols" localSheetId="7" hidden="1">#REF!,#REF!,#REF!</definedName>
    <definedName name="Z_D9E68341_C2F0_11D5_A6F7_00508B6540C5_.wvu.Cols" localSheetId="10" hidden="1">#REF!,#REF!,#REF!</definedName>
    <definedName name="Z_D9E68341_C2F0_11D5_A6F7_00508B6540C5_.wvu.Cols" hidden="1">#REF!,#REF!,#REF!</definedName>
    <definedName name="Z_D9E68341_C2F0_11D5_A6F7_00508B6540C5_.wvu.FilterData" localSheetId="9" hidden="1">#REF!</definedName>
    <definedName name="Z_D9E68341_C2F0_11D5_A6F7_00508B6540C5_.wvu.FilterData" localSheetId="7" hidden="1">#REF!</definedName>
    <definedName name="Z_D9E68341_C2F0_11D5_A6F7_00508B6540C5_.wvu.FilterData" localSheetId="10" hidden="1">#REF!</definedName>
    <definedName name="Z_D9E68341_C2F0_11D5_A6F7_00508B6540C5_.wvu.FilterData" hidden="1">#REF!</definedName>
    <definedName name="Z_D9E68341_C2F0_11D5_A6F7_00508B6540C5_.wvu.PrintArea" localSheetId="9" hidden="1">#REF!</definedName>
    <definedName name="Z_D9E68341_C2F0_11D5_A6F7_00508B6540C5_.wvu.PrintArea" localSheetId="7" hidden="1">#REF!</definedName>
    <definedName name="Z_D9E68341_C2F0_11D5_A6F7_00508B6540C5_.wvu.PrintArea" localSheetId="10" hidden="1">#REF!</definedName>
    <definedName name="Z_D9E68341_C2F0_11D5_A6F7_00508B6540C5_.wvu.PrintArea" hidden="1">#REF!</definedName>
    <definedName name="Z_D9E68341_C2F0_11D5_A6F7_00508B6540C5_.wvu.PrintTitles" localSheetId="9" hidden="1">#REF!</definedName>
    <definedName name="Z_D9E68341_C2F0_11D5_A6F7_00508B6540C5_.wvu.PrintTitles" localSheetId="7" hidden="1">#REF!</definedName>
    <definedName name="Z_D9E68341_C2F0_11D5_A6F7_00508B6540C5_.wvu.PrintTitles" localSheetId="10" hidden="1">#REF!</definedName>
    <definedName name="Z_D9E68341_C2F0_11D5_A6F7_00508B6540C5_.wvu.PrintTitles" hidden="1">#REF!</definedName>
    <definedName name="Z_D9E68341_C2F0_11D5_A6F7_00508B6540C5_.wvu.Rows" localSheetId="9" hidden="1">#REF!</definedName>
    <definedName name="Z_D9E68341_C2F0_11D5_A6F7_00508B6540C5_.wvu.Rows" localSheetId="7" hidden="1">#REF!</definedName>
    <definedName name="Z_D9E68341_C2F0_11D5_A6F7_00508B6540C5_.wvu.Rows" localSheetId="10" hidden="1">#REF!</definedName>
    <definedName name="Z_D9E68341_C2F0_11D5_A6F7_00508B6540C5_.wvu.Rows" hidden="1">#REF!</definedName>
    <definedName name="zz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аа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авыав" hidden="1">{"Страница 1",#N/A,FALSE,"Модель Интенсивника";"Страница 3",#N/A,FALSE,"Модель Интенсивника"}</definedName>
    <definedName name="авып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анализ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апрель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апрель1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апыми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БАЛ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ббб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бяк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в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вап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вапке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вар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вас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вв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вввв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ввввв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выф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генплан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Гольцов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гра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граф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д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дач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ддд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де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длоо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е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еее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жар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жж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жжж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жопа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запасы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запасы1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зачет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й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ии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иии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ййй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иряв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Итог3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ке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ккк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копия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куг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кэн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лд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лен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лл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ллл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льп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май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Махалов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мит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мм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ммм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Налоги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непнен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ннн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" hidden="1">{#N/A,#N/A,TRUE,"Лист2"}</definedName>
    <definedName name="ооо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ооо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псик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р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рг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ри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рн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рт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рш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тчет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тчет1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тчёт1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папр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пимфк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Пл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попа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ппп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пр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пр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прл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про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пыпыппывапа" localSheetId="9" hidden="1">#REF!,#REF!,#REF!</definedName>
    <definedName name="пыпыппывапа" localSheetId="7" hidden="1">#REF!,#REF!,#REF!</definedName>
    <definedName name="пыпыппывапа" localSheetId="10" hidden="1">#REF!,#REF!,#REF!</definedName>
    <definedName name="пыпыппывапа" hidden="1">#REF!,#REF!,#REF!</definedName>
    <definedName name="р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рак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репин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риф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ров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рооо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ропрлпмол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рор" hidden="1">{"Страница 1",#N/A,FALSE,"Модель Интенсивника";"Страница 2",#N/A,FALSE,"Модель Интенсивника";"Страница 3",#N/A,FALSE,"Модель Интенсивника"}</definedName>
    <definedName name="рр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ррр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сред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сс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стр26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стр27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алоырал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ап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ар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ари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ариф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ариф1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им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оп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т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тт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фф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у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УГЭН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угэн1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ууу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фат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февраль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федя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фенс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фин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финплан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фмп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фп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фф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фы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фыв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фыв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фывфыа" hidden="1">{"Страница 1",#N/A,FALSE,"Модель Интенсивника";"Страница 2",#N/A,FALSE,"Модель Интенсивника";"Страница 3",#N/A,FALSE,"Модель Интенсивника"}</definedName>
    <definedName name="ц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цен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цк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цуг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ццц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ч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чч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Шатилов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ы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Фин.операции";#N/A,#N/A,TRUE,"Прочие ";#N/A,#N/A,TRUE,"Титул";#N/A,#N/A,TRUE,"Источники 2";#N/A,#N/A,TRUE,"Зарплата начисл "}</definedName>
    <definedName name="ыа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ыы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Фин.операции";#N/A,#N/A,TRUE,"Прочие ";#N/A,#N/A,TRUE,"Титул";#N/A,#N/A,TRUE,"Источники 2";#N/A,#N/A,TRUE,"Зарплата начисл "}</definedName>
    <definedName name="ьь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эээ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юю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янв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январь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яя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</definedNames>
  <calcPr calcId="191029" iterate="1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4" i="175" l="1"/>
  <c r="A5" i="175" s="1"/>
  <c r="A6" i="175" s="1"/>
  <c r="A7" i="175" s="1"/>
  <c r="A8" i="175" s="1"/>
  <c r="A9" i="175" s="1"/>
  <c r="H12" i="174" l="1"/>
  <c r="I12" i="174" s="1"/>
  <c r="E34" i="174"/>
  <c r="F34" i="174" s="1"/>
  <c r="D17" i="174"/>
  <c r="E16" i="174"/>
  <c r="E17" i="174" s="1"/>
  <c r="F16" i="174" l="1"/>
  <c r="G16" i="174" l="1"/>
  <c r="F17" i="174"/>
  <c r="G17" i="174" l="1"/>
  <c r="H16" i="174"/>
  <c r="I16" i="174" l="1"/>
  <c r="H17" i="174"/>
  <c r="I17" i="174" l="1"/>
  <c r="AF26" i="46" l="1"/>
  <c r="AG26" i="46" s="1"/>
  <c r="AH26" i="46" s="1"/>
  <c r="AJ26" i="46" s="1"/>
  <c r="AK26" i="46" s="1"/>
  <c r="AL26" i="46" s="1"/>
  <c r="AB26" i="46"/>
  <c r="AC26" i="46" s="1"/>
  <c r="AD26" i="46" s="1"/>
  <c r="Z89" i="52"/>
  <c r="Y89" i="52"/>
  <c r="X89" i="52"/>
  <c r="W89" i="52"/>
  <c r="V89" i="52"/>
  <c r="U89" i="52"/>
  <c r="T89" i="52"/>
  <c r="S89" i="52"/>
  <c r="R89" i="52"/>
  <c r="Q89" i="52"/>
  <c r="P89" i="52"/>
  <c r="Z88" i="52"/>
  <c r="Y88" i="52"/>
  <c r="X88" i="52"/>
  <c r="W88" i="52"/>
  <c r="V88" i="52"/>
  <c r="U88" i="52"/>
  <c r="T88" i="52"/>
  <c r="S88" i="52"/>
  <c r="R88" i="52"/>
  <c r="Q88" i="52"/>
  <c r="P88" i="52"/>
  <c r="Z87" i="52"/>
  <c r="Y87" i="52"/>
  <c r="X87" i="52"/>
  <c r="W87" i="52"/>
  <c r="V87" i="52"/>
  <c r="U87" i="52"/>
  <c r="T87" i="52"/>
  <c r="S87" i="52"/>
  <c r="R87" i="52"/>
  <c r="Q87" i="52"/>
  <c r="P87" i="52"/>
  <c r="Z86" i="52"/>
  <c r="Y86" i="52"/>
  <c r="X86" i="52"/>
  <c r="W86" i="52"/>
  <c r="V86" i="52"/>
  <c r="U86" i="52"/>
  <c r="T86" i="52"/>
  <c r="S86" i="52"/>
  <c r="R86" i="52"/>
  <c r="Q86" i="52"/>
  <c r="P86" i="52"/>
  <c r="Z85" i="52"/>
  <c r="Y85" i="52"/>
  <c r="X85" i="52"/>
  <c r="W85" i="52"/>
  <c r="V85" i="52"/>
  <c r="U85" i="52"/>
  <c r="T85" i="52"/>
  <c r="S85" i="52"/>
  <c r="R85" i="52"/>
  <c r="Q85" i="52"/>
  <c r="P85" i="52"/>
  <c r="Z96" i="52"/>
  <c r="Y96" i="52"/>
  <c r="X96" i="52"/>
  <c r="W96" i="52"/>
  <c r="V96" i="52"/>
  <c r="U96" i="52"/>
  <c r="T96" i="52"/>
  <c r="S96" i="52"/>
  <c r="R96" i="52"/>
  <c r="Q96" i="52"/>
  <c r="P96" i="52"/>
  <c r="Z95" i="52"/>
  <c r="Y95" i="52"/>
  <c r="X95" i="52"/>
  <c r="W95" i="52"/>
  <c r="V95" i="52"/>
  <c r="U95" i="52"/>
  <c r="T95" i="52"/>
  <c r="S95" i="52"/>
  <c r="R95" i="52"/>
  <c r="Q95" i="52"/>
  <c r="P95" i="52"/>
  <c r="Z94" i="52"/>
  <c r="Y94" i="52"/>
  <c r="X94" i="52"/>
  <c r="W94" i="52"/>
  <c r="V94" i="52"/>
  <c r="U94" i="52"/>
  <c r="T94" i="52"/>
  <c r="S94" i="52"/>
  <c r="R94" i="52"/>
  <c r="Q94" i="52"/>
  <c r="P94" i="52"/>
  <c r="Z92" i="52"/>
  <c r="Y92" i="52"/>
  <c r="X92" i="52"/>
  <c r="W92" i="52"/>
  <c r="V92" i="52"/>
  <c r="U92" i="52"/>
  <c r="T92" i="52"/>
  <c r="S92" i="52"/>
  <c r="R92" i="52"/>
  <c r="Q92" i="52"/>
  <c r="P92" i="52"/>
  <c r="O96" i="52"/>
  <c r="O95" i="52"/>
  <c r="O94" i="52"/>
  <c r="O92" i="52"/>
  <c r="O89" i="52"/>
  <c r="O88" i="52"/>
  <c r="O87" i="52"/>
  <c r="O86" i="52"/>
  <c r="O85" i="52"/>
  <c r="E32" i="171" l="1"/>
  <c r="F32" i="171" s="1"/>
  <c r="G32" i="171" s="1"/>
  <c r="H32" i="171" s="1"/>
  <c r="I32" i="171" s="1"/>
  <c r="J32" i="171" s="1"/>
  <c r="E19" i="171"/>
  <c r="F19" i="171" s="1"/>
  <c r="G19" i="171" s="1"/>
  <c r="H19" i="171" s="1"/>
  <c r="I19" i="171" s="1"/>
  <c r="J19" i="171" s="1"/>
  <c r="E5" i="171"/>
  <c r="F5" i="171" s="1"/>
  <c r="G5" i="171" s="1"/>
  <c r="H5" i="171" s="1"/>
  <c r="I5" i="171" s="1"/>
  <c r="J5" i="171" s="1"/>
  <c r="O6" i="171"/>
  <c r="P6" i="171" s="1"/>
  <c r="L16" i="167" l="1"/>
  <c r="K16" i="167"/>
  <c r="G19" i="166" l="1"/>
  <c r="H19" i="166" s="1"/>
  <c r="I19" i="166" s="1"/>
  <c r="AJ19" i="94" l="1"/>
  <c r="AK19" i="94" s="1"/>
  <c r="AL19" i="94" s="1"/>
  <c r="AF19" i="94"/>
  <c r="AG19" i="94" s="1"/>
  <c r="AH19" i="94" s="1"/>
  <c r="AD19" i="94"/>
  <c r="AC19" i="94"/>
  <c r="AB19" i="94"/>
  <c r="AA19" i="94"/>
  <c r="F70" i="52"/>
  <c r="E70" i="52"/>
  <c r="D70" i="52"/>
  <c r="C70" i="52"/>
  <c r="F55" i="52"/>
  <c r="E55" i="52"/>
  <c r="D55" i="52"/>
  <c r="C55" i="52"/>
  <c r="F40" i="52"/>
  <c r="E40" i="52"/>
  <c r="D40" i="52"/>
  <c r="C40" i="52"/>
  <c r="F25" i="52"/>
  <c r="E25" i="52"/>
  <c r="D25" i="52"/>
  <c r="C25" i="52"/>
  <c r="F68" i="52"/>
  <c r="E68" i="52"/>
  <c r="D68" i="52"/>
  <c r="C68" i="52"/>
  <c r="F53" i="52"/>
  <c r="E53" i="52"/>
  <c r="D53" i="52"/>
  <c r="C53" i="52"/>
  <c r="F38" i="52"/>
  <c r="E38" i="52"/>
  <c r="D38" i="52"/>
  <c r="C38" i="52"/>
  <c r="F23" i="52"/>
  <c r="E23" i="52"/>
  <c r="D23" i="52"/>
  <c r="C23" i="52"/>
  <c r="G16" i="47"/>
  <c r="AB31" i="46"/>
  <c r="AB30" i="46"/>
  <c r="I16" i="167" l="1"/>
  <c r="AI32" i="46" l="1"/>
  <c r="AE32" i="46"/>
  <c r="AA32" i="46"/>
  <c r="AB35" i="94"/>
  <c r="AC35" i="94" s="1"/>
  <c r="AD35" i="94" s="1"/>
  <c r="AG35" i="94" s="1"/>
  <c r="AH35" i="94" s="1"/>
  <c r="AJ35" i="94" s="1"/>
  <c r="AK35" i="94" s="1"/>
  <c r="AL35" i="94" s="1"/>
  <c r="J16" i="167"/>
  <c r="H16" i="167"/>
  <c r="G16" i="167"/>
  <c r="F16" i="167"/>
  <c r="E16" i="167"/>
  <c r="C15" i="167"/>
  <c r="H30" i="159"/>
  <c r="I30" i="159" s="1"/>
  <c r="G25" i="159"/>
  <c r="E16" i="159"/>
  <c r="D16" i="159"/>
  <c r="C16" i="159"/>
  <c r="G17" i="159"/>
  <c r="AA24" i="94" s="1"/>
  <c r="O9" i="159"/>
  <c r="O8" i="47" s="1"/>
  <c r="K9" i="159"/>
  <c r="K8" i="47" s="1"/>
  <c r="G9" i="159"/>
  <c r="G8" i="47" s="1"/>
  <c r="E14" i="159"/>
  <c r="D14" i="159"/>
  <c r="C14" i="159"/>
  <c r="G21" i="159"/>
  <c r="H19" i="159"/>
  <c r="H9" i="159" s="1"/>
  <c r="G18" i="159"/>
  <c r="H8" i="47" l="1"/>
  <c r="AB32" i="46"/>
  <c r="G27" i="159"/>
  <c r="G20" i="159"/>
  <c r="H18" i="159"/>
  <c r="I18" i="159" s="1"/>
  <c r="J18" i="159" s="1"/>
  <c r="K18" i="159" s="1"/>
  <c r="L18" i="159" s="1"/>
  <c r="M18" i="159" s="1"/>
  <c r="N18" i="159" s="1"/>
  <c r="O18" i="159" s="1"/>
  <c r="P18" i="159" s="1"/>
  <c r="Q18" i="159" s="1"/>
  <c r="R18" i="159" s="1"/>
  <c r="I19" i="159"/>
  <c r="H21" i="159"/>
  <c r="H15" i="159"/>
  <c r="H17" i="159" s="1"/>
  <c r="H26" i="159"/>
  <c r="H27" i="159" l="1"/>
  <c r="H25" i="159"/>
  <c r="I26" i="159"/>
  <c r="J19" i="159"/>
  <c r="I9" i="159"/>
  <c r="I21" i="159"/>
  <c r="J21" i="159" s="1"/>
  <c r="K21" i="159" s="1"/>
  <c r="I20" i="159"/>
  <c r="J20" i="159"/>
  <c r="H20" i="159"/>
  <c r="C18" i="159"/>
  <c r="K20" i="159"/>
  <c r="D18" i="159"/>
  <c r="C19" i="159"/>
  <c r="C9" i="159" s="1"/>
  <c r="AB24" i="94"/>
  <c r="I8" i="47" l="1"/>
  <c r="AC32" i="46"/>
  <c r="J26" i="159"/>
  <c r="L19" i="159"/>
  <c r="J9" i="159"/>
  <c r="C20" i="159"/>
  <c r="I15" i="159"/>
  <c r="I17" i="159" s="1"/>
  <c r="AC24" i="94" s="1"/>
  <c r="J15" i="159" l="1"/>
  <c r="J17" i="159" s="1"/>
  <c r="J8" i="47"/>
  <c r="AD32" i="46"/>
  <c r="J27" i="159"/>
  <c r="J25" i="159"/>
  <c r="C25" i="159" s="1"/>
  <c r="I27" i="159"/>
  <c r="I25" i="159"/>
  <c r="M19" i="159"/>
  <c r="L9" i="159"/>
  <c r="L20" i="159"/>
  <c r="L21" i="159"/>
  <c r="M21" i="159" s="1"/>
  <c r="O20" i="159"/>
  <c r="C15" i="159"/>
  <c r="K15" i="159"/>
  <c r="K17" i="159" s="1"/>
  <c r="L8" i="47" l="1"/>
  <c r="AF32" i="46"/>
  <c r="K27" i="159"/>
  <c r="K25" i="159"/>
  <c r="C17" i="159"/>
  <c r="AD24" i="94"/>
  <c r="N19" i="159"/>
  <c r="M9" i="159"/>
  <c r="M20" i="159"/>
  <c r="L15" i="159"/>
  <c r="L17" i="159" s="1"/>
  <c r="AE24" i="94"/>
  <c r="M8" i="47" l="1"/>
  <c r="AG32" i="46"/>
  <c r="L25" i="159"/>
  <c r="P19" i="159"/>
  <c r="N9" i="159"/>
  <c r="N20" i="159"/>
  <c r="D20" i="159" s="1"/>
  <c r="D19" i="159"/>
  <c r="D9" i="159" s="1"/>
  <c r="N21" i="159"/>
  <c r="O21" i="159" s="1"/>
  <c r="P21" i="159" s="1"/>
  <c r="AF24" i="94"/>
  <c r="M15" i="159"/>
  <c r="M17" i="159" s="1"/>
  <c r="N8" i="47" l="1"/>
  <c r="AH32" i="46"/>
  <c r="M25" i="159"/>
  <c r="Q19" i="159"/>
  <c r="P9" i="159"/>
  <c r="P20" i="159"/>
  <c r="E18" i="159"/>
  <c r="AG24" i="94"/>
  <c r="N15" i="159"/>
  <c r="N17" i="159" s="1"/>
  <c r="P8" i="47" l="1"/>
  <c r="AJ32" i="46"/>
  <c r="N25" i="159"/>
  <c r="D25" i="159" s="1"/>
  <c r="R19" i="159"/>
  <c r="Q9" i="159"/>
  <c r="Q20" i="159"/>
  <c r="Q21" i="159"/>
  <c r="R21" i="159" s="1"/>
  <c r="D15" i="159"/>
  <c r="O15" i="159"/>
  <c r="O17" i="159" s="1"/>
  <c r="Q8" i="47" l="1"/>
  <c r="AK32" i="46"/>
  <c r="O27" i="159"/>
  <c r="O25" i="159"/>
  <c r="D17" i="159"/>
  <c r="AH24" i="94"/>
  <c r="R9" i="159"/>
  <c r="E19" i="159"/>
  <c r="E9" i="159" s="1"/>
  <c r="R20" i="159"/>
  <c r="E20" i="159" s="1"/>
  <c r="P15" i="159"/>
  <c r="P17" i="159" s="1"/>
  <c r="AI24" i="94"/>
  <c r="R8" i="47" l="1"/>
  <c r="AL32" i="46"/>
  <c r="P25" i="159"/>
  <c r="AJ24" i="94"/>
  <c r="Q15" i="159"/>
  <c r="Q17" i="159" s="1"/>
  <c r="Q25" i="159" l="1"/>
  <c r="AK24" i="94"/>
  <c r="R15" i="159"/>
  <c r="R17" i="159" s="1"/>
  <c r="R25" i="159" l="1"/>
  <c r="E25" i="159" s="1"/>
  <c r="E15" i="159"/>
  <c r="E17" i="159" l="1"/>
  <c r="AL24" i="94"/>
  <c r="Y34" i="65" l="1"/>
  <c r="Z34" i="65" s="1"/>
  <c r="AA34" i="65" s="1"/>
  <c r="AB34" i="65" s="1"/>
  <c r="AC34" i="65" s="1"/>
  <c r="AD34" i="65" s="1"/>
  <c r="AE34" i="65" s="1"/>
  <c r="AF34" i="65" s="1"/>
  <c r="AG34" i="65" s="1"/>
  <c r="AH34" i="65" s="1"/>
  <c r="AI34" i="65" s="1"/>
  <c r="AJ34" i="65" s="1"/>
  <c r="AK34" i="65" s="1"/>
  <c r="AL34" i="65" s="1"/>
  <c r="AA30" i="65"/>
  <c r="AB30" i="65" s="1"/>
  <c r="AC30" i="65" s="1"/>
  <c r="AD30" i="65" s="1"/>
  <c r="AE30" i="65" s="1"/>
  <c r="AF30" i="65" s="1"/>
  <c r="AG30" i="65" s="1"/>
  <c r="AH30" i="65" s="1"/>
  <c r="AI30" i="65" s="1"/>
  <c r="AJ30" i="65" s="1"/>
  <c r="AK30" i="65" s="1"/>
  <c r="AL30" i="65" s="1"/>
  <c r="AA29" i="65"/>
  <c r="AB29" i="65" s="1"/>
  <c r="AC29" i="65" s="1"/>
  <c r="AD29" i="65" s="1"/>
  <c r="AE29" i="65" s="1"/>
  <c r="AF29" i="65" s="1"/>
  <c r="AG29" i="65" s="1"/>
  <c r="AH29" i="65" s="1"/>
  <c r="AI29" i="65" s="1"/>
  <c r="AJ29" i="65" s="1"/>
  <c r="AK29" i="65" s="1"/>
  <c r="AL29" i="65" s="1"/>
  <c r="AA28" i="65"/>
  <c r="AB28" i="65" s="1"/>
  <c r="AC28" i="65" s="1"/>
  <c r="AD28" i="65" s="1"/>
  <c r="AE28" i="65" s="1"/>
  <c r="AF28" i="65" s="1"/>
  <c r="AG28" i="65" s="1"/>
  <c r="AH28" i="65" s="1"/>
  <c r="AI28" i="65" s="1"/>
  <c r="AJ28" i="65" s="1"/>
  <c r="AK28" i="65" s="1"/>
  <c r="AL28" i="65" s="1"/>
  <c r="AA26" i="65"/>
  <c r="AB26" i="65" s="1"/>
  <c r="AC26" i="65" s="1"/>
  <c r="AD26" i="65" s="1"/>
  <c r="AE26" i="65" s="1"/>
  <c r="AF26" i="65" s="1"/>
  <c r="AG26" i="65" s="1"/>
  <c r="AH26" i="65" s="1"/>
  <c r="AI26" i="65" s="1"/>
  <c r="AJ26" i="65" s="1"/>
  <c r="AK26" i="65" s="1"/>
  <c r="AL26" i="65" s="1"/>
  <c r="AA24" i="65"/>
  <c r="AB24" i="65" s="1"/>
  <c r="AC24" i="65" s="1"/>
  <c r="AD24" i="65" s="1"/>
  <c r="AE24" i="65" s="1"/>
  <c r="AF24" i="65" s="1"/>
  <c r="AG24" i="65" s="1"/>
  <c r="AH24" i="65" s="1"/>
  <c r="AI24" i="65" s="1"/>
  <c r="AJ24" i="65" s="1"/>
  <c r="AK24" i="65" s="1"/>
  <c r="AL24" i="65" s="1"/>
  <c r="AA20" i="65"/>
  <c r="AB20" i="65" s="1"/>
  <c r="AC20" i="65" s="1"/>
  <c r="AD20" i="65" s="1"/>
  <c r="AE20" i="65" s="1"/>
  <c r="AF20" i="65" s="1"/>
  <c r="AG20" i="65" s="1"/>
  <c r="AH20" i="65" s="1"/>
  <c r="AI20" i="65" s="1"/>
  <c r="AJ20" i="65" s="1"/>
  <c r="AK20" i="65" s="1"/>
  <c r="AL20" i="65" s="1"/>
  <c r="AA19" i="65"/>
  <c r="AB19" i="65" s="1"/>
  <c r="AC19" i="65" s="1"/>
  <c r="AD19" i="65" s="1"/>
  <c r="AE19" i="65" s="1"/>
  <c r="AF19" i="65" s="1"/>
  <c r="AG19" i="65" s="1"/>
  <c r="AH19" i="65" s="1"/>
  <c r="AI19" i="65" s="1"/>
  <c r="AJ19" i="65" s="1"/>
  <c r="AK19" i="65" s="1"/>
  <c r="AL19" i="65" s="1"/>
  <c r="AA18" i="65"/>
  <c r="AB18" i="65" s="1"/>
  <c r="AC18" i="65" s="1"/>
  <c r="AD18" i="65" s="1"/>
  <c r="AE18" i="65" s="1"/>
  <c r="AF18" i="65" s="1"/>
  <c r="AG18" i="65" s="1"/>
  <c r="AH18" i="65" s="1"/>
  <c r="AI18" i="65" s="1"/>
  <c r="AJ18" i="65" s="1"/>
  <c r="AK18" i="65" s="1"/>
  <c r="AL18" i="65" s="1"/>
  <c r="AA17" i="65"/>
  <c r="AB17" i="65" s="1"/>
  <c r="AC17" i="65" s="1"/>
  <c r="AD17" i="65" s="1"/>
  <c r="AE17" i="65" s="1"/>
  <c r="AF17" i="65" s="1"/>
  <c r="AG17" i="65" s="1"/>
  <c r="AH17" i="65" s="1"/>
  <c r="AI17" i="65" s="1"/>
  <c r="AJ17" i="65" s="1"/>
  <c r="AK17" i="65" s="1"/>
  <c r="AL17" i="65" s="1"/>
  <c r="AA12" i="65"/>
  <c r="AB12" i="65" s="1"/>
  <c r="AC12" i="65" s="1"/>
  <c r="AD12" i="65" s="1"/>
  <c r="AE12" i="65" s="1"/>
  <c r="AF12" i="65" s="1"/>
  <c r="AG12" i="65" s="1"/>
  <c r="AH12" i="65" s="1"/>
  <c r="AI12" i="65" s="1"/>
  <c r="AJ12" i="65" s="1"/>
  <c r="AK12" i="65" s="1"/>
  <c r="AL12" i="65" s="1"/>
  <c r="AA11" i="65"/>
  <c r="AB11" i="65" s="1"/>
  <c r="AC11" i="65" s="1"/>
  <c r="AD11" i="65" s="1"/>
  <c r="AE11" i="65" s="1"/>
  <c r="AF11" i="65" s="1"/>
  <c r="AG11" i="65" s="1"/>
  <c r="AH11" i="65" s="1"/>
  <c r="AI11" i="65" s="1"/>
  <c r="AJ11" i="65" s="1"/>
  <c r="AK11" i="65" s="1"/>
  <c r="AL11" i="65" s="1"/>
  <c r="AB34" i="94" l="1"/>
  <c r="AC34" i="94" s="1"/>
  <c r="AD34" i="94" s="1"/>
  <c r="AE34" i="94" s="1"/>
  <c r="AF34" i="94" s="1"/>
  <c r="AG34" i="94" s="1"/>
  <c r="AH34" i="94" s="1"/>
  <c r="AI34" i="94" s="1"/>
  <c r="AJ34" i="94" s="1"/>
  <c r="AK34" i="94" s="1"/>
  <c r="AL34" i="94" s="1"/>
  <c r="K7" i="94" l="1"/>
  <c r="L7" i="94"/>
  <c r="M7" i="94"/>
  <c r="M31" i="94" s="1"/>
  <c r="N7" i="94"/>
  <c r="N31" i="94" s="1"/>
  <c r="O7" i="94"/>
  <c r="O35" i="94" s="1"/>
  <c r="P7" i="94"/>
  <c r="P35" i="94" s="1"/>
  <c r="Q7" i="94"/>
  <c r="Q35" i="94" s="1"/>
  <c r="R7" i="94"/>
  <c r="R35" i="94" s="1"/>
  <c r="S7" i="94"/>
  <c r="S35" i="94" s="1"/>
  <c r="T7" i="94"/>
  <c r="T35" i="94" s="1"/>
  <c r="U7" i="94"/>
  <c r="U35" i="94" s="1"/>
  <c r="V7" i="94"/>
  <c r="V35" i="94" s="1"/>
  <c r="W7" i="94"/>
  <c r="W35" i="94" s="1"/>
  <c r="X7" i="94"/>
  <c r="X35" i="94" s="1"/>
  <c r="Y7" i="94"/>
  <c r="Y35" i="94" s="1"/>
  <c r="Z7" i="94"/>
  <c r="Z35" i="94" s="1"/>
  <c r="Y31" i="94"/>
  <c r="X31" i="94"/>
  <c r="W31" i="94"/>
  <c r="V31" i="94"/>
  <c r="U31" i="94"/>
  <c r="T31" i="94"/>
  <c r="S31" i="94"/>
  <c r="R31" i="94"/>
  <c r="L31" i="94"/>
  <c r="K31" i="94"/>
  <c r="AB22" i="94"/>
  <c r="AC22" i="94" s="1"/>
  <c r="AD22" i="94" s="1"/>
  <c r="AE22" i="94" s="1"/>
  <c r="AF22" i="94" s="1"/>
  <c r="AG22" i="94" s="1"/>
  <c r="AH22" i="94" s="1"/>
  <c r="AI22" i="94" s="1"/>
  <c r="AJ22" i="94" s="1"/>
  <c r="AK22" i="94" s="1"/>
  <c r="AL22" i="94" s="1"/>
  <c r="AB33" i="94"/>
  <c r="AC33" i="94" s="1"/>
  <c r="AD33" i="94" s="1"/>
  <c r="AE33" i="94" s="1"/>
  <c r="AF33" i="94" s="1"/>
  <c r="AG33" i="94" s="1"/>
  <c r="AH33" i="94" s="1"/>
  <c r="AI33" i="94" s="1"/>
  <c r="AJ33" i="94" s="1"/>
  <c r="AK33" i="94" s="1"/>
  <c r="AL33" i="94" s="1"/>
  <c r="Z12" i="94"/>
  <c r="Y12" i="94"/>
  <c r="X12" i="94"/>
  <c r="W12" i="94"/>
  <c r="V12" i="94"/>
  <c r="U12" i="94"/>
  <c r="T12" i="94"/>
  <c r="S12" i="94"/>
  <c r="R12" i="94"/>
  <c r="Q12" i="94"/>
  <c r="P12" i="94"/>
  <c r="O12" i="94"/>
  <c r="N12" i="94"/>
  <c r="M12" i="94"/>
  <c r="L12" i="94"/>
  <c r="K12" i="94"/>
  <c r="AB15" i="94"/>
  <c r="AB14" i="94"/>
  <c r="AC14" i="94" s="1"/>
  <c r="AD14" i="94" s="1"/>
  <c r="AF14" i="94" s="1"/>
  <c r="AG14" i="94" s="1"/>
  <c r="AH14" i="94" s="1"/>
  <c r="AJ14" i="94" s="1"/>
  <c r="AK14" i="94" s="1"/>
  <c r="AL14" i="94" s="1"/>
  <c r="AA13" i="94"/>
  <c r="AB13" i="94" s="1"/>
  <c r="AC13" i="94" s="1"/>
  <c r="AD13" i="94" s="1"/>
  <c r="AE13" i="94" s="1"/>
  <c r="AF13" i="94" s="1"/>
  <c r="AG13" i="94" s="1"/>
  <c r="AH13" i="94" s="1"/>
  <c r="AI13" i="94" s="1"/>
  <c r="AJ13" i="94" s="1"/>
  <c r="AK13" i="94" s="1"/>
  <c r="AL13" i="94" s="1"/>
  <c r="C57" i="52"/>
  <c r="C72" i="52"/>
  <c r="AD12" i="52"/>
  <c r="AH12" i="52" s="1"/>
  <c r="AL12" i="52" s="1"/>
  <c r="AC12" i="52"/>
  <c r="AG12" i="52" s="1"/>
  <c r="AK12" i="52" s="1"/>
  <c r="AB12" i="52"/>
  <c r="AF12" i="52" s="1"/>
  <c r="AJ12" i="52" s="1"/>
  <c r="AA12" i="52"/>
  <c r="AE12" i="52" s="1"/>
  <c r="AI12" i="52" s="1"/>
  <c r="Z13" i="52"/>
  <c r="Y13" i="52"/>
  <c r="X13" i="52"/>
  <c r="W13" i="52"/>
  <c r="V13" i="52"/>
  <c r="U13" i="52"/>
  <c r="T13" i="52"/>
  <c r="S13" i="52"/>
  <c r="R13" i="52"/>
  <c r="Q13" i="52"/>
  <c r="P13" i="52"/>
  <c r="O13" i="52"/>
  <c r="G80" i="52"/>
  <c r="G79" i="52"/>
  <c r="G78" i="52"/>
  <c r="G76" i="52"/>
  <c r="G75" i="52"/>
  <c r="G65" i="52"/>
  <c r="G64" i="52"/>
  <c r="G63" i="52"/>
  <c r="G61" i="52"/>
  <c r="G60" i="52"/>
  <c r="G50" i="52"/>
  <c r="G49" i="52"/>
  <c r="G48" i="52"/>
  <c r="G46" i="52"/>
  <c r="G45" i="52"/>
  <c r="G35" i="52"/>
  <c r="G34" i="52"/>
  <c r="G33" i="52"/>
  <c r="G31" i="52"/>
  <c r="G30" i="52"/>
  <c r="Z71" i="52"/>
  <c r="Y71" i="52"/>
  <c r="X71" i="52"/>
  <c r="W71" i="52"/>
  <c r="V71" i="52"/>
  <c r="U71" i="52"/>
  <c r="T71" i="52"/>
  <c r="S71" i="52"/>
  <c r="R71" i="52"/>
  <c r="Q71" i="52"/>
  <c r="P71" i="52"/>
  <c r="O71" i="52"/>
  <c r="Z69" i="52"/>
  <c r="Y69" i="52"/>
  <c r="X69" i="52"/>
  <c r="W69" i="52"/>
  <c r="V69" i="52"/>
  <c r="U69" i="52"/>
  <c r="T69" i="52"/>
  <c r="S69" i="52"/>
  <c r="R69" i="52"/>
  <c r="Q69" i="52"/>
  <c r="P69" i="52"/>
  <c r="O69" i="52"/>
  <c r="Z56" i="52"/>
  <c r="Y56" i="52"/>
  <c r="X56" i="52"/>
  <c r="W56" i="52"/>
  <c r="V56" i="52"/>
  <c r="U56" i="52"/>
  <c r="T56" i="52"/>
  <c r="S56" i="52"/>
  <c r="R56" i="52"/>
  <c r="Q56" i="52"/>
  <c r="P56" i="52"/>
  <c r="O56" i="52"/>
  <c r="Z54" i="52"/>
  <c r="Y54" i="52"/>
  <c r="X54" i="52"/>
  <c r="W54" i="52"/>
  <c r="V54" i="52"/>
  <c r="U54" i="52"/>
  <c r="T54" i="52"/>
  <c r="S54" i="52"/>
  <c r="R54" i="52"/>
  <c r="Q54" i="52"/>
  <c r="P54" i="52"/>
  <c r="O54" i="52"/>
  <c r="Z41" i="52"/>
  <c r="Y41" i="52"/>
  <c r="X41" i="52"/>
  <c r="W41" i="52"/>
  <c r="V41" i="52"/>
  <c r="U41" i="52"/>
  <c r="T41" i="52"/>
  <c r="S41" i="52"/>
  <c r="R41" i="52"/>
  <c r="Q41" i="52"/>
  <c r="P41" i="52"/>
  <c r="O41" i="52"/>
  <c r="Y39" i="52"/>
  <c r="X39" i="52"/>
  <c r="W39" i="52"/>
  <c r="V39" i="52"/>
  <c r="U39" i="52"/>
  <c r="T39" i="52"/>
  <c r="S39" i="52"/>
  <c r="R39" i="52"/>
  <c r="Q39" i="52"/>
  <c r="P39" i="52"/>
  <c r="O39" i="52"/>
  <c r="Z39" i="52"/>
  <c r="AL77" i="52"/>
  <c r="AL69" i="52" s="1"/>
  <c r="AK77" i="52"/>
  <c r="AK69" i="52" s="1"/>
  <c r="AJ77" i="52"/>
  <c r="AJ69" i="52" s="1"/>
  <c r="AI77" i="52"/>
  <c r="AI69" i="52" s="1"/>
  <c r="AH77" i="52"/>
  <c r="AH69" i="52" s="1"/>
  <c r="AG77" i="52"/>
  <c r="AG69" i="52" s="1"/>
  <c r="AF77" i="52"/>
  <c r="AF69" i="52" s="1"/>
  <c r="AE77" i="52"/>
  <c r="AE69" i="52" s="1"/>
  <c r="AD77" i="52"/>
  <c r="AD69" i="52" s="1"/>
  <c r="AD68" i="52" s="1"/>
  <c r="AC77" i="52"/>
  <c r="AC69" i="52" s="1"/>
  <c r="AC68" i="52" s="1"/>
  <c r="AB77" i="52"/>
  <c r="AA77" i="52"/>
  <c r="AB69" i="52"/>
  <c r="AB68" i="52" s="1"/>
  <c r="AA69" i="52"/>
  <c r="AA68" i="52" s="1"/>
  <c r="AL62" i="52"/>
  <c r="AL54" i="52" s="1"/>
  <c r="AK62" i="52"/>
  <c r="AK54" i="52" s="1"/>
  <c r="AJ62" i="52"/>
  <c r="AJ54" i="52" s="1"/>
  <c r="AI62" i="52"/>
  <c r="AI54" i="52" s="1"/>
  <c r="AH62" i="52"/>
  <c r="AH54" i="52" s="1"/>
  <c r="AG62" i="52"/>
  <c r="AG54" i="52" s="1"/>
  <c r="AF62" i="52"/>
  <c r="AF54" i="52" s="1"/>
  <c r="AE62" i="52"/>
  <c r="AE54" i="52" s="1"/>
  <c r="AD62" i="52"/>
  <c r="AD54" i="52" s="1"/>
  <c r="AD53" i="52" s="1"/>
  <c r="AC62" i="52"/>
  <c r="AC54" i="52" s="1"/>
  <c r="AC53" i="52" s="1"/>
  <c r="AB62" i="52"/>
  <c r="AB54" i="52" s="1"/>
  <c r="AB53" i="52" s="1"/>
  <c r="AA62" i="52"/>
  <c r="AA54" i="52" s="1"/>
  <c r="AA53" i="52" s="1"/>
  <c r="AL47" i="52"/>
  <c r="AL39" i="52" s="1"/>
  <c r="AK47" i="52"/>
  <c r="AK39" i="52" s="1"/>
  <c r="AJ47" i="52"/>
  <c r="AJ39" i="52" s="1"/>
  <c r="AI47" i="52"/>
  <c r="AI39" i="52" s="1"/>
  <c r="AH47" i="52"/>
  <c r="AH39" i="52" s="1"/>
  <c r="AG47" i="52"/>
  <c r="AG39" i="52" s="1"/>
  <c r="AF47" i="52"/>
  <c r="AE47" i="52"/>
  <c r="AD47" i="52"/>
  <c r="AC47" i="52"/>
  <c r="AB47" i="52"/>
  <c r="AB39" i="52" s="1"/>
  <c r="AB38" i="52" s="1"/>
  <c r="AA47" i="52"/>
  <c r="AA39" i="52" s="1"/>
  <c r="AA38" i="52" s="1"/>
  <c r="AF39" i="52"/>
  <c r="AE39" i="52"/>
  <c r="AD39" i="52"/>
  <c r="AD38" i="52" s="1"/>
  <c r="AC39" i="52"/>
  <c r="AC38" i="52" s="1"/>
  <c r="AL32" i="52"/>
  <c r="AL24" i="52" s="1"/>
  <c r="AK32" i="52"/>
  <c r="AK24" i="52" s="1"/>
  <c r="AJ32" i="52"/>
  <c r="AJ24" i="52" s="1"/>
  <c r="AI32" i="52"/>
  <c r="AI24" i="52" s="1"/>
  <c r="AH32" i="52"/>
  <c r="AH24" i="52" s="1"/>
  <c r="AG32" i="52"/>
  <c r="AG24" i="52" s="1"/>
  <c r="AF32" i="52"/>
  <c r="AF24" i="52" s="1"/>
  <c r="AE32" i="52"/>
  <c r="AD32" i="52"/>
  <c r="AD24" i="52" s="1"/>
  <c r="AD23" i="52" s="1"/>
  <c r="AC32" i="52"/>
  <c r="AC24" i="52" s="1"/>
  <c r="AC23" i="52" s="1"/>
  <c r="AB32" i="52"/>
  <c r="AB24" i="52" s="1"/>
  <c r="AB23" i="52" s="1"/>
  <c r="AA32" i="52"/>
  <c r="AA24" i="52" s="1"/>
  <c r="AA23" i="52" s="1"/>
  <c r="AE24" i="52"/>
  <c r="Z72" i="52"/>
  <c r="AD72" i="52" s="1"/>
  <c r="AH72" i="52" s="1"/>
  <c r="AL72" i="52" s="1"/>
  <c r="Y72" i="52"/>
  <c r="AC72" i="52" s="1"/>
  <c r="AG72" i="52" s="1"/>
  <c r="AK72" i="52" s="1"/>
  <c r="X72" i="52"/>
  <c r="AB72" i="52" s="1"/>
  <c r="AF72" i="52" s="1"/>
  <c r="AJ72" i="52" s="1"/>
  <c r="W72" i="52"/>
  <c r="AA72" i="52" s="1"/>
  <c r="AE72" i="52" s="1"/>
  <c r="AI72" i="52" s="1"/>
  <c r="V72" i="52"/>
  <c r="U72" i="52"/>
  <c r="T72" i="52"/>
  <c r="S72" i="52"/>
  <c r="R72" i="52"/>
  <c r="Q72" i="52"/>
  <c r="P72" i="52"/>
  <c r="O72" i="52"/>
  <c r="N72" i="52"/>
  <c r="M72" i="52"/>
  <c r="L72" i="52"/>
  <c r="K72" i="52"/>
  <c r="Z57" i="52"/>
  <c r="AD57" i="52" s="1"/>
  <c r="AH57" i="52" s="1"/>
  <c r="AL57" i="52" s="1"/>
  <c r="Y57" i="52"/>
  <c r="AC57" i="52" s="1"/>
  <c r="AG57" i="52" s="1"/>
  <c r="AK57" i="52" s="1"/>
  <c r="X57" i="52"/>
  <c r="AB57" i="52" s="1"/>
  <c r="AF57" i="52" s="1"/>
  <c r="AJ57" i="52" s="1"/>
  <c r="W57" i="52"/>
  <c r="AA57" i="52" s="1"/>
  <c r="AE57" i="52" s="1"/>
  <c r="AI57" i="52" s="1"/>
  <c r="V57" i="52"/>
  <c r="U57" i="52"/>
  <c r="T57" i="52"/>
  <c r="S57" i="52"/>
  <c r="R57" i="52"/>
  <c r="Q57" i="52"/>
  <c r="P57" i="52"/>
  <c r="O57" i="52"/>
  <c r="N57" i="52"/>
  <c r="M57" i="52"/>
  <c r="L57" i="52"/>
  <c r="K57" i="52"/>
  <c r="Z27" i="52"/>
  <c r="AD27" i="52" s="1"/>
  <c r="AH27" i="52" s="1"/>
  <c r="AL27" i="52" s="1"/>
  <c r="Y27" i="52"/>
  <c r="AC27" i="52" s="1"/>
  <c r="AG27" i="52" s="1"/>
  <c r="AK27" i="52" s="1"/>
  <c r="X27" i="52"/>
  <c r="AB27" i="52" s="1"/>
  <c r="AF27" i="52" s="1"/>
  <c r="AJ27" i="52" s="1"/>
  <c r="W27" i="52"/>
  <c r="AA27" i="52" s="1"/>
  <c r="AE27" i="52" s="1"/>
  <c r="AI27" i="52" s="1"/>
  <c r="V27" i="52"/>
  <c r="U27" i="52"/>
  <c r="T27" i="52"/>
  <c r="S27" i="52"/>
  <c r="R27" i="52"/>
  <c r="Q27" i="52"/>
  <c r="P27" i="52"/>
  <c r="O27" i="52"/>
  <c r="N27" i="52"/>
  <c r="M27" i="52"/>
  <c r="K27" i="52"/>
  <c r="L27" i="52"/>
  <c r="Z42" i="52"/>
  <c r="AD42" i="52" s="1"/>
  <c r="AH42" i="52" s="1"/>
  <c r="AL42" i="52" s="1"/>
  <c r="Y42" i="52"/>
  <c r="AC42" i="52" s="1"/>
  <c r="AG42" i="52" s="1"/>
  <c r="AK42" i="52" s="1"/>
  <c r="X42" i="52"/>
  <c r="AB42" i="52" s="1"/>
  <c r="AF42" i="52" s="1"/>
  <c r="AJ42" i="52" s="1"/>
  <c r="W42" i="52"/>
  <c r="AA42" i="52" s="1"/>
  <c r="AE42" i="52" s="1"/>
  <c r="AI42" i="52" s="1"/>
  <c r="V42" i="52"/>
  <c r="U42" i="52"/>
  <c r="T42" i="52"/>
  <c r="S42" i="52"/>
  <c r="R42" i="52"/>
  <c r="Q42" i="52"/>
  <c r="P42" i="52"/>
  <c r="O42" i="52"/>
  <c r="N42" i="52"/>
  <c r="M42" i="52"/>
  <c r="L42" i="52"/>
  <c r="K42" i="52"/>
  <c r="E69" i="52"/>
  <c r="E33" i="52"/>
  <c r="F33" i="52"/>
  <c r="E34" i="52"/>
  <c r="F34" i="52"/>
  <c r="E35" i="52"/>
  <c r="F35" i="52"/>
  <c r="C32" i="52"/>
  <c r="D32" i="52"/>
  <c r="Z24" i="52"/>
  <c r="Y24" i="52"/>
  <c r="X24" i="52"/>
  <c r="W24" i="52"/>
  <c r="V24" i="52"/>
  <c r="U24" i="52"/>
  <c r="T24" i="52"/>
  <c r="S24" i="52"/>
  <c r="R24" i="52"/>
  <c r="Q24" i="52"/>
  <c r="P24" i="52"/>
  <c r="Z26" i="52"/>
  <c r="Y26" i="52"/>
  <c r="X26" i="52"/>
  <c r="W26" i="52"/>
  <c r="V26" i="52"/>
  <c r="U26" i="52"/>
  <c r="T26" i="52"/>
  <c r="S26" i="52"/>
  <c r="R26" i="52"/>
  <c r="Q26" i="52"/>
  <c r="P26" i="52"/>
  <c r="O26" i="52"/>
  <c r="O24" i="52"/>
  <c r="Z32" i="52"/>
  <c r="Z93" i="52" s="1"/>
  <c r="Y32" i="52"/>
  <c r="Y93" i="52" s="1"/>
  <c r="X32" i="52"/>
  <c r="X93" i="52" s="1"/>
  <c r="W32" i="52"/>
  <c r="W93" i="52" s="1"/>
  <c r="V32" i="52"/>
  <c r="V93" i="52" s="1"/>
  <c r="U32" i="52"/>
  <c r="U93" i="52" s="1"/>
  <c r="T32" i="52"/>
  <c r="T93" i="52" s="1"/>
  <c r="S32" i="52"/>
  <c r="S93" i="52" s="1"/>
  <c r="R32" i="52"/>
  <c r="R93" i="52" s="1"/>
  <c r="Q32" i="52"/>
  <c r="Q93" i="52" s="1"/>
  <c r="P32" i="52"/>
  <c r="P93" i="52" s="1"/>
  <c r="O32" i="52"/>
  <c r="O93" i="52" s="1"/>
  <c r="E32" i="52"/>
  <c r="F32" i="52"/>
  <c r="F10" i="52"/>
  <c r="E10" i="52"/>
  <c r="D10" i="52"/>
  <c r="C10" i="52"/>
  <c r="F8" i="52"/>
  <c r="E8" i="52"/>
  <c r="D8" i="52"/>
  <c r="C8" i="52"/>
  <c r="G20" i="52"/>
  <c r="G19" i="52"/>
  <c r="G18" i="52"/>
  <c r="G16" i="52"/>
  <c r="G15" i="52"/>
  <c r="F20" i="52"/>
  <c r="F19" i="52"/>
  <c r="F18" i="52"/>
  <c r="F16" i="52"/>
  <c r="F15" i="52"/>
  <c r="E20" i="52"/>
  <c r="E19" i="52"/>
  <c r="E18" i="52"/>
  <c r="E16" i="52"/>
  <c r="E15" i="52"/>
  <c r="E17" i="52" s="1"/>
  <c r="AL17" i="52"/>
  <c r="AL9" i="52" s="1"/>
  <c r="AK17" i="52"/>
  <c r="AK9" i="52" s="1"/>
  <c r="AJ17" i="52"/>
  <c r="AJ9" i="52" s="1"/>
  <c r="AI17" i="52"/>
  <c r="AI9" i="52" s="1"/>
  <c r="AH17" i="52"/>
  <c r="AH9" i="52" s="1"/>
  <c r="AG17" i="52"/>
  <c r="AG9" i="52" s="1"/>
  <c r="AF17" i="52"/>
  <c r="AF9" i="52" s="1"/>
  <c r="AE17" i="52"/>
  <c r="AE9" i="52" s="1"/>
  <c r="AD17" i="52"/>
  <c r="AD9" i="52" s="1"/>
  <c r="AD8" i="52" s="1"/>
  <c r="AC17" i="52"/>
  <c r="AC9" i="52" s="1"/>
  <c r="AC8" i="52" s="1"/>
  <c r="AB17" i="52"/>
  <c r="AB9" i="52" s="1"/>
  <c r="AB8" i="52" s="1"/>
  <c r="AA17" i="52"/>
  <c r="AA9" i="52" s="1"/>
  <c r="AA8" i="52" s="1"/>
  <c r="D20" i="52"/>
  <c r="C17" i="52"/>
  <c r="V28" i="52" l="1"/>
  <c r="P58" i="52"/>
  <c r="U28" i="52"/>
  <c r="O43" i="52"/>
  <c r="O73" i="52"/>
  <c r="Q58" i="52"/>
  <c r="T28" i="52"/>
  <c r="AA7" i="94"/>
  <c r="AA23" i="46" s="1"/>
  <c r="V43" i="52"/>
  <c r="V73" i="52"/>
  <c r="O58" i="52"/>
  <c r="S58" i="52"/>
  <c r="D9" i="52"/>
  <c r="U58" i="52"/>
  <c r="V58" i="52"/>
  <c r="F9" i="52"/>
  <c r="O28" i="52"/>
  <c r="P28" i="52"/>
  <c r="Q28" i="52"/>
  <c r="R28" i="52"/>
  <c r="S28" i="52"/>
  <c r="AC7" i="94"/>
  <c r="AC23" i="46" s="1"/>
  <c r="T58" i="52"/>
  <c r="P43" i="52"/>
  <c r="P73" i="52"/>
  <c r="Q43" i="52"/>
  <c r="O31" i="94"/>
  <c r="T43" i="52"/>
  <c r="T73" i="52"/>
  <c r="AC15" i="94"/>
  <c r="AD15" i="94" s="1"/>
  <c r="AE15" i="94" s="1"/>
  <c r="AF15" i="94" s="1"/>
  <c r="AG15" i="94" s="1"/>
  <c r="AH15" i="94" s="1"/>
  <c r="AI15" i="94" s="1"/>
  <c r="AJ15" i="94" s="1"/>
  <c r="AK15" i="94" s="1"/>
  <c r="AL15" i="94" s="1"/>
  <c r="G15" i="94"/>
  <c r="P31" i="94"/>
  <c r="R58" i="52"/>
  <c r="AD7" i="94"/>
  <c r="AD23" i="46" s="1"/>
  <c r="Q73" i="52"/>
  <c r="R43" i="52"/>
  <c r="R73" i="52"/>
  <c r="S43" i="52"/>
  <c r="S73" i="52"/>
  <c r="U43" i="52"/>
  <c r="U73" i="52"/>
  <c r="Q31" i="94"/>
  <c r="AB7" i="94"/>
  <c r="AB23" i="46" s="1"/>
  <c r="AB25" i="52"/>
  <c r="AB26" i="52" s="1"/>
  <c r="AD25" i="52"/>
  <c r="AD26" i="52" s="1"/>
  <c r="AB40" i="52"/>
  <c r="AB41" i="52" s="1"/>
  <c r="AD55" i="52"/>
  <c r="AD56" i="52" s="1"/>
  <c r="AB55" i="52"/>
  <c r="AB56" i="52" s="1"/>
  <c r="AB70" i="52"/>
  <c r="AB71" i="52" s="1"/>
  <c r="AD70" i="52"/>
  <c r="AD71" i="52" s="1"/>
  <c r="W28" i="52"/>
  <c r="Y28" i="52"/>
  <c r="W43" i="52"/>
  <c r="Y43" i="52"/>
  <c r="W58" i="52"/>
  <c r="Y58" i="52"/>
  <c r="W73" i="52"/>
  <c r="Y73" i="52"/>
  <c r="AA25" i="52"/>
  <c r="G23" i="52"/>
  <c r="AC25" i="52"/>
  <c r="AC26" i="52" s="1"/>
  <c r="AA40" i="52"/>
  <c r="AA41" i="52" s="1"/>
  <c r="G38" i="52"/>
  <c r="AC40" i="52"/>
  <c r="AC41" i="52" s="1"/>
  <c r="AA55" i="52"/>
  <c r="AA56" i="52" s="1"/>
  <c r="G53" i="52"/>
  <c r="G54" i="52" s="1"/>
  <c r="AC55" i="52"/>
  <c r="AC56" i="52" s="1"/>
  <c r="AA70" i="52"/>
  <c r="AA71" i="52" s="1"/>
  <c r="G68" i="52"/>
  <c r="G69" i="52" s="1"/>
  <c r="AC70" i="52"/>
  <c r="AC71" i="52" s="1"/>
  <c r="X28" i="52"/>
  <c r="Z28" i="52"/>
  <c r="X43" i="52"/>
  <c r="Z43" i="52"/>
  <c r="X58" i="52"/>
  <c r="Z58" i="52"/>
  <c r="X73" i="52"/>
  <c r="Z73" i="52"/>
  <c r="N34" i="94"/>
  <c r="N35" i="94"/>
  <c r="L34" i="94"/>
  <c r="L35" i="94"/>
  <c r="M34" i="94"/>
  <c r="M35" i="94"/>
  <c r="K34" i="94"/>
  <c r="K35" i="94"/>
  <c r="AA9" i="94"/>
  <c r="AA9" i="46"/>
  <c r="Z31" i="94"/>
  <c r="Z34" i="94"/>
  <c r="X8" i="94"/>
  <c r="X34" i="94"/>
  <c r="V8" i="94"/>
  <c r="V34" i="94"/>
  <c r="T8" i="94"/>
  <c r="T34" i="94"/>
  <c r="R8" i="94"/>
  <c r="R34" i="94"/>
  <c r="P8" i="94"/>
  <c r="P34" i="94"/>
  <c r="Y8" i="94"/>
  <c r="Y34" i="94"/>
  <c r="W8" i="94"/>
  <c r="W34" i="94"/>
  <c r="U8" i="94"/>
  <c r="U34" i="94"/>
  <c r="S8" i="94"/>
  <c r="S34" i="94"/>
  <c r="Q8" i="94"/>
  <c r="Q34" i="94"/>
  <c r="O8" i="94"/>
  <c r="O34" i="94"/>
  <c r="Z8" i="94"/>
  <c r="AB8" i="94"/>
  <c r="AA8" i="94"/>
  <c r="G77" i="52"/>
  <c r="G62" i="52"/>
  <c r="H30" i="52"/>
  <c r="H33" i="52"/>
  <c r="H35" i="52"/>
  <c r="H31" i="52"/>
  <c r="H34" i="52"/>
  <c r="H75" i="52"/>
  <c r="H78" i="52"/>
  <c r="H80" i="52"/>
  <c r="H76" i="52"/>
  <c r="H79" i="52"/>
  <c r="H61" i="52"/>
  <c r="H64" i="52"/>
  <c r="H60" i="52"/>
  <c r="H63" i="52"/>
  <c r="H65" i="52"/>
  <c r="AD40" i="52"/>
  <c r="AD41" i="52" s="1"/>
  <c r="G39" i="52"/>
  <c r="H45" i="52"/>
  <c r="H48" i="52"/>
  <c r="H50" i="52"/>
  <c r="H46" i="52"/>
  <c r="H49" i="52"/>
  <c r="G47" i="52"/>
  <c r="G32" i="52"/>
  <c r="E54" i="52"/>
  <c r="D12" i="52"/>
  <c r="F12" i="52"/>
  <c r="C42" i="52"/>
  <c r="E9" i="52"/>
  <c r="C12" i="52"/>
  <c r="E12" i="52"/>
  <c r="C27" i="52"/>
  <c r="G8" i="52"/>
  <c r="G9" i="52" s="1"/>
  <c r="H20" i="52"/>
  <c r="H18" i="52"/>
  <c r="H15" i="52"/>
  <c r="H19" i="52"/>
  <c r="H16" i="52"/>
  <c r="AA10" i="52"/>
  <c r="AE8" i="52"/>
  <c r="AG8" i="52"/>
  <c r="AC10" i="52"/>
  <c r="AB10" i="52"/>
  <c r="AF8" i="52"/>
  <c r="AH8" i="52"/>
  <c r="AD10" i="52"/>
  <c r="E11" i="52"/>
  <c r="E39" i="52"/>
  <c r="D11" i="52"/>
  <c r="F11" i="52"/>
  <c r="D57" i="52"/>
  <c r="D58" i="52" s="1"/>
  <c r="F57" i="52"/>
  <c r="AE68" i="52"/>
  <c r="AG68" i="52"/>
  <c r="AF68" i="52"/>
  <c r="AH68" i="52"/>
  <c r="AE53" i="52"/>
  <c r="AG53" i="52"/>
  <c r="AF53" i="52"/>
  <c r="AH53" i="52"/>
  <c r="AE38" i="52"/>
  <c r="AG38" i="52"/>
  <c r="AF38" i="52"/>
  <c r="AH38" i="52"/>
  <c r="AE23" i="52"/>
  <c r="AG23" i="52"/>
  <c r="AF23" i="52"/>
  <c r="AH23" i="52"/>
  <c r="D54" i="52"/>
  <c r="F54" i="52"/>
  <c r="E57" i="52"/>
  <c r="D39" i="52"/>
  <c r="F39" i="52"/>
  <c r="E42" i="52"/>
  <c r="D42" i="52"/>
  <c r="F42" i="52"/>
  <c r="D72" i="52"/>
  <c r="D73" i="52" s="1"/>
  <c r="F72" i="52"/>
  <c r="D69" i="52"/>
  <c r="F69" i="52"/>
  <c r="E72" i="52"/>
  <c r="E73" i="52" s="1"/>
  <c r="D71" i="52"/>
  <c r="F71" i="52"/>
  <c r="E71" i="52"/>
  <c r="D56" i="52"/>
  <c r="F56" i="52"/>
  <c r="E56" i="52"/>
  <c r="D41" i="52"/>
  <c r="F41" i="52"/>
  <c r="E41" i="52"/>
  <c r="E24" i="52"/>
  <c r="G24" i="52"/>
  <c r="D24" i="52"/>
  <c r="F24" i="52"/>
  <c r="E27" i="52"/>
  <c r="D27" i="52"/>
  <c r="F27" i="52"/>
  <c r="E26" i="52"/>
  <c r="D26" i="52"/>
  <c r="F26" i="52"/>
  <c r="AB9" i="46" l="1"/>
  <c r="AB9" i="94"/>
  <c r="H32" i="52"/>
  <c r="G23" i="46"/>
  <c r="AA12" i="94"/>
  <c r="AC8" i="94"/>
  <c r="E58" i="52"/>
  <c r="AD9" i="94"/>
  <c r="AC9" i="46"/>
  <c r="AC9" i="94"/>
  <c r="D43" i="52"/>
  <c r="E13" i="52"/>
  <c r="AD9" i="46"/>
  <c r="AD8" i="94"/>
  <c r="H53" i="52"/>
  <c r="H54" i="52" s="1"/>
  <c r="AH7" i="94"/>
  <c r="AB11" i="52"/>
  <c r="AB12" i="94"/>
  <c r="AG7" i="94"/>
  <c r="D13" i="52"/>
  <c r="G55" i="52"/>
  <c r="G56" i="52" s="1"/>
  <c r="AA26" i="52"/>
  <c r="G25" i="52"/>
  <c r="H23" i="52"/>
  <c r="H24" i="52" s="1"/>
  <c r="H38" i="52"/>
  <c r="H39" i="52" s="1"/>
  <c r="H68" i="52"/>
  <c r="H69" i="52" s="1"/>
  <c r="AD11" i="52"/>
  <c r="AD12" i="94"/>
  <c r="AF7" i="94"/>
  <c r="AC11" i="52"/>
  <c r="AC12" i="94"/>
  <c r="AE7" i="94"/>
  <c r="F13" i="52"/>
  <c r="G70" i="52"/>
  <c r="G40" i="52"/>
  <c r="F43" i="52"/>
  <c r="F73" i="52"/>
  <c r="F58" i="52"/>
  <c r="E43" i="52"/>
  <c r="F28" i="52"/>
  <c r="E28" i="52"/>
  <c r="D28" i="52"/>
  <c r="AA15" i="65"/>
  <c r="AB15" i="65" s="1"/>
  <c r="AC15" i="65" s="1"/>
  <c r="AD15" i="65" s="1"/>
  <c r="I35" i="52"/>
  <c r="I33" i="52"/>
  <c r="I30" i="52"/>
  <c r="I34" i="52"/>
  <c r="I31" i="52"/>
  <c r="I80" i="52"/>
  <c r="I78" i="52"/>
  <c r="I75" i="52"/>
  <c r="I79" i="52"/>
  <c r="I76" i="52"/>
  <c r="H77" i="52"/>
  <c r="I64" i="52"/>
  <c r="I61" i="52"/>
  <c r="I65" i="52"/>
  <c r="I63" i="52"/>
  <c r="I60" i="52"/>
  <c r="H62" i="52"/>
  <c r="I50" i="52"/>
  <c r="I48" i="52"/>
  <c r="I45" i="52"/>
  <c r="I49" i="52"/>
  <c r="I46" i="52"/>
  <c r="H47" i="52"/>
  <c r="AJ8" i="52"/>
  <c r="AF10" i="52"/>
  <c r="AI8" i="52"/>
  <c r="I19" i="52"/>
  <c r="I16" i="52"/>
  <c r="H8" i="52"/>
  <c r="H9" i="52" s="1"/>
  <c r="I20" i="52"/>
  <c r="I18" i="52"/>
  <c r="I15" i="52"/>
  <c r="AE10" i="52"/>
  <c r="AL8" i="52"/>
  <c r="AH10" i="52"/>
  <c r="AK8" i="52"/>
  <c r="AG10" i="52"/>
  <c r="AA11" i="52"/>
  <c r="G10" i="52"/>
  <c r="H17" i="52"/>
  <c r="AH70" i="52"/>
  <c r="AH71" i="52" s="1"/>
  <c r="AL68" i="52"/>
  <c r="AL70" i="52" s="1"/>
  <c r="AG70" i="52"/>
  <c r="AG71" i="52" s="1"/>
  <c r="AK68" i="52"/>
  <c r="AK70" i="52" s="1"/>
  <c r="AF70" i="52"/>
  <c r="AF71" i="52" s="1"/>
  <c r="AJ68" i="52"/>
  <c r="AJ70" i="52" s="1"/>
  <c r="AE70" i="52"/>
  <c r="AI68" i="52"/>
  <c r="AH55" i="52"/>
  <c r="AH56" i="52" s="1"/>
  <c r="AL53" i="52"/>
  <c r="AL55" i="52" s="1"/>
  <c r="AG55" i="52"/>
  <c r="AG56" i="52" s="1"/>
  <c r="AK53" i="52"/>
  <c r="AK55" i="52" s="1"/>
  <c r="AF55" i="52"/>
  <c r="AF56" i="52" s="1"/>
  <c r="AJ53" i="52"/>
  <c r="AJ55" i="52" s="1"/>
  <c r="AE55" i="52"/>
  <c r="AI53" i="52"/>
  <c r="AH40" i="52"/>
  <c r="AH41" i="52" s="1"/>
  <c r="AL38" i="52"/>
  <c r="AL40" i="52" s="1"/>
  <c r="AG40" i="52"/>
  <c r="AG41" i="52" s="1"/>
  <c r="AK38" i="52"/>
  <c r="AK40" i="52" s="1"/>
  <c r="AF40" i="52"/>
  <c r="AF41" i="52" s="1"/>
  <c r="AJ38" i="52"/>
  <c r="AJ40" i="52" s="1"/>
  <c r="AE40" i="52"/>
  <c r="AI38" i="52"/>
  <c r="AF25" i="52"/>
  <c r="AF26" i="52" s="1"/>
  <c r="AJ23" i="52"/>
  <c r="AJ25" i="52" s="1"/>
  <c r="AG25" i="52"/>
  <c r="AG26" i="52" s="1"/>
  <c r="AK23" i="52"/>
  <c r="AK25" i="52" s="1"/>
  <c r="AH25" i="52"/>
  <c r="AH26" i="52" s="1"/>
  <c r="AL23" i="52"/>
  <c r="AL25" i="52" s="1"/>
  <c r="AE25" i="52"/>
  <c r="AI23" i="52"/>
  <c r="I53" i="52" l="1"/>
  <c r="H55" i="52"/>
  <c r="G57" i="52"/>
  <c r="G58" i="52" s="1"/>
  <c r="AK71" i="52"/>
  <c r="H70" i="52"/>
  <c r="H40" i="52"/>
  <c r="AK41" i="52"/>
  <c r="AJ41" i="52"/>
  <c r="AE26" i="52"/>
  <c r="H25" i="52"/>
  <c r="AK10" i="52"/>
  <c r="AK12" i="94" s="1"/>
  <c r="AK7" i="94"/>
  <c r="AL10" i="52"/>
  <c r="AL12" i="94" s="1"/>
  <c r="AL7" i="94"/>
  <c r="AI7" i="94"/>
  <c r="AJ10" i="52"/>
  <c r="AJ12" i="94" s="1"/>
  <c r="AJ7" i="94"/>
  <c r="G72" i="52"/>
  <c r="G73" i="52" s="1"/>
  <c r="G71" i="52"/>
  <c r="AE23" i="46"/>
  <c r="AE9" i="46"/>
  <c r="AE15" i="65" s="1"/>
  <c r="AE8" i="94"/>
  <c r="AE9" i="94"/>
  <c r="AH23" i="46"/>
  <c r="AH9" i="46"/>
  <c r="AH9" i="94"/>
  <c r="AH8" i="94"/>
  <c r="AI25" i="52"/>
  <c r="I23" i="52"/>
  <c r="AK26" i="52"/>
  <c r="I38" i="52"/>
  <c r="I39" i="52" s="1"/>
  <c r="I68" i="52"/>
  <c r="I69" i="52" s="1"/>
  <c r="AG11" i="52"/>
  <c r="AG12" i="94"/>
  <c r="AH11" i="52"/>
  <c r="AH12" i="94"/>
  <c r="AE12" i="94"/>
  <c r="AF11" i="52"/>
  <c r="AF12" i="94"/>
  <c r="G42" i="52"/>
  <c r="G43" i="52" s="1"/>
  <c r="G41" i="52"/>
  <c r="AF23" i="46"/>
  <c r="AF9" i="46"/>
  <c r="AF8" i="94"/>
  <c r="AF9" i="94"/>
  <c r="AG23" i="46"/>
  <c r="AG9" i="46"/>
  <c r="AG9" i="94"/>
  <c r="AG8" i="94"/>
  <c r="AL71" i="52"/>
  <c r="AJ26" i="52"/>
  <c r="I32" i="52"/>
  <c r="AL26" i="52"/>
  <c r="AJ71" i="52"/>
  <c r="I77" i="52"/>
  <c r="I62" i="52"/>
  <c r="I47" i="52"/>
  <c r="I17" i="52"/>
  <c r="AL41" i="52"/>
  <c r="AJ56" i="52"/>
  <c r="AK56" i="52"/>
  <c r="AL56" i="52"/>
  <c r="AK11" i="52"/>
  <c r="AL11" i="52"/>
  <c r="H10" i="52"/>
  <c r="AE11" i="52"/>
  <c r="G12" i="52"/>
  <c r="G11" i="52"/>
  <c r="I8" i="52"/>
  <c r="I9" i="52" s="1"/>
  <c r="AI10" i="52"/>
  <c r="AJ11" i="52"/>
  <c r="AE71" i="52"/>
  <c r="AI70" i="52"/>
  <c r="I70" i="52" s="1"/>
  <c r="I54" i="52"/>
  <c r="AI55" i="52"/>
  <c r="I55" i="52" s="1"/>
  <c r="AE56" i="52"/>
  <c r="AE41" i="52"/>
  <c r="AI40" i="52"/>
  <c r="I40" i="52" s="1"/>
  <c r="I24" i="52"/>
  <c r="G27" i="52"/>
  <c r="G28" i="52" s="1"/>
  <c r="G26" i="52"/>
  <c r="AF15" i="65" l="1"/>
  <c r="AG15" i="65" s="1"/>
  <c r="AH15" i="65" s="1"/>
  <c r="AI12" i="94"/>
  <c r="AL23" i="46"/>
  <c r="AL9" i="46"/>
  <c r="AL9" i="94"/>
  <c r="AL8" i="94"/>
  <c r="AK23" i="46"/>
  <c r="AK9" i="46"/>
  <c r="AK9" i="94"/>
  <c r="AK8" i="94"/>
  <c r="AI26" i="52"/>
  <c r="I25" i="52"/>
  <c r="AJ23" i="46"/>
  <c r="AJ9" i="46"/>
  <c r="AJ8" i="94"/>
  <c r="AJ9" i="94"/>
  <c r="AI23" i="46"/>
  <c r="AI9" i="46"/>
  <c r="AI8" i="94"/>
  <c r="AI9" i="94"/>
  <c r="G13" i="52"/>
  <c r="H12" i="52"/>
  <c r="H13" i="52" s="1"/>
  <c r="H11" i="52"/>
  <c r="AI11" i="52"/>
  <c r="I10" i="52"/>
  <c r="H72" i="52"/>
  <c r="H73" i="52" s="1"/>
  <c r="H71" i="52"/>
  <c r="AI71" i="52"/>
  <c r="AI56" i="52"/>
  <c r="H57" i="52"/>
  <c r="H58" i="52" s="1"/>
  <c r="H56" i="52"/>
  <c r="H42" i="52"/>
  <c r="H43" i="52" s="1"/>
  <c r="H41" i="52"/>
  <c r="AI41" i="52"/>
  <c r="H27" i="52"/>
  <c r="H28" i="52" s="1"/>
  <c r="H26" i="52"/>
  <c r="AI15" i="65" l="1"/>
  <c r="AJ15" i="65" s="1"/>
  <c r="AK15" i="65" s="1"/>
  <c r="AL15" i="65" s="1"/>
  <c r="I12" i="52"/>
  <c r="I13" i="52" s="1"/>
  <c r="I11" i="52"/>
  <c r="I72" i="52"/>
  <c r="I73" i="52" s="1"/>
  <c r="I71" i="52"/>
  <c r="I57" i="52"/>
  <c r="I58" i="52" s="1"/>
  <c r="I56" i="52"/>
  <c r="I42" i="52"/>
  <c r="I43" i="52" s="1"/>
  <c r="I41" i="52"/>
  <c r="I27" i="52"/>
  <c r="I28" i="52" s="1"/>
  <c r="I26" i="52"/>
  <c r="AJ6" i="52" l="1"/>
  <c r="AK6" i="52" s="1"/>
  <c r="AL6" i="52" s="1"/>
  <c r="AF6" i="52"/>
  <c r="AG6" i="52" s="1"/>
  <c r="AH6" i="52" s="1"/>
  <c r="AB6" i="52"/>
  <c r="AC6" i="52" s="1"/>
  <c r="AD6" i="52" s="1"/>
  <c r="X6" i="52"/>
  <c r="Y6" i="52" s="1"/>
  <c r="Z6" i="52" s="1"/>
  <c r="T6" i="52"/>
  <c r="U6" i="52" s="1"/>
  <c r="V6" i="52" s="1"/>
  <c r="P6" i="52"/>
  <c r="Q6" i="52" s="1"/>
  <c r="R6" i="52" s="1"/>
  <c r="L6" i="52"/>
  <c r="M6" i="52" s="1"/>
  <c r="N6" i="52" s="1"/>
  <c r="O5" i="52"/>
  <c r="S5" i="52" s="1"/>
  <c r="W5" i="52" s="1"/>
  <c r="AA5" i="52" s="1"/>
  <c r="AE5" i="52" s="1"/>
  <c r="AI5" i="52" s="1"/>
  <c r="L1" i="52"/>
  <c r="M1" i="52" s="1"/>
  <c r="N1" i="52" s="1"/>
  <c r="O1" i="52" s="1"/>
  <c r="P1" i="52" s="1"/>
  <c r="Q1" i="52" s="1"/>
  <c r="R1" i="52" s="1"/>
  <c r="S1" i="52" s="1"/>
  <c r="T1" i="52" s="1"/>
  <c r="U1" i="52" s="1"/>
  <c r="V1" i="52" s="1"/>
  <c r="W1" i="52" s="1"/>
  <c r="X1" i="52" s="1"/>
  <c r="Y1" i="52" s="1"/>
  <c r="Z1" i="52" s="1"/>
  <c r="AA1" i="52" s="1"/>
  <c r="AB1" i="52" s="1"/>
  <c r="AC1" i="52" s="1"/>
  <c r="AD1" i="52" s="1"/>
  <c r="AE1" i="52" s="1"/>
  <c r="AF1" i="52" s="1"/>
  <c r="AG1" i="52" s="1"/>
  <c r="AH1" i="52" s="1"/>
  <c r="AI1" i="52" s="1"/>
  <c r="AJ1" i="52" s="1"/>
  <c r="AK1" i="52" s="1"/>
  <c r="AL1" i="52" s="1"/>
  <c r="AL43" i="46"/>
  <c r="AK43" i="46"/>
  <c r="AJ43" i="46"/>
  <c r="AI43" i="46"/>
  <c r="AH43" i="46"/>
  <c r="AG43" i="46"/>
  <c r="AF43" i="46"/>
  <c r="AE43" i="46"/>
  <c r="AD43" i="46"/>
  <c r="AC43" i="46"/>
  <c r="AB43" i="46"/>
  <c r="AA43" i="46"/>
  <c r="Z43" i="46"/>
  <c r="Y43" i="46"/>
  <c r="X43" i="46"/>
  <c r="W43" i="46"/>
  <c r="V43" i="46"/>
  <c r="U43" i="46"/>
  <c r="T43" i="46"/>
  <c r="S43" i="46"/>
  <c r="R43" i="46"/>
  <c r="Q43" i="46"/>
  <c r="P43" i="46"/>
  <c r="O43" i="46"/>
  <c r="N43" i="46"/>
  <c r="M43" i="46"/>
  <c r="L43" i="46"/>
  <c r="K43" i="46"/>
  <c r="I37" i="46"/>
  <c r="H37" i="46"/>
  <c r="G37" i="46"/>
  <c r="F37" i="46"/>
  <c r="E37" i="46"/>
  <c r="D37" i="46"/>
  <c r="C37" i="46"/>
  <c r="I34" i="46"/>
  <c r="H34" i="46"/>
  <c r="G34" i="46"/>
  <c r="F34" i="46"/>
  <c r="E34" i="46"/>
  <c r="D34" i="46"/>
  <c r="C34" i="46"/>
  <c r="F33" i="46"/>
  <c r="E33" i="46"/>
  <c r="D33" i="46"/>
  <c r="C33" i="46"/>
  <c r="I32" i="46"/>
  <c r="H32" i="46"/>
  <c r="G32" i="46"/>
  <c r="F32" i="46"/>
  <c r="E32" i="46"/>
  <c r="D32" i="46"/>
  <c r="C32" i="46"/>
  <c r="I31" i="46"/>
  <c r="H31" i="46"/>
  <c r="G31" i="46"/>
  <c r="F31" i="46"/>
  <c r="E31" i="46"/>
  <c r="D31" i="46"/>
  <c r="C31" i="46"/>
  <c r="G30" i="46"/>
  <c r="F30" i="46"/>
  <c r="E30" i="46"/>
  <c r="D30" i="46"/>
  <c r="C30" i="46"/>
  <c r="F29" i="46"/>
  <c r="E29" i="46"/>
  <c r="D29" i="46"/>
  <c r="C29" i="46"/>
  <c r="I26" i="46"/>
  <c r="I43" i="46" s="1"/>
  <c r="H26" i="46"/>
  <c r="H43" i="46" s="1"/>
  <c r="G26" i="46"/>
  <c r="G43" i="46" s="1"/>
  <c r="F26" i="46"/>
  <c r="E26" i="46"/>
  <c r="D26" i="46"/>
  <c r="C26" i="46"/>
  <c r="I25" i="46"/>
  <c r="H25" i="46"/>
  <c r="G25" i="46"/>
  <c r="F25" i="46"/>
  <c r="E25" i="46"/>
  <c r="D25" i="46"/>
  <c r="C25" i="46"/>
  <c r="I24" i="46"/>
  <c r="H24" i="46"/>
  <c r="G24" i="46"/>
  <c r="F24" i="46"/>
  <c r="E24" i="46"/>
  <c r="D24" i="46"/>
  <c r="C24" i="46"/>
  <c r="I23" i="46"/>
  <c r="H23" i="46"/>
  <c r="F23" i="46"/>
  <c r="C11" i="174" s="1"/>
  <c r="E23" i="46"/>
  <c r="D23" i="46"/>
  <c r="C23" i="46"/>
  <c r="Z35" i="46"/>
  <c r="Y35" i="46"/>
  <c r="X35" i="46"/>
  <c r="W35" i="46"/>
  <c r="F35" i="46" s="1"/>
  <c r="V35" i="46"/>
  <c r="U35" i="46"/>
  <c r="T35" i="46"/>
  <c r="S35" i="46"/>
  <c r="E35" i="46" s="1"/>
  <c r="R35" i="46"/>
  <c r="Q35" i="46"/>
  <c r="P35" i="46"/>
  <c r="O35" i="46"/>
  <c r="D35" i="46" s="1"/>
  <c r="N35" i="46"/>
  <c r="M35" i="46"/>
  <c r="L35" i="46"/>
  <c r="K35" i="46"/>
  <c r="AD27" i="46"/>
  <c r="AC27" i="46"/>
  <c r="AB27" i="46"/>
  <c r="AA27" i="46"/>
  <c r="Z27" i="46"/>
  <c r="Y27" i="46"/>
  <c r="X27" i="46"/>
  <c r="W27" i="46"/>
  <c r="V27" i="46"/>
  <c r="U27" i="46"/>
  <c r="T27" i="46"/>
  <c r="S27" i="46"/>
  <c r="E27" i="46" s="1"/>
  <c r="R27" i="46"/>
  <c r="Q27" i="46"/>
  <c r="P27" i="46"/>
  <c r="O27" i="46"/>
  <c r="N27" i="46"/>
  <c r="M27" i="46"/>
  <c r="L27" i="46"/>
  <c r="K27" i="46"/>
  <c r="C27" i="46" s="1"/>
  <c r="I20" i="46"/>
  <c r="H20" i="46"/>
  <c r="G20" i="46"/>
  <c r="F20" i="46"/>
  <c r="E20" i="46"/>
  <c r="D20" i="46"/>
  <c r="C20" i="46"/>
  <c r="I19" i="46"/>
  <c r="H19" i="46"/>
  <c r="G19" i="46"/>
  <c r="F19" i="46"/>
  <c r="E19" i="46"/>
  <c r="D19" i="46"/>
  <c r="C19" i="46"/>
  <c r="I18" i="46"/>
  <c r="H18" i="46"/>
  <c r="G18" i="46"/>
  <c r="F18" i="46"/>
  <c r="E18" i="46"/>
  <c r="D18" i="46"/>
  <c r="C18" i="46"/>
  <c r="I16" i="46"/>
  <c r="H16" i="46"/>
  <c r="G16" i="46"/>
  <c r="F16" i="46"/>
  <c r="E16" i="46"/>
  <c r="D16" i="46"/>
  <c r="C16" i="46"/>
  <c r="F15" i="46"/>
  <c r="E15" i="46"/>
  <c r="D15" i="46"/>
  <c r="C15" i="46"/>
  <c r="F14" i="46"/>
  <c r="E14" i="46"/>
  <c r="D14" i="46"/>
  <c r="C14" i="46"/>
  <c r="F13" i="46"/>
  <c r="E13" i="46"/>
  <c r="D13" i="46"/>
  <c r="C13" i="46"/>
  <c r="F12" i="46"/>
  <c r="E12" i="46"/>
  <c r="D12" i="46"/>
  <c r="C12" i="46"/>
  <c r="F11" i="46"/>
  <c r="E11" i="46"/>
  <c r="D11" i="46"/>
  <c r="C11" i="46"/>
  <c r="F10" i="46"/>
  <c r="E10" i="46"/>
  <c r="D10" i="46"/>
  <c r="C10" i="46"/>
  <c r="F9" i="46"/>
  <c r="E9" i="46"/>
  <c r="D9" i="46"/>
  <c r="C9" i="46"/>
  <c r="Z17" i="46"/>
  <c r="Y17" i="46"/>
  <c r="X17" i="46"/>
  <c r="W17" i="46"/>
  <c r="F17" i="46" s="1"/>
  <c r="V17" i="46"/>
  <c r="U17" i="46"/>
  <c r="T17" i="46"/>
  <c r="S17" i="46"/>
  <c r="E17" i="46" s="1"/>
  <c r="R17" i="46"/>
  <c r="Q17" i="46"/>
  <c r="P17" i="46"/>
  <c r="O17" i="46"/>
  <c r="D17" i="46" s="1"/>
  <c r="N17" i="46"/>
  <c r="M17" i="46"/>
  <c r="L17" i="46"/>
  <c r="K17" i="46"/>
  <c r="C17" i="46" s="1"/>
  <c r="Z16" i="65"/>
  <c r="AA16" i="65" s="1"/>
  <c r="AB16" i="65" s="1"/>
  <c r="AC16" i="65" s="1"/>
  <c r="AD16" i="65" s="1"/>
  <c r="AE16" i="65" s="1"/>
  <c r="AF16" i="65" s="1"/>
  <c r="AG16" i="65" s="1"/>
  <c r="AH16" i="65" s="1"/>
  <c r="AI16" i="65" s="1"/>
  <c r="AJ16" i="65" s="1"/>
  <c r="AK16" i="65" s="1"/>
  <c r="AL16" i="65" s="1"/>
  <c r="Y16" i="65"/>
  <c r="X16" i="65"/>
  <c r="W16" i="65"/>
  <c r="V16" i="65"/>
  <c r="U16" i="65"/>
  <c r="T16" i="65"/>
  <c r="S16" i="65"/>
  <c r="R16" i="65"/>
  <c r="Q16" i="65"/>
  <c r="P16" i="65"/>
  <c r="O16" i="65"/>
  <c r="N16" i="65"/>
  <c r="M16" i="65"/>
  <c r="L16" i="65"/>
  <c r="K16" i="65"/>
  <c r="Z27" i="65"/>
  <c r="Z32" i="65" s="1"/>
  <c r="Z35" i="65" s="1"/>
  <c r="Y27" i="65"/>
  <c r="Y32" i="65" s="1"/>
  <c r="Y35" i="65" s="1"/>
  <c r="X27" i="65"/>
  <c r="X32" i="65" s="1"/>
  <c r="X35" i="65" s="1"/>
  <c r="W27" i="65"/>
  <c r="W32" i="65" s="1"/>
  <c r="W35" i="65" s="1"/>
  <c r="V27" i="65"/>
  <c r="V32" i="65" s="1"/>
  <c r="V35" i="65" s="1"/>
  <c r="U27" i="65"/>
  <c r="U32" i="65" s="1"/>
  <c r="U35" i="65" s="1"/>
  <c r="T27" i="65"/>
  <c r="T32" i="65" s="1"/>
  <c r="T35" i="65" s="1"/>
  <c r="S27" i="65"/>
  <c r="S32" i="65" s="1"/>
  <c r="S35" i="65" s="1"/>
  <c r="R27" i="65"/>
  <c r="R32" i="65" s="1"/>
  <c r="R35" i="65" s="1"/>
  <c r="Q27" i="65"/>
  <c r="Q32" i="65" s="1"/>
  <c r="Q35" i="65" s="1"/>
  <c r="P27" i="65"/>
  <c r="P32" i="65" s="1"/>
  <c r="P35" i="65" s="1"/>
  <c r="O27" i="65"/>
  <c r="O32" i="65" s="1"/>
  <c r="O35" i="65" s="1"/>
  <c r="N27" i="65"/>
  <c r="N32" i="65" s="1"/>
  <c r="N35" i="65" s="1"/>
  <c r="M27" i="65"/>
  <c r="M32" i="65" s="1"/>
  <c r="M35" i="65" s="1"/>
  <c r="L27" i="65"/>
  <c r="L32" i="65" s="1"/>
  <c r="L35" i="65" s="1"/>
  <c r="K27" i="65"/>
  <c r="K32" i="65" s="1"/>
  <c r="K35" i="65" s="1"/>
  <c r="D11" i="174" l="1"/>
  <c r="N11" i="171"/>
  <c r="N19" i="171" s="1"/>
  <c r="O11" i="171"/>
  <c r="E11" i="174"/>
  <c r="O19" i="171"/>
  <c r="D10" i="174"/>
  <c r="C10" i="174"/>
  <c r="C35" i="46"/>
  <c r="P11" i="171"/>
  <c r="F11" i="174"/>
  <c r="P19" i="171"/>
  <c r="G27" i="46"/>
  <c r="F27" i="46"/>
  <c r="D27" i="46"/>
  <c r="AB38" i="65"/>
  <c r="AA38" i="65"/>
  <c r="Z38" i="65"/>
  <c r="Y38" i="65"/>
  <c r="Y40" i="65" s="1"/>
  <c r="X38" i="65"/>
  <c r="X40" i="65" s="1"/>
  <c r="W38" i="65"/>
  <c r="W40" i="65" s="1"/>
  <c r="V38" i="65"/>
  <c r="U38" i="65"/>
  <c r="U40" i="65" s="1"/>
  <c r="T38" i="65"/>
  <c r="T40" i="65" s="1"/>
  <c r="S38" i="65"/>
  <c r="S40" i="65" s="1"/>
  <c r="R38" i="65"/>
  <c r="Q38" i="65"/>
  <c r="Q40" i="65" s="1"/>
  <c r="P38" i="65"/>
  <c r="P40" i="65" s="1"/>
  <c r="O38" i="65"/>
  <c r="O40" i="65" s="1"/>
  <c r="N38" i="65"/>
  <c r="M38" i="65"/>
  <c r="M40" i="65" s="1"/>
  <c r="L38" i="65"/>
  <c r="L40" i="65" s="1"/>
  <c r="K38" i="65"/>
  <c r="K40" i="65" s="1"/>
  <c r="N40" i="65" l="1"/>
  <c r="C40" i="65" s="1"/>
  <c r="C38" i="65"/>
  <c r="C17" i="166" s="1"/>
  <c r="D38" i="65"/>
  <c r="D17" i="166" s="1"/>
  <c r="R40" i="65"/>
  <c r="D40" i="65" s="1"/>
  <c r="V40" i="65"/>
  <c r="E40" i="65" s="1"/>
  <c r="E38" i="65"/>
  <c r="E17" i="166" s="1"/>
  <c r="F38" i="65"/>
  <c r="F17" i="166" s="1"/>
  <c r="Z40" i="65"/>
  <c r="F40" i="65" s="1"/>
  <c r="L39" i="65"/>
  <c r="N39" i="65"/>
  <c r="C39" i="65" s="1"/>
  <c r="C54" i="65" s="1"/>
  <c r="P39" i="65"/>
  <c r="R39" i="65"/>
  <c r="D39" i="65" s="1"/>
  <c r="T39" i="65"/>
  <c r="V39" i="65"/>
  <c r="E39" i="65" s="1"/>
  <c r="X39" i="65"/>
  <c r="Z39" i="65"/>
  <c r="F39" i="65" s="1"/>
  <c r="K39" i="65"/>
  <c r="M39" i="65"/>
  <c r="O39" i="65"/>
  <c r="Q39" i="65"/>
  <c r="S39" i="65"/>
  <c r="U39" i="65"/>
  <c r="W39" i="65"/>
  <c r="Y39" i="65"/>
  <c r="I34" i="65"/>
  <c r="H34" i="65"/>
  <c r="G34" i="65"/>
  <c r="F34" i="65"/>
  <c r="E34" i="65"/>
  <c r="D34" i="65"/>
  <c r="C34" i="65"/>
  <c r="F33" i="65"/>
  <c r="E33" i="65"/>
  <c r="E7" i="166" s="1"/>
  <c r="D33" i="65"/>
  <c r="D7" i="166" s="1"/>
  <c r="C33" i="65"/>
  <c r="F31" i="65"/>
  <c r="E31" i="65"/>
  <c r="D31" i="65"/>
  <c r="C31" i="65"/>
  <c r="F30" i="65"/>
  <c r="E30" i="65"/>
  <c r="D30" i="65"/>
  <c r="C30" i="65"/>
  <c r="F29" i="65"/>
  <c r="E29" i="65"/>
  <c r="D29" i="65"/>
  <c r="C29" i="65"/>
  <c r="F28" i="65"/>
  <c r="E28" i="65"/>
  <c r="D28" i="65"/>
  <c r="C28" i="65"/>
  <c r="F26" i="65"/>
  <c r="E26" i="65"/>
  <c r="D26" i="65"/>
  <c r="C26" i="65"/>
  <c r="F25" i="65"/>
  <c r="E25" i="65"/>
  <c r="D25" i="65"/>
  <c r="C25" i="65"/>
  <c r="C15" i="50" s="1"/>
  <c r="G24" i="65"/>
  <c r="F24" i="65"/>
  <c r="E24" i="65"/>
  <c r="D24" i="65"/>
  <c r="C24" i="65"/>
  <c r="F23" i="65"/>
  <c r="F27" i="65" s="1"/>
  <c r="E23" i="65"/>
  <c r="E27" i="65" s="1"/>
  <c r="E32" i="65" s="1"/>
  <c r="E35" i="65" s="1"/>
  <c r="D23" i="65"/>
  <c r="D27" i="65" s="1"/>
  <c r="D32" i="65" s="1"/>
  <c r="D35" i="65" s="1"/>
  <c r="C23" i="65"/>
  <c r="C27" i="65" s="1"/>
  <c r="C32" i="65" s="1"/>
  <c r="C35" i="65" s="1"/>
  <c r="I20" i="65"/>
  <c r="I37" i="166" s="1"/>
  <c r="H20" i="65"/>
  <c r="H37" i="166" s="1"/>
  <c r="G20" i="65"/>
  <c r="G37" i="166" s="1"/>
  <c r="F20" i="65"/>
  <c r="F37" i="166" s="1"/>
  <c r="E20" i="65"/>
  <c r="E37" i="166" s="1"/>
  <c r="D20" i="65"/>
  <c r="D37" i="166" s="1"/>
  <c r="C20" i="65"/>
  <c r="C37" i="166" s="1"/>
  <c r="I19" i="65"/>
  <c r="I51" i="65" s="1"/>
  <c r="H19" i="65"/>
  <c r="H51" i="65" s="1"/>
  <c r="G19" i="65"/>
  <c r="G51" i="65" s="1"/>
  <c r="F19" i="65"/>
  <c r="F51" i="65" s="1"/>
  <c r="E19" i="65"/>
  <c r="E51" i="65" s="1"/>
  <c r="D19" i="65"/>
  <c r="D51" i="65" s="1"/>
  <c r="C19" i="65"/>
  <c r="C51" i="65" s="1"/>
  <c r="C57" i="65" s="1"/>
  <c r="I18" i="65"/>
  <c r="H18" i="65"/>
  <c r="G18" i="65"/>
  <c r="F18" i="65"/>
  <c r="E18" i="65"/>
  <c r="D18" i="65"/>
  <c r="C18" i="65"/>
  <c r="I17" i="65"/>
  <c r="I50" i="65" s="1"/>
  <c r="H17" i="65"/>
  <c r="H50" i="65" s="1"/>
  <c r="G17" i="65"/>
  <c r="G50" i="65" s="1"/>
  <c r="F17" i="65"/>
  <c r="F50" i="65" s="1"/>
  <c r="E17" i="65"/>
  <c r="E50" i="65" s="1"/>
  <c r="D17" i="65"/>
  <c r="D50" i="65" s="1"/>
  <c r="C17" i="65"/>
  <c r="C50" i="65" s="1"/>
  <c r="F16" i="65"/>
  <c r="F35" i="166" s="1"/>
  <c r="E16" i="65"/>
  <c r="E35" i="166" s="1"/>
  <c r="D16" i="65"/>
  <c r="D35" i="166" s="1"/>
  <c r="C16" i="65"/>
  <c r="C35" i="166" s="1"/>
  <c r="F15" i="65"/>
  <c r="E15" i="65"/>
  <c r="D15" i="65"/>
  <c r="C15" i="65"/>
  <c r="F14" i="65"/>
  <c r="E14" i="65"/>
  <c r="D14" i="65"/>
  <c r="C14" i="65"/>
  <c r="F12" i="65"/>
  <c r="E12" i="65"/>
  <c r="D12" i="65"/>
  <c r="C12" i="65"/>
  <c r="F11" i="65"/>
  <c r="E11" i="65"/>
  <c r="D11" i="65"/>
  <c r="C11" i="65"/>
  <c r="F10" i="65"/>
  <c r="E10" i="65"/>
  <c r="D10" i="65"/>
  <c r="C10" i="65"/>
  <c r="C11" i="50" s="1"/>
  <c r="F9" i="65"/>
  <c r="E9" i="65"/>
  <c r="D9" i="65"/>
  <c r="C9" i="65"/>
  <c r="C7" i="50" s="1"/>
  <c r="F8" i="65"/>
  <c r="E8" i="65"/>
  <c r="D8" i="65"/>
  <c r="C8" i="65"/>
  <c r="Z13" i="65"/>
  <c r="Y13" i="65"/>
  <c r="X13" i="65"/>
  <c r="W13" i="65"/>
  <c r="V13" i="65"/>
  <c r="U13" i="65"/>
  <c r="T13" i="65"/>
  <c r="S13" i="65"/>
  <c r="R13" i="65"/>
  <c r="Q13" i="65"/>
  <c r="P13" i="65"/>
  <c r="O13" i="65"/>
  <c r="N13" i="65"/>
  <c r="M13" i="65"/>
  <c r="L13" i="65"/>
  <c r="K13" i="65"/>
  <c r="I24" i="94"/>
  <c r="H24" i="94"/>
  <c r="G24" i="94"/>
  <c r="H15" i="171" s="1"/>
  <c r="F24" i="94"/>
  <c r="E24" i="94"/>
  <c r="D24" i="94"/>
  <c r="C24" i="94"/>
  <c r="I22" i="94"/>
  <c r="H22" i="94"/>
  <c r="G22" i="94"/>
  <c r="F22" i="94"/>
  <c r="E22" i="94"/>
  <c r="D22" i="94"/>
  <c r="C22" i="94"/>
  <c r="F21" i="94"/>
  <c r="E21" i="94"/>
  <c r="E11" i="166" s="1"/>
  <c r="D21" i="94"/>
  <c r="D11" i="166" s="1"/>
  <c r="C21" i="94"/>
  <c r="C11" i="166" s="1"/>
  <c r="I19" i="94"/>
  <c r="H19" i="94"/>
  <c r="G19" i="94"/>
  <c r="F19" i="94"/>
  <c r="E19" i="94"/>
  <c r="D19" i="94"/>
  <c r="C19" i="94"/>
  <c r="I15" i="94"/>
  <c r="H15" i="94"/>
  <c r="F15" i="94"/>
  <c r="E15" i="94"/>
  <c r="D15" i="94"/>
  <c r="C15" i="94"/>
  <c r="I14" i="94"/>
  <c r="H14" i="94"/>
  <c r="G14" i="94"/>
  <c r="F14" i="94"/>
  <c r="E14" i="94"/>
  <c r="D14" i="94"/>
  <c r="C14" i="94"/>
  <c r="I13" i="94"/>
  <c r="H13" i="94"/>
  <c r="G13" i="94"/>
  <c r="F13" i="94"/>
  <c r="E13" i="94"/>
  <c r="D13" i="94"/>
  <c r="C13" i="94"/>
  <c r="I12" i="94"/>
  <c r="H12" i="94"/>
  <c r="G12" i="94"/>
  <c r="F12" i="94"/>
  <c r="E12" i="94"/>
  <c r="D12" i="94"/>
  <c r="C12" i="94"/>
  <c r="F11" i="94"/>
  <c r="E11" i="94"/>
  <c r="D11" i="94"/>
  <c r="C11" i="94"/>
  <c r="I9" i="94"/>
  <c r="H9" i="94"/>
  <c r="F9" i="94"/>
  <c r="E9" i="94"/>
  <c r="D9" i="94"/>
  <c r="C9" i="94"/>
  <c r="I7" i="94"/>
  <c r="F7" i="174" s="1"/>
  <c r="H7" i="94"/>
  <c r="E7" i="174" s="1"/>
  <c r="G7" i="94"/>
  <c r="D7" i="174" s="1"/>
  <c r="F7" i="94"/>
  <c r="C7" i="174" s="1"/>
  <c r="E7" i="94"/>
  <c r="D7" i="94"/>
  <c r="AL16" i="94"/>
  <c r="AL18" i="94" s="1"/>
  <c r="AL45" i="65" s="1"/>
  <c r="AK16" i="94"/>
  <c r="AK18" i="94" s="1"/>
  <c r="AK45" i="65" s="1"/>
  <c r="AJ16" i="94"/>
  <c r="AJ18" i="94" s="1"/>
  <c r="AJ45" i="65" s="1"/>
  <c r="AI16" i="94"/>
  <c r="AI18" i="94" s="1"/>
  <c r="AH16" i="94"/>
  <c r="AH18" i="94" s="1"/>
  <c r="AG16" i="94"/>
  <c r="AG18" i="94" s="1"/>
  <c r="AF16" i="94"/>
  <c r="AF18" i="94" s="1"/>
  <c r="AE16" i="94"/>
  <c r="AE18" i="94" s="1"/>
  <c r="AD16" i="94"/>
  <c r="AD18" i="94" s="1"/>
  <c r="AC16" i="94"/>
  <c r="AC18" i="94" s="1"/>
  <c r="AB16" i="94"/>
  <c r="AB18" i="94" s="1"/>
  <c r="AA16" i="94"/>
  <c r="AA18" i="94" s="1"/>
  <c r="Z16" i="94"/>
  <c r="Z18" i="94" s="1"/>
  <c r="Z45" i="65" s="1"/>
  <c r="Y16" i="94"/>
  <c r="Y18" i="94" s="1"/>
  <c r="Y45" i="65" s="1"/>
  <c r="X16" i="94"/>
  <c r="X18" i="94" s="1"/>
  <c r="X45" i="65" s="1"/>
  <c r="W16" i="94"/>
  <c r="W18" i="94" s="1"/>
  <c r="V16" i="94"/>
  <c r="V18" i="94" s="1"/>
  <c r="U16" i="94"/>
  <c r="U18" i="94" s="1"/>
  <c r="T16" i="94"/>
  <c r="T18" i="94" s="1"/>
  <c r="S16" i="94"/>
  <c r="S18" i="94" s="1"/>
  <c r="R16" i="94"/>
  <c r="R18" i="94" s="1"/>
  <c r="Q16" i="94"/>
  <c r="Q18" i="94" s="1"/>
  <c r="P16" i="94"/>
  <c r="P18" i="94" s="1"/>
  <c r="O16" i="94"/>
  <c r="O18" i="94" s="1"/>
  <c r="N16" i="94"/>
  <c r="M16" i="94"/>
  <c r="L16" i="94"/>
  <c r="K16" i="94"/>
  <c r="K18" i="94" s="1"/>
  <c r="AB10" i="94"/>
  <c r="Z10" i="94"/>
  <c r="Z29" i="94" s="1"/>
  <c r="Y10" i="94"/>
  <c r="Y29" i="94" s="1"/>
  <c r="X10" i="94"/>
  <c r="X29" i="94" s="1"/>
  <c r="W10" i="94"/>
  <c r="W29" i="94" s="1"/>
  <c r="V10" i="94"/>
  <c r="V29" i="94" s="1"/>
  <c r="U10" i="94"/>
  <c r="U29" i="94" s="1"/>
  <c r="T10" i="94"/>
  <c r="T29" i="94" s="1"/>
  <c r="S10" i="94"/>
  <c r="S29" i="94" s="1"/>
  <c r="R10" i="94"/>
  <c r="R29" i="94" s="1"/>
  <c r="Q10" i="94"/>
  <c r="Q29" i="94" s="1"/>
  <c r="P10" i="94"/>
  <c r="P29" i="94" s="1"/>
  <c r="O10" i="94"/>
  <c r="O29" i="94" s="1"/>
  <c r="N10" i="94"/>
  <c r="N29" i="94" s="1"/>
  <c r="M10" i="94"/>
  <c r="M29" i="94" s="1"/>
  <c r="L10" i="94"/>
  <c r="L29" i="94" s="1"/>
  <c r="K10" i="94"/>
  <c r="K29" i="94" s="1"/>
  <c r="D30" i="174" l="1"/>
  <c r="F11" i="166"/>
  <c r="C9" i="174"/>
  <c r="C7" i="166"/>
  <c r="C55" i="65"/>
  <c r="C56" i="65"/>
  <c r="E30" i="174"/>
  <c r="F30" i="174"/>
  <c r="G7" i="174"/>
  <c r="D32" i="174"/>
  <c r="F32" i="65"/>
  <c r="F35" i="65" s="1"/>
  <c r="E18" i="166"/>
  <c r="D18" i="166"/>
  <c r="D33" i="174"/>
  <c r="E33" i="174"/>
  <c r="F33" i="174"/>
  <c r="K21" i="65"/>
  <c r="K43" i="65"/>
  <c r="M21" i="65"/>
  <c r="M43" i="65"/>
  <c r="O21" i="65"/>
  <c r="O43" i="65"/>
  <c r="Q21" i="65"/>
  <c r="Q43" i="65"/>
  <c r="S21" i="65"/>
  <c r="S43" i="65"/>
  <c r="U21" i="65"/>
  <c r="U43" i="65"/>
  <c r="W21" i="65"/>
  <c r="W43" i="65"/>
  <c r="Y21" i="65"/>
  <c r="Y43" i="65"/>
  <c r="C13" i="65"/>
  <c r="C16" i="166"/>
  <c r="C18" i="166" s="1"/>
  <c r="E13" i="65"/>
  <c r="E16" i="166"/>
  <c r="F7" i="166"/>
  <c r="C7" i="159"/>
  <c r="L21" i="65"/>
  <c r="L43" i="65"/>
  <c r="N21" i="65"/>
  <c r="N43" i="65"/>
  <c r="P21" i="65"/>
  <c r="P43" i="65"/>
  <c r="R21" i="65"/>
  <c r="R43" i="65"/>
  <c r="T21" i="65"/>
  <c r="T43" i="65"/>
  <c r="V21" i="65"/>
  <c r="V43" i="65"/>
  <c r="X21" i="65"/>
  <c r="X43" i="65"/>
  <c r="Z21" i="65"/>
  <c r="Z43" i="65"/>
  <c r="D13" i="65"/>
  <c r="D16" i="166"/>
  <c r="F13" i="65"/>
  <c r="F16" i="166"/>
  <c r="F18" i="166" s="1"/>
  <c r="D21" i="65"/>
  <c r="D49" i="65" s="1"/>
  <c r="D52" i="65" s="1"/>
  <c r="D38" i="166"/>
  <c r="D36" i="166"/>
  <c r="F21" i="65"/>
  <c r="F49" i="65" s="1"/>
  <c r="F52" i="65" s="1"/>
  <c r="F38" i="166"/>
  <c r="F36" i="166"/>
  <c r="C36" i="166"/>
  <c r="C21" i="65"/>
  <c r="C49" i="65" s="1"/>
  <c r="C52" i="65" s="1"/>
  <c r="C38" i="166"/>
  <c r="E36" i="166"/>
  <c r="E21" i="65"/>
  <c r="E49" i="65" s="1"/>
  <c r="E52" i="65" s="1"/>
  <c r="E38" i="166"/>
  <c r="K45" i="65"/>
  <c r="M20" i="94"/>
  <c r="M33" i="94" s="1"/>
  <c r="M18" i="94"/>
  <c r="S42" i="65"/>
  <c r="O45" i="65"/>
  <c r="D18" i="94"/>
  <c r="U42" i="65"/>
  <c r="Q45" i="65"/>
  <c r="W42" i="65"/>
  <c r="S45" i="65"/>
  <c r="E18" i="94"/>
  <c r="Y42" i="65"/>
  <c r="U45" i="65"/>
  <c r="AA42" i="65"/>
  <c r="W45" i="65"/>
  <c r="F18" i="94"/>
  <c r="D34" i="94"/>
  <c r="D35" i="94"/>
  <c r="F34" i="94"/>
  <c r="C32" i="174" s="1"/>
  <c r="F35" i="94"/>
  <c r="C33" i="174" s="1"/>
  <c r="M7" i="155"/>
  <c r="H35" i="94"/>
  <c r="L20" i="94"/>
  <c r="L18" i="94"/>
  <c r="N20" i="94"/>
  <c r="N33" i="94" s="1"/>
  <c r="N18" i="94"/>
  <c r="P45" i="65"/>
  <c r="T42" i="65"/>
  <c r="R45" i="65"/>
  <c r="V42" i="65"/>
  <c r="T45" i="65"/>
  <c r="X42" i="65"/>
  <c r="V45" i="65"/>
  <c r="Z42" i="65"/>
  <c r="E34" i="94"/>
  <c r="E35" i="94"/>
  <c r="L7" i="155"/>
  <c r="G35" i="94"/>
  <c r="N7" i="155"/>
  <c r="I35" i="94"/>
  <c r="AI45" i="65"/>
  <c r="I18" i="94"/>
  <c r="AE45" i="65"/>
  <c r="H18" i="94"/>
  <c r="H45" i="65" s="1"/>
  <c r="AG45" i="65"/>
  <c r="AF45" i="65"/>
  <c r="AH45" i="65"/>
  <c r="AB42" i="65"/>
  <c r="AA45" i="65"/>
  <c r="G18" i="94"/>
  <c r="G45" i="65" s="1"/>
  <c r="AC45" i="65"/>
  <c r="AB45" i="65"/>
  <c r="E18" i="155" s="1"/>
  <c r="AD45" i="65"/>
  <c r="K20" i="94"/>
  <c r="K30" i="94"/>
  <c r="K33" i="94"/>
  <c r="K23" i="94"/>
  <c r="K25" i="94" s="1"/>
  <c r="O20" i="94"/>
  <c r="O17" i="94"/>
  <c r="Q20" i="94"/>
  <c r="Q17" i="94"/>
  <c r="S20" i="94"/>
  <c r="S17" i="94"/>
  <c r="U20" i="94"/>
  <c r="U17" i="94"/>
  <c r="W20" i="94"/>
  <c r="W17" i="94"/>
  <c r="Y20" i="94"/>
  <c r="Y17" i="94"/>
  <c r="AA17" i="94"/>
  <c r="AC17" i="94"/>
  <c r="AE17" i="94"/>
  <c r="AG17" i="94"/>
  <c r="AI17" i="94"/>
  <c r="AK17" i="94"/>
  <c r="P20" i="94"/>
  <c r="P17" i="94"/>
  <c r="R20" i="94"/>
  <c r="R17" i="94"/>
  <c r="T20" i="94"/>
  <c r="T17" i="94"/>
  <c r="V20" i="94"/>
  <c r="V17" i="94"/>
  <c r="X20" i="94"/>
  <c r="X17" i="94"/>
  <c r="Z20" i="94"/>
  <c r="Z17" i="94"/>
  <c r="AB17" i="94"/>
  <c r="AD17" i="94"/>
  <c r="AF17" i="94"/>
  <c r="AH17" i="94"/>
  <c r="AJ17" i="94"/>
  <c r="AL17" i="94"/>
  <c r="AA20" i="94"/>
  <c r="AA21" i="94" s="1"/>
  <c r="AC20" i="94"/>
  <c r="AC21" i="94" s="1"/>
  <c r="AE20" i="94"/>
  <c r="AE21" i="94" s="1"/>
  <c r="AG20" i="94"/>
  <c r="AG21" i="94" s="1"/>
  <c r="AI20" i="94"/>
  <c r="AI21" i="94" s="1"/>
  <c r="AK20" i="94"/>
  <c r="AK21" i="94" s="1"/>
  <c r="AB20" i="94"/>
  <c r="AB21" i="94" s="1"/>
  <c r="AB11" i="94"/>
  <c r="AB31" i="94" s="1"/>
  <c r="AD20" i="94"/>
  <c r="AD21" i="94" s="1"/>
  <c r="AF20" i="94"/>
  <c r="AH20" i="94"/>
  <c r="AH21" i="94" s="1"/>
  <c r="AJ20" i="94"/>
  <c r="AL20" i="94"/>
  <c r="AL21" i="94" s="1"/>
  <c r="I7" i="155"/>
  <c r="D31" i="94"/>
  <c r="J7" i="155"/>
  <c r="E31" i="94"/>
  <c r="K7" i="155"/>
  <c r="F31" i="94"/>
  <c r="D10" i="94"/>
  <c r="F10" i="94"/>
  <c r="D16" i="94"/>
  <c r="F16" i="94"/>
  <c r="C8" i="174" s="1"/>
  <c r="C13" i="174" s="1"/>
  <c r="H16" i="94"/>
  <c r="E8" i="174" s="1"/>
  <c r="E31" i="174" s="1"/>
  <c r="C10" i="94"/>
  <c r="E10" i="94"/>
  <c r="C16" i="94"/>
  <c r="C10" i="166" s="1"/>
  <c r="C12" i="166" s="1"/>
  <c r="E16" i="94"/>
  <c r="G16" i="94"/>
  <c r="D8" i="174" s="1"/>
  <c r="I16" i="94"/>
  <c r="F8" i="174" s="1"/>
  <c r="F31" i="174" s="1"/>
  <c r="M30" i="94"/>
  <c r="O30" i="94"/>
  <c r="Q30" i="94"/>
  <c r="S30" i="94"/>
  <c r="U30" i="94"/>
  <c r="W30" i="94"/>
  <c r="Y30" i="94"/>
  <c r="AA30" i="94"/>
  <c r="AC30" i="94"/>
  <c r="AE30" i="94"/>
  <c r="AG30" i="94"/>
  <c r="AI30" i="94"/>
  <c r="AK30" i="94"/>
  <c r="L30" i="94"/>
  <c r="N30" i="94"/>
  <c r="P30" i="94"/>
  <c r="R30" i="94"/>
  <c r="T30" i="94"/>
  <c r="V30" i="94"/>
  <c r="X30" i="94"/>
  <c r="Z30" i="94"/>
  <c r="AB30" i="94"/>
  <c r="AD30" i="94"/>
  <c r="AF30" i="94"/>
  <c r="AH30" i="94"/>
  <c r="AJ30" i="94"/>
  <c r="AL30" i="94"/>
  <c r="D20" i="94" l="1"/>
  <c r="D33" i="94" s="1"/>
  <c r="M23" i="94"/>
  <c r="M25" i="94" s="1"/>
  <c r="G20" i="94"/>
  <c r="C20" i="94"/>
  <c r="C33" i="94" s="1"/>
  <c r="N23" i="94"/>
  <c r="N25" i="94" s="1"/>
  <c r="L23" i="94"/>
  <c r="L25" i="94" s="1"/>
  <c r="L33" i="94"/>
  <c r="D31" i="174"/>
  <c r="G11" i="174"/>
  <c r="G10" i="174"/>
  <c r="H7" i="174"/>
  <c r="G8" i="174"/>
  <c r="G9" i="174" s="1"/>
  <c r="G13" i="174" s="1"/>
  <c r="G18" i="174" s="1"/>
  <c r="G26" i="166"/>
  <c r="N8" i="171"/>
  <c r="H26" i="166"/>
  <c r="O8" i="171"/>
  <c r="O18" i="171" s="1"/>
  <c r="I26" i="166"/>
  <c r="P8" i="171"/>
  <c r="P18" i="171" s="1"/>
  <c r="H20" i="94"/>
  <c r="N45" i="65"/>
  <c r="R42" i="65"/>
  <c r="L45" i="65"/>
  <c r="P42" i="65"/>
  <c r="F45" i="65"/>
  <c r="F42" i="65"/>
  <c r="E17" i="155" s="1"/>
  <c r="F26" i="166"/>
  <c r="D45" i="65"/>
  <c r="D42" i="65"/>
  <c r="D26" i="166"/>
  <c r="E45" i="65"/>
  <c r="E42" i="65"/>
  <c r="E26" i="166"/>
  <c r="Q42" i="65"/>
  <c r="M45" i="65"/>
  <c r="C18" i="94"/>
  <c r="O42" i="65"/>
  <c r="I45" i="65"/>
  <c r="G30" i="94"/>
  <c r="G10" i="166"/>
  <c r="F30" i="94"/>
  <c r="C31" i="174" s="1"/>
  <c r="F10" i="166"/>
  <c r="F12" i="166" s="1"/>
  <c r="I30" i="94"/>
  <c r="I10" i="166"/>
  <c r="E30" i="94"/>
  <c r="E10" i="166"/>
  <c r="E12" i="166" s="1"/>
  <c r="H30" i="94"/>
  <c r="H10" i="166"/>
  <c r="D30" i="94"/>
  <c r="D10" i="166"/>
  <c r="D12" i="166" s="1"/>
  <c r="H9" i="155"/>
  <c r="N21" i="46"/>
  <c r="AK23" i="94"/>
  <c r="AG23" i="94"/>
  <c r="AC23" i="94"/>
  <c r="Z33" i="94"/>
  <c r="Z23" i="94"/>
  <c r="Z25" i="94" s="1"/>
  <c r="X33" i="94"/>
  <c r="X23" i="94"/>
  <c r="X25" i="94" s="1"/>
  <c r="V33" i="94"/>
  <c r="V23" i="94"/>
  <c r="V25" i="94" s="1"/>
  <c r="T33" i="94"/>
  <c r="T23" i="94"/>
  <c r="T25" i="94" s="1"/>
  <c r="R33" i="94"/>
  <c r="R23" i="94"/>
  <c r="R25" i="94" s="1"/>
  <c r="P33" i="94"/>
  <c r="P23" i="94"/>
  <c r="P25" i="94" s="1"/>
  <c r="Y33" i="94"/>
  <c r="Y23" i="94"/>
  <c r="Y25" i="94" s="1"/>
  <c r="W33" i="94"/>
  <c r="W23" i="94"/>
  <c r="W25" i="94" s="1"/>
  <c r="U33" i="94"/>
  <c r="U23" i="94"/>
  <c r="U25" i="94" s="1"/>
  <c r="S33" i="94"/>
  <c r="S23" i="94"/>
  <c r="S25" i="94" s="1"/>
  <c r="Q33" i="94"/>
  <c r="Q23" i="94"/>
  <c r="Q25" i="94" s="1"/>
  <c r="O33" i="94"/>
  <c r="O23" i="94"/>
  <c r="O25" i="94" s="1"/>
  <c r="I20" i="94"/>
  <c r="E20" i="94"/>
  <c r="E33" i="94" s="1"/>
  <c r="F20" i="94"/>
  <c r="F33" i="94" s="1"/>
  <c r="C34" i="174" s="1"/>
  <c r="AJ21" i="94"/>
  <c r="I21" i="94" s="1"/>
  <c r="AF21" i="94"/>
  <c r="AF23" i="94" s="1"/>
  <c r="AL23" i="94"/>
  <c r="AH23" i="94"/>
  <c r="AD23" i="94"/>
  <c r="AB23" i="94"/>
  <c r="AI23" i="94"/>
  <c r="AE23" i="94"/>
  <c r="AA23" i="94"/>
  <c r="L9" i="155"/>
  <c r="G17" i="94"/>
  <c r="M9" i="155"/>
  <c r="H17" i="94"/>
  <c r="I9" i="155"/>
  <c r="D17" i="94"/>
  <c r="N9" i="155"/>
  <c r="I17" i="94"/>
  <c r="J9" i="155"/>
  <c r="E17" i="94"/>
  <c r="K9" i="155"/>
  <c r="F17" i="94"/>
  <c r="L21" i="46"/>
  <c r="M21" i="46"/>
  <c r="G21" i="94"/>
  <c r="C25" i="94"/>
  <c r="H12" i="155" s="1"/>
  <c r="B2" i="65"/>
  <c r="B2" i="46" s="1"/>
  <c r="B2" i="50" s="1"/>
  <c r="B2" i="159" s="1"/>
  <c r="C23" i="94" l="1"/>
  <c r="C6" i="166" s="1"/>
  <c r="N21" i="171"/>
  <c r="D9" i="174"/>
  <c r="P21" i="171"/>
  <c r="F9" i="174"/>
  <c r="H21" i="94"/>
  <c r="B2" i="47"/>
  <c r="B2" i="174"/>
  <c r="M2" i="171"/>
  <c r="B2" i="171" s="1"/>
  <c r="H11" i="174"/>
  <c r="H10" i="174"/>
  <c r="H8" i="174"/>
  <c r="H9" i="174" s="1"/>
  <c r="H13" i="174" s="1"/>
  <c r="H18" i="174" s="1"/>
  <c r="I7" i="174"/>
  <c r="N18" i="171"/>
  <c r="C24" i="171"/>
  <c r="C45" i="65"/>
  <c r="C42" i="65"/>
  <c r="C26" i="166"/>
  <c r="B2" i="52"/>
  <c r="B2" i="169"/>
  <c r="H33" i="94"/>
  <c r="O12" i="171" s="1"/>
  <c r="H11" i="166"/>
  <c r="H12" i="166" s="1"/>
  <c r="AE25" i="94"/>
  <c r="K8" i="159"/>
  <c r="K28" i="159" s="1"/>
  <c r="K29" i="159" s="1"/>
  <c r="AB25" i="94"/>
  <c r="H8" i="159"/>
  <c r="H28" i="159" s="1"/>
  <c r="H29" i="159" s="1"/>
  <c r="AH25" i="94"/>
  <c r="N8" i="159"/>
  <c r="N28" i="159" s="1"/>
  <c r="AF25" i="94"/>
  <c r="L8" i="159"/>
  <c r="L28" i="159" s="1"/>
  <c r="AG25" i="94"/>
  <c r="M8" i="159"/>
  <c r="M28" i="159" s="1"/>
  <c r="G33" i="94"/>
  <c r="N12" i="171" s="1"/>
  <c r="G11" i="166"/>
  <c r="G12" i="166" s="1"/>
  <c r="AA25" i="94"/>
  <c r="G8" i="159"/>
  <c r="AI25" i="94"/>
  <c r="O8" i="159"/>
  <c r="O28" i="159" s="1"/>
  <c r="O29" i="159" s="1"/>
  <c r="AD25" i="94"/>
  <c r="J8" i="159"/>
  <c r="J28" i="159" s="1"/>
  <c r="J29" i="159" s="1"/>
  <c r="AL25" i="94"/>
  <c r="R8" i="159"/>
  <c r="R28" i="159" s="1"/>
  <c r="I33" i="94"/>
  <c r="P12" i="171" s="1"/>
  <c r="I11" i="166"/>
  <c r="I12" i="166" s="1"/>
  <c r="AC25" i="94"/>
  <c r="I8" i="159"/>
  <c r="I28" i="159" s="1"/>
  <c r="I29" i="159" s="1"/>
  <c r="AK25" i="94"/>
  <c r="Q8" i="159"/>
  <c r="Q28" i="159" s="1"/>
  <c r="E23" i="94"/>
  <c r="E6" i="166" s="1"/>
  <c r="AE8" i="46"/>
  <c r="AB8" i="46"/>
  <c r="AH8" i="46"/>
  <c r="AF8" i="46"/>
  <c r="AG8" i="46"/>
  <c r="AA8" i="46"/>
  <c r="AI8" i="46"/>
  <c r="AD8" i="46"/>
  <c r="AL8" i="46"/>
  <c r="Q21" i="46"/>
  <c r="Q38" i="46" s="1"/>
  <c r="U21" i="46"/>
  <c r="U38" i="46" s="1"/>
  <c r="Y21" i="46"/>
  <c r="Y38" i="46" s="1"/>
  <c r="P21" i="46"/>
  <c r="P42" i="46" s="1"/>
  <c r="P44" i="46" s="1"/>
  <c r="R21" i="46"/>
  <c r="R42" i="46" s="1"/>
  <c r="R44" i="46" s="1"/>
  <c r="T21" i="46"/>
  <c r="T42" i="46" s="1"/>
  <c r="T44" i="46" s="1"/>
  <c r="V21" i="46"/>
  <c r="V42" i="46" s="1"/>
  <c r="V44" i="46" s="1"/>
  <c r="X21" i="46"/>
  <c r="X42" i="46" s="1"/>
  <c r="X44" i="46" s="1"/>
  <c r="Z21" i="46"/>
  <c r="Z42" i="46" s="1"/>
  <c r="Z44" i="46" s="1"/>
  <c r="AC8" i="46"/>
  <c r="AK8" i="46"/>
  <c r="O21" i="46"/>
  <c r="D23" i="94"/>
  <c r="D6" i="166" s="1"/>
  <c r="AJ23" i="94"/>
  <c r="F23" i="94"/>
  <c r="F6" i="166" s="1"/>
  <c r="M38" i="46"/>
  <c r="M42" i="46"/>
  <c r="M44" i="46" s="1"/>
  <c r="N42" i="46"/>
  <c r="N44" i="46" s="1"/>
  <c r="N38" i="46"/>
  <c r="C8" i="46"/>
  <c r="K21" i="46"/>
  <c r="D8" i="46"/>
  <c r="S21" i="46"/>
  <c r="W21" i="46"/>
  <c r="L42" i="46"/>
  <c r="L44" i="46" s="1"/>
  <c r="L38" i="46"/>
  <c r="P38" i="46"/>
  <c r="T38" i="46"/>
  <c r="H23" i="94"/>
  <c r="G23" i="94"/>
  <c r="Z38" i="46" l="1"/>
  <c r="V38" i="46"/>
  <c r="I11" i="174"/>
  <c r="I10" i="174"/>
  <c r="I8" i="174"/>
  <c r="I9" i="174" s="1"/>
  <c r="I13" i="174" s="1"/>
  <c r="R38" i="46"/>
  <c r="O21" i="171"/>
  <c r="E9" i="174"/>
  <c r="Y42" i="46"/>
  <c r="Y44" i="46" s="1"/>
  <c r="U42" i="46"/>
  <c r="U44" i="46" s="1"/>
  <c r="Q42" i="46"/>
  <c r="Q44" i="46" s="1"/>
  <c r="X38" i="46"/>
  <c r="C25" i="171"/>
  <c r="C23" i="171"/>
  <c r="G28" i="159"/>
  <c r="G29" i="159" s="1"/>
  <c r="D8" i="159"/>
  <c r="D28" i="159" s="1"/>
  <c r="H6" i="166"/>
  <c r="AJ25" i="94"/>
  <c r="I25" i="94" s="1"/>
  <c r="P8" i="159"/>
  <c r="P28" i="159" s="1"/>
  <c r="C8" i="159"/>
  <c r="C28" i="159" s="1"/>
  <c r="G6" i="166"/>
  <c r="E8" i="46"/>
  <c r="I23" i="94"/>
  <c r="F8" i="46"/>
  <c r="D25" i="94"/>
  <c r="I12" i="155" s="1"/>
  <c r="F25" i="94"/>
  <c r="K12" i="155" s="1"/>
  <c r="K18" i="155" s="1"/>
  <c r="E25" i="94"/>
  <c r="J12" i="155" s="1"/>
  <c r="AJ8" i="46"/>
  <c r="F21" i="46"/>
  <c r="W42" i="46"/>
  <c r="W44" i="46" s="1"/>
  <c r="W38" i="46"/>
  <c r="E21" i="46"/>
  <c r="E38" i="46" s="1"/>
  <c r="S42" i="46"/>
  <c r="S44" i="46" s="1"/>
  <c r="S38" i="46"/>
  <c r="O38" i="46"/>
  <c r="D21" i="46"/>
  <c r="D38" i="46" s="1"/>
  <c r="O42" i="46"/>
  <c r="O44" i="46" s="1"/>
  <c r="K38" i="46"/>
  <c r="K40" i="46" s="1"/>
  <c r="C21" i="46"/>
  <c r="K42" i="46"/>
  <c r="K44" i="46" s="1"/>
  <c r="G25" i="94"/>
  <c r="H25" i="94"/>
  <c r="B2" i="166"/>
  <c r="B2" i="167" s="1"/>
  <c r="B15" i="167" s="1"/>
  <c r="I20" i="174" l="1"/>
  <c r="C23" i="174" s="1"/>
  <c r="I18" i="174"/>
  <c r="L12" i="155"/>
  <c r="N7" i="171"/>
  <c r="C9" i="171" s="1"/>
  <c r="M12" i="155"/>
  <c r="O7" i="171"/>
  <c r="N12" i="155"/>
  <c r="P7" i="171"/>
  <c r="C22" i="171"/>
  <c r="C26" i="171"/>
  <c r="F38" i="46"/>
  <c r="C7" i="47"/>
  <c r="E8" i="159"/>
  <c r="E28" i="159" s="1"/>
  <c r="I6" i="166"/>
  <c r="K46" i="46"/>
  <c r="L39" i="46"/>
  <c r="L40" i="46" s="1"/>
  <c r="C42" i="46"/>
  <c r="C38" i="46"/>
  <c r="C40" i="46" s="1"/>
  <c r="C27" i="171" l="1"/>
  <c r="C21" i="171"/>
  <c r="D9" i="171"/>
  <c r="C8" i="171"/>
  <c r="C10" i="171"/>
  <c r="J9" i="171"/>
  <c r="E9" i="171"/>
  <c r="I9" i="171"/>
  <c r="F9" i="171"/>
  <c r="G9" i="171"/>
  <c r="H9" i="171"/>
  <c r="C46" i="46"/>
  <c r="D39" i="46"/>
  <c r="D40" i="46" s="1"/>
  <c r="M39" i="46"/>
  <c r="M40" i="46" s="1"/>
  <c r="L46" i="46"/>
  <c r="I8" i="171" l="1"/>
  <c r="H8" i="171"/>
  <c r="E8" i="171"/>
  <c r="C7" i="171"/>
  <c r="D8" i="171"/>
  <c r="F8" i="171"/>
  <c r="J8" i="171"/>
  <c r="G8" i="171"/>
  <c r="C20" i="171"/>
  <c r="C28" i="171"/>
  <c r="C11" i="171"/>
  <c r="D10" i="171"/>
  <c r="F10" i="171"/>
  <c r="J10" i="171"/>
  <c r="E10" i="171"/>
  <c r="I10" i="171"/>
  <c r="H10" i="171"/>
  <c r="G10" i="171"/>
  <c r="E39" i="46"/>
  <c r="E40" i="46" s="1"/>
  <c r="D46" i="46"/>
  <c r="N39" i="46"/>
  <c r="N40" i="46" s="1"/>
  <c r="M46" i="46"/>
  <c r="E8" i="155"/>
  <c r="I6" i="155"/>
  <c r="J6" i="155" s="1"/>
  <c r="K6" i="155" s="1"/>
  <c r="L6" i="155" s="1"/>
  <c r="M6" i="155" s="1"/>
  <c r="N6" i="155" s="1"/>
  <c r="D5" i="166"/>
  <c r="E5" i="166" s="1"/>
  <c r="F5" i="166" s="1"/>
  <c r="G5" i="166" s="1"/>
  <c r="H5" i="166" s="1"/>
  <c r="I5" i="166" s="1"/>
  <c r="J7" i="171" l="1"/>
  <c r="F7" i="171"/>
  <c r="C6" i="171"/>
  <c r="G7" i="171"/>
  <c r="H7" i="171"/>
  <c r="D7" i="171"/>
  <c r="I7" i="171"/>
  <c r="E7" i="171"/>
  <c r="I11" i="171"/>
  <c r="C12" i="171"/>
  <c r="H11" i="171"/>
  <c r="E11" i="171"/>
  <c r="F11" i="171"/>
  <c r="J11" i="171"/>
  <c r="D11" i="171"/>
  <c r="G11" i="171"/>
  <c r="O39" i="46"/>
  <c r="O40" i="46" s="1"/>
  <c r="N46" i="46"/>
  <c r="F39" i="46"/>
  <c r="F40" i="46" s="1"/>
  <c r="E46" i="46"/>
  <c r="G41" i="46"/>
  <c r="G6" i="171" l="1"/>
  <c r="J6" i="171"/>
  <c r="F6" i="171"/>
  <c r="I6" i="171"/>
  <c r="E6" i="171"/>
  <c r="H6" i="171"/>
  <c r="D6" i="171"/>
  <c r="I12" i="171"/>
  <c r="E12" i="171"/>
  <c r="J12" i="171"/>
  <c r="F12" i="171"/>
  <c r="G12" i="171"/>
  <c r="C13" i="171"/>
  <c r="H12" i="171"/>
  <c r="D12" i="171"/>
  <c r="G39" i="46"/>
  <c r="F46" i="46"/>
  <c r="P39" i="46"/>
  <c r="P40" i="46" s="1"/>
  <c r="O46" i="46"/>
  <c r="I13" i="171" l="1"/>
  <c r="E13" i="171"/>
  <c r="J13" i="171"/>
  <c r="F13" i="171"/>
  <c r="G13" i="171"/>
  <c r="D13" i="171"/>
  <c r="H13" i="171"/>
  <c r="Q39" i="46"/>
  <c r="Q40" i="46" s="1"/>
  <c r="P46" i="46"/>
  <c r="AC10" i="94"/>
  <c r="AC11" i="94" s="1"/>
  <c r="AC31" i="94" s="1"/>
  <c r="AF10" i="94"/>
  <c r="AF11" i="94" s="1"/>
  <c r="AF31" i="94" s="1"/>
  <c r="AK10" i="94"/>
  <c r="AK11" i="94" s="1"/>
  <c r="AK31" i="94" s="1"/>
  <c r="R39" i="46" l="1"/>
  <c r="R40" i="46" s="1"/>
  <c r="Q46" i="46"/>
  <c r="AG10" i="94"/>
  <c r="AG11" i="94" s="1"/>
  <c r="AG31" i="94" s="1"/>
  <c r="AE10" i="94"/>
  <c r="AE11" i="94" s="1"/>
  <c r="AE31" i="94" s="1"/>
  <c r="AD10" i="94"/>
  <c r="AD11" i="94" s="1"/>
  <c r="AD31" i="94" s="1"/>
  <c r="AJ10" i="94"/>
  <c r="AJ11" i="94" s="1"/>
  <c r="AJ31" i="94" s="1"/>
  <c r="S39" i="46" l="1"/>
  <c r="S40" i="46" s="1"/>
  <c r="R46" i="46"/>
  <c r="AH10" i="94"/>
  <c r="AI10" i="94"/>
  <c r="AI11" i="94" s="1"/>
  <c r="AI31" i="94" s="1"/>
  <c r="H10" i="94" l="1"/>
  <c r="AH11" i="94"/>
  <c r="AH31" i="94" s="1"/>
  <c r="T39" i="46"/>
  <c r="T40" i="46" s="1"/>
  <c r="S46" i="46"/>
  <c r="AL10" i="94"/>
  <c r="I10" i="94" l="1"/>
  <c r="AL11" i="94"/>
  <c r="AL31" i="94" s="1"/>
  <c r="U39" i="46"/>
  <c r="U40" i="46" s="1"/>
  <c r="T46" i="46"/>
  <c r="H11" i="94"/>
  <c r="H31" i="94" s="1"/>
  <c r="V39" i="46" l="1"/>
  <c r="V40" i="46" s="1"/>
  <c r="U46" i="46"/>
  <c r="I11" i="94"/>
  <c r="I31" i="94" s="1"/>
  <c r="W39" i="46" l="1"/>
  <c r="W40" i="46" s="1"/>
  <c r="V46" i="46"/>
  <c r="C7" i="94"/>
  <c r="C35" i="94" s="1"/>
  <c r="C30" i="94" l="1"/>
  <c r="C34" i="94"/>
  <c r="X39" i="46"/>
  <c r="X40" i="46" s="1"/>
  <c r="W46" i="46"/>
  <c r="H7" i="155"/>
  <c r="C31" i="94"/>
  <c r="D6" i="52"/>
  <c r="E6" i="52" s="1"/>
  <c r="F6" i="52" s="1"/>
  <c r="G6" i="52" s="1"/>
  <c r="H6" i="52" s="1"/>
  <c r="I6" i="52" s="1"/>
  <c r="Y39" i="46" l="1"/>
  <c r="Y40" i="46" s="1"/>
  <c r="X46" i="46"/>
  <c r="Z39" i="46" l="1"/>
  <c r="Z40" i="46" s="1"/>
  <c r="Y46" i="46"/>
  <c r="AA39" i="46" l="1"/>
  <c r="G10" i="47" s="1"/>
  <c r="Z46" i="46"/>
  <c r="AJ6" i="50" l="1"/>
  <c r="AK6" i="50" s="1"/>
  <c r="AL6" i="50" s="1"/>
  <c r="AF6" i="50"/>
  <c r="AG6" i="50" s="1"/>
  <c r="AH6" i="50" s="1"/>
  <c r="AB6" i="50"/>
  <c r="AC6" i="50" s="1"/>
  <c r="AD6" i="50" s="1"/>
  <c r="X6" i="50"/>
  <c r="Y6" i="50" s="1"/>
  <c r="Z6" i="50" s="1"/>
  <c r="T6" i="50"/>
  <c r="U6" i="50" s="1"/>
  <c r="V6" i="50" s="1"/>
  <c r="P6" i="50"/>
  <c r="Q6" i="50" s="1"/>
  <c r="R6" i="50" s="1"/>
  <c r="L6" i="50"/>
  <c r="M6" i="50" s="1"/>
  <c r="N6" i="50" s="1"/>
  <c r="O5" i="50"/>
  <c r="S5" i="50" s="1"/>
  <c r="W5" i="50" s="1"/>
  <c r="AA5" i="50" s="1"/>
  <c r="AE5" i="50" s="1"/>
  <c r="AI5" i="50" s="1"/>
  <c r="AJ6" i="46"/>
  <c r="AK6" i="46" s="1"/>
  <c r="AL6" i="46" s="1"/>
  <c r="AF6" i="46"/>
  <c r="AG6" i="46" s="1"/>
  <c r="AH6" i="46" s="1"/>
  <c r="AB6" i="46"/>
  <c r="AC6" i="46" s="1"/>
  <c r="AD6" i="46" s="1"/>
  <c r="X6" i="46"/>
  <c r="Y6" i="46" s="1"/>
  <c r="Z6" i="46" s="1"/>
  <c r="T6" i="46"/>
  <c r="U6" i="46" s="1"/>
  <c r="V6" i="46" s="1"/>
  <c r="P6" i="46"/>
  <c r="Q6" i="46" s="1"/>
  <c r="R6" i="46" s="1"/>
  <c r="L6" i="46"/>
  <c r="O5" i="46"/>
  <c r="S5" i="46" s="1"/>
  <c r="W5" i="46" s="1"/>
  <c r="AA5" i="46" s="1"/>
  <c r="AE5" i="46" s="1"/>
  <c r="AI5" i="46" s="1"/>
  <c r="M6" i="46" l="1"/>
  <c r="N6" i="46" s="1"/>
  <c r="G7" i="159"/>
  <c r="G10" i="159" l="1"/>
  <c r="AJ6" i="94"/>
  <c r="AK6" i="94" s="1"/>
  <c r="AL6" i="94" s="1"/>
  <c r="AF6" i="94"/>
  <c r="AG6" i="94" s="1"/>
  <c r="AH6" i="94" s="1"/>
  <c r="AB6" i="94"/>
  <c r="AC6" i="94" s="1"/>
  <c r="AD6" i="94" s="1"/>
  <c r="X6" i="94"/>
  <c r="Y6" i="94" s="1"/>
  <c r="Z6" i="94" s="1"/>
  <c r="T6" i="94"/>
  <c r="U6" i="94" s="1"/>
  <c r="V6" i="94" s="1"/>
  <c r="P6" i="94"/>
  <c r="Q6" i="94" s="1"/>
  <c r="R6" i="94" s="1"/>
  <c r="L6" i="94"/>
  <c r="M6" i="94" s="1"/>
  <c r="N6" i="94" s="1"/>
  <c r="O5" i="94"/>
  <c r="S5" i="94" s="1"/>
  <c r="W5" i="94" s="1"/>
  <c r="AA5" i="94" s="1"/>
  <c r="AE5" i="94" s="1"/>
  <c r="AI5" i="94" s="1"/>
  <c r="AA33" i="46" l="1"/>
  <c r="G9" i="47"/>
  <c r="G11" i="159"/>
  <c r="E20" i="47"/>
  <c r="D20" i="47"/>
  <c r="AA33" i="65" l="1"/>
  <c r="AA40" i="65" s="1"/>
  <c r="H7" i="159"/>
  <c r="D6" i="46"/>
  <c r="E6" i="46" s="1"/>
  <c r="F6" i="46" s="1"/>
  <c r="G6" i="46" s="1"/>
  <c r="H6" i="46" s="1"/>
  <c r="I6" i="46" s="1"/>
  <c r="O30" i="159"/>
  <c r="K30" i="159"/>
  <c r="I30" i="46"/>
  <c r="H30" i="46"/>
  <c r="C8" i="47" l="1"/>
  <c r="D8" i="47"/>
  <c r="E8" i="47"/>
  <c r="W7" i="50"/>
  <c r="X7" i="50"/>
  <c r="Y7" i="50"/>
  <c r="Z7" i="50"/>
  <c r="W11" i="50"/>
  <c r="X11" i="50"/>
  <c r="Y11" i="50"/>
  <c r="Z11" i="50"/>
  <c r="W15" i="50"/>
  <c r="X15" i="50"/>
  <c r="Y15" i="50"/>
  <c r="Z15" i="50"/>
  <c r="W22" i="50"/>
  <c r="X22" i="50"/>
  <c r="Y22" i="50"/>
  <c r="Z22" i="50"/>
  <c r="AB22" i="50"/>
  <c r="D6" i="159"/>
  <c r="E6" i="159" s="1"/>
  <c r="L1" i="65"/>
  <c r="M1" i="65" s="1"/>
  <c r="N1" i="65" s="1"/>
  <c r="O1" i="65" s="1"/>
  <c r="P1" i="65" s="1"/>
  <c r="Q1" i="65" s="1"/>
  <c r="R1" i="65" s="1"/>
  <c r="S1" i="65" s="1"/>
  <c r="T1" i="65" s="1"/>
  <c r="U1" i="65" s="1"/>
  <c r="V1" i="65" s="1"/>
  <c r="W1" i="65" s="1"/>
  <c r="X1" i="65" s="1"/>
  <c r="Y1" i="65" s="1"/>
  <c r="Z1" i="65" s="1"/>
  <c r="AA1" i="65" s="1"/>
  <c r="AB1" i="65" s="1"/>
  <c r="AC1" i="65" s="1"/>
  <c r="AD1" i="65" s="1"/>
  <c r="AE1" i="65" s="1"/>
  <c r="AF1" i="65" s="1"/>
  <c r="AG1" i="65" s="1"/>
  <c r="AH1" i="65" s="1"/>
  <c r="AI1" i="65" s="1"/>
  <c r="AJ1" i="65" s="1"/>
  <c r="AK1" i="65" s="1"/>
  <c r="AL1" i="65" s="1"/>
  <c r="L1" i="46"/>
  <c r="M1" i="46" s="1"/>
  <c r="N1" i="46" s="1"/>
  <c r="O1" i="46" s="1"/>
  <c r="P1" i="46" s="1"/>
  <c r="Q1" i="46" s="1"/>
  <c r="R1" i="46" s="1"/>
  <c r="S1" i="46" s="1"/>
  <c r="T1" i="46" s="1"/>
  <c r="U1" i="46" s="1"/>
  <c r="V1" i="46" s="1"/>
  <c r="W1" i="46" s="1"/>
  <c r="X1" i="46" s="1"/>
  <c r="Y1" i="46" s="1"/>
  <c r="Z1" i="46" s="1"/>
  <c r="AA1" i="46" s="1"/>
  <c r="AB1" i="46" s="1"/>
  <c r="AC1" i="46" s="1"/>
  <c r="AD1" i="46" s="1"/>
  <c r="AE1" i="46" s="1"/>
  <c r="AF1" i="46" s="1"/>
  <c r="AG1" i="46" s="1"/>
  <c r="AH1" i="46" s="1"/>
  <c r="AI1" i="46" s="1"/>
  <c r="AJ1" i="46" s="1"/>
  <c r="AK1" i="46" s="1"/>
  <c r="AL1" i="46" s="1"/>
  <c r="L1" i="50"/>
  <c r="M1" i="50" s="1"/>
  <c r="N1" i="50" s="1"/>
  <c r="O1" i="50" s="1"/>
  <c r="P1" i="50" s="1"/>
  <c r="Q1" i="50" s="1"/>
  <c r="R1" i="50" s="1"/>
  <c r="S1" i="50" s="1"/>
  <c r="T1" i="50" s="1"/>
  <c r="U1" i="50" s="1"/>
  <c r="V1" i="50" s="1"/>
  <c r="W1" i="50" s="1"/>
  <c r="X1" i="50" s="1"/>
  <c r="Y1" i="50" s="1"/>
  <c r="Z1" i="50" s="1"/>
  <c r="AA1" i="50" s="1"/>
  <c r="AB1" i="50" s="1"/>
  <c r="AC1" i="50" s="1"/>
  <c r="AD1" i="50" s="1"/>
  <c r="AE1" i="50" s="1"/>
  <c r="AF1" i="50" s="1"/>
  <c r="AG1" i="50" s="1"/>
  <c r="AH1" i="50" s="1"/>
  <c r="AI1" i="50" s="1"/>
  <c r="AJ1" i="50" s="1"/>
  <c r="AK1" i="50" s="1"/>
  <c r="AL1" i="50" s="1"/>
  <c r="Z16" i="50" l="1"/>
  <c r="AD16" i="50" s="1"/>
  <c r="AH16" i="50" s="1"/>
  <c r="AL16" i="50" s="1"/>
  <c r="X16" i="50"/>
  <c r="AB16" i="50" s="1"/>
  <c r="AF16" i="50" s="1"/>
  <c r="AJ16" i="50" s="1"/>
  <c r="Y12" i="50"/>
  <c r="W12" i="50"/>
  <c r="Y16" i="50"/>
  <c r="AC16" i="50" s="1"/>
  <c r="AG16" i="50" s="1"/>
  <c r="AK16" i="50" s="1"/>
  <c r="W16" i="50"/>
  <c r="AA16" i="50" s="1"/>
  <c r="AE16" i="50" s="1"/>
  <c r="AI16" i="50" s="1"/>
  <c r="Z12" i="50"/>
  <c r="X12" i="50"/>
  <c r="C26" i="159"/>
  <c r="L26" i="159"/>
  <c r="I10" i="159"/>
  <c r="I9" i="47" s="1"/>
  <c r="L30" i="159" l="1"/>
  <c r="L27" i="159"/>
  <c r="L29" i="159" s="1"/>
  <c r="AC33" i="46"/>
  <c r="AB15" i="50"/>
  <c r="AB25" i="65" s="1"/>
  <c r="AB12" i="50"/>
  <c r="AA12" i="50"/>
  <c r="AD12" i="50"/>
  <c r="AC12" i="50"/>
  <c r="H10" i="159"/>
  <c r="M26" i="159"/>
  <c r="M30" i="159" l="1"/>
  <c r="M27" i="159"/>
  <c r="M29" i="159" s="1"/>
  <c r="AB33" i="46"/>
  <c r="H9" i="47"/>
  <c r="H11" i="159"/>
  <c r="AB33" i="65" s="1"/>
  <c r="AB40" i="65" s="1"/>
  <c r="AG12" i="50"/>
  <c r="AE12" i="50"/>
  <c r="AI12" i="50" s="1"/>
  <c r="AH12" i="50"/>
  <c r="AL12" i="50" s="1"/>
  <c r="AF12" i="50"/>
  <c r="AJ12" i="50" s="1"/>
  <c r="AB11" i="50"/>
  <c r="AB10" i="65" s="1"/>
  <c r="AK12" i="50"/>
  <c r="N26" i="159"/>
  <c r="N30" i="159" l="1"/>
  <c r="N27" i="159"/>
  <c r="N29" i="159" s="1"/>
  <c r="D26" i="159"/>
  <c r="D30" i="159" s="1"/>
  <c r="P26" i="159" l="1"/>
  <c r="P30" i="159" l="1"/>
  <c r="P27" i="159"/>
  <c r="P29" i="159" s="1"/>
  <c r="Q26" i="159"/>
  <c r="Q30" i="159" l="1"/>
  <c r="Q27" i="159"/>
  <c r="Q29" i="159" s="1"/>
  <c r="R26" i="159"/>
  <c r="E26" i="159"/>
  <c r="E30" i="159" s="1"/>
  <c r="R30" i="159" l="1"/>
  <c r="R27" i="159"/>
  <c r="R29" i="159" s="1"/>
  <c r="AE27" i="46"/>
  <c r="G12" i="46"/>
  <c r="Y44" i="65"/>
  <c r="W44" i="65"/>
  <c r="U44" i="65"/>
  <c r="S44" i="65"/>
  <c r="Q44" i="65"/>
  <c r="O44" i="65"/>
  <c r="M44" i="65"/>
  <c r="AB41" i="65"/>
  <c r="AA41" i="65"/>
  <c r="Z41" i="65"/>
  <c r="F41" i="65" s="1"/>
  <c r="Y41" i="65"/>
  <c r="X41" i="65"/>
  <c r="W41" i="65"/>
  <c r="V41" i="65"/>
  <c r="E41" i="65" s="1"/>
  <c r="U41" i="65"/>
  <c r="T41" i="65"/>
  <c r="S41" i="65"/>
  <c r="R41" i="65"/>
  <c r="D41" i="65" s="1"/>
  <c r="Q41" i="65"/>
  <c r="P41" i="65"/>
  <c r="O41" i="65"/>
  <c r="N41" i="65"/>
  <c r="C41" i="65" s="1"/>
  <c r="M41" i="65"/>
  <c r="L41" i="65"/>
  <c r="K41" i="65"/>
  <c r="Z47" i="65"/>
  <c r="Y47" i="65"/>
  <c r="X47" i="65"/>
  <c r="W47" i="65"/>
  <c r="V47" i="65"/>
  <c r="U47" i="65"/>
  <c r="T47" i="65"/>
  <c r="S47" i="65"/>
  <c r="R47" i="65"/>
  <c r="Q47" i="65"/>
  <c r="P47" i="65"/>
  <c r="O47" i="65"/>
  <c r="N47" i="65"/>
  <c r="M47" i="65"/>
  <c r="L47" i="65"/>
  <c r="K47" i="65"/>
  <c r="G26" i="65" l="1"/>
  <c r="I24" i="65"/>
  <c r="H24" i="65"/>
  <c r="G15" i="65"/>
  <c r="L44" i="65"/>
  <c r="N44" i="65"/>
  <c r="P44" i="65"/>
  <c r="R44" i="65"/>
  <c r="T44" i="65"/>
  <c r="V44" i="65"/>
  <c r="X44" i="65"/>
  <c r="Z44" i="65"/>
  <c r="AI27" i="46"/>
  <c r="H12" i="46"/>
  <c r="I12" i="46"/>
  <c r="V7" i="50"/>
  <c r="U7" i="50"/>
  <c r="T7" i="50"/>
  <c r="S7" i="50"/>
  <c r="R7" i="50"/>
  <c r="Q7" i="50"/>
  <c r="P7" i="50"/>
  <c r="O7" i="50"/>
  <c r="N7" i="50"/>
  <c r="M7" i="50"/>
  <c r="L7" i="50"/>
  <c r="K7" i="50"/>
  <c r="I26" i="65" l="1"/>
  <c r="H26" i="65"/>
  <c r="AG27" i="46"/>
  <c r="AF27" i="46"/>
  <c r="I15" i="65"/>
  <c r="H15" i="65"/>
  <c r="AH27" i="46"/>
  <c r="V15" i="50"/>
  <c r="U15" i="50"/>
  <c r="T15" i="50"/>
  <c r="S15" i="50"/>
  <c r="R15" i="50"/>
  <c r="Q15" i="50"/>
  <c r="P15" i="50"/>
  <c r="O15" i="50"/>
  <c r="N15" i="50"/>
  <c r="M15" i="50"/>
  <c r="L15" i="50"/>
  <c r="K15" i="50"/>
  <c r="V11" i="50"/>
  <c r="U11" i="50"/>
  <c r="T11" i="50"/>
  <c r="S11" i="50"/>
  <c r="R11" i="50"/>
  <c r="Q11" i="50"/>
  <c r="P11" i="50"/>
  <c r="O11" i="50"/>
  <c r="N11" i="50"/>
  <c r="M11" i="50"/>
  <c r="L11" i="50"/>
  <c r="K11" i="50"/>
  <c r="V22" i="50"/>
  <c r="U22" i="50"/>
  <c r="T22" i="50"/>
  <c r="S22" i="50"/>
  <c r="R22" i="50"/>
  <c r="Q22" i="50"/>
  <c r="P22" i="50"/>
  <c r="O22" i="50"/>
  <c r="N22" i="50"/>
  <c r="M22" i="50"/>
  <c r="L22" i="50"/>
  <c r="K22" i="50"/>
  <c r="H27" i="46" l="1"/>
  <c r="K12" i="50"/>
  <c r="M12" i="50"/>
  <c r="O12" i="50"/>
  <c r="O13" i="50" s="1"/>
  <c r="Q12" i="50"/>
  <c r="Q13" i="50" s="1"/>
  <c r="S12" i="50"/>
  <c r="U12" i="50"/>
  <c r="K16" i="50"/>
  <c r="M16" i="50"/>
  <c r="O16" i="50"/>
  <c r="O17" i="50" s="1"/>
  <c r="Q16" i="50"/>
  <c r="Q17" i="50" s="1"/>
  <c r="S16" i="50"/>
  <c r="U16" i="50"/>
  <c r="L12" i="50"/>
  <c r="N12" i="50"/>
  <c r="P12" i="50"/>
  <c r="P13" i="50" s="1"/>
  <c r="R12" i="50"/>
  <c r="R13" i="50" s="1"/>
  <c r="T12" i="50"/>
  <c r="V12" i="50"/>
  <c r="L16" i="50"/>
  <c r="N16" i="50"/>
  <c r="P16" i="50"/>
  <c r="P17" i="50" s="1"/>
  <c r="R16" i="50"/>
  <c r="R17" i="50" s="1"/>
  <c r="T16" i="50"/>
  <c r="V16" i="50"/>
  <c r="AJ27" i="46"/>
  <c r="E43" i="46"/>
  <c r="C43" i="46"/>
  <c r="C44" i="46" s="1"/>
  <c r="D15" i="166"/>
  <c r="C15" i="166"/>
  <c r="F15" i="50"/>
  <c r="E15" i="50"/>
  <c r="D15" i="50"/>
  <c r="F11" i="50"/>
  <c r="E11" i="50"/>
  <c r="D11" i="50"/>
  <c r="F7" i="50"/>
  <c r="E7" i="50"/>
  <c r="D7" i="50"/>
  <c r="E34" i="166"/>
  <c r="D34" i="166"/>
  <c r="C34" i="166"/>
  <c r="F43" i="46"/>
  <c r="D43" i="46"/>
  <c r="V17" i="50" l="1"/>
  <c r="Z17" i="50"/>
  <c r="V13" i="50"/>
  <c r="Z13" i="50"/>
  <c r="U17" i="50"/>
  <c r="Y17" i="50"/>
  <c r="U13" i="50"/>
  <c r="Y13" i="50"/>
  <c r="T17" i="50"/>
  <c r="X17" i="50"/>
  <c r="T13" i="50"/>
  <c r="X13" i="50"/>
  <c r="S17" i="50"/>
  <c r="W17" i="50"/>
  <c r="S13" i="50"/>
  <c r="W13" i="50"/>
  <c r="E15" i="166"/>
  <c r="E8" i="166"/>
  <c r="D20" i="166"/>
  <c r="D22" i="166" s="1"/>
  <c r="C20" i="166"/>
  <c r="C22" i="166" s="1"/>
  <c r="E20" i="166"/>
  <c r="E22" i="166" s="1"/>
  <c r="AK27" i="46"/>
  <c r="E21" i="166" l="1"/>
  <c r="E23" i="166" s="1"/>
  <c r="E24" i="166"/>
  <c r="C21" i="166"/>
  <c r="C23" i="166" s="1"/>
  <c r="D24" i="166"/>
  <c r="D21" i="166"/>
  <c r="D23" i="166" s="1"/>
  <c r="AL27" i="46"/>
  <c r="I27" i="46" s="1"/>
  <c r="C27" i="159"/>
  <c r="C29" i="159" s="1"/>
  <c r="J10" i="159" l="1"/>
  <c r="J9" i="47" s="1"/>
  <c r="C10" i="159" l="1"/>
  <c r="AD33" i="46"/>
  <c r="C9" i="47"/>
  <c r="K10" i="159"/>
  <c r="K9" i="47" s="1"/>
  <c r="G33" i="46" l="1"/>
  <c r="AE33" i="46"/>
  <c r="L10" i="159"/>
  <c r="L9" i="47" s="1"/>
  <c r="AF33" i="46" l="1"/>
  <c r="M10" i="159"/>
  <c r="M9" i="47" s="1"/>
  <c r="D27" i="159"/>
  <c r="D29" i="159" s="1"/>
  <c r="AG33" i="46" l="1"/>
  <c r="N10" i="159"/>
  <c r="AJ6" i="65"/>
  <c r="AK6" i="65" s="1"/>
  <c r="AL6" i="65" s="1"/>
  <c r="AF6" i="65"/>
  <c r="AG6" i="65" s="1"/>
  <c r="AH6" i="65" s="1"/>
  <c r="AB6" i="65"/>
  <c r="AC6" i="65" s="1"/>
  <c r="AD6" i="65" s="1"/>
  <c r="X6" i="65"/>
  <c r="Y6" i="65" s="1"/>
  <c r="Z6" i="65" s="1"/>
  <c r="T6" i="65"/>
  <c r="U6" i="65" s="1"/>
  <c r="V6" i="65" s="1"/>
  <c r="P6" i="65"/>
  <c r="Q6" i="65" s="1"/>
  <c r="R6" i="65" s="1"/>
  <c r="L6" i="65"/>
  <c r="O5" i="65"/>
  <c r="S5" i="65" s="1"/>
  <c r="W5" i="65" s="1"/>
  <c r="AA5" i="65" s="1"/>
  <c r="AE5" i="65" s="1"/>
  <c r="AI5" i="65" s="1"/>
  <c r="AH33" i="46" l="1"/>
  <c r="N9" i="47"/>
  <c r="H33" i="46"/>
  <c r="M6" i="65"/>
  <c r="N6" i="65" s="1"/>
  <c r="E43" i="65"/>
  <c r="C43" i="65"/>
  <c r="F43" i="65"/>
  <c r="D10" i="159"/>
  <c r="O10" i="159"/>
  <c r="O9" i="47" s="1"/>
  <c r="C47" i="65"/>
  <c r="E47" i="65"/>
  <c r="F47" i="65"/>
  <c r="AI33" i="46" l="1"/>
  <c r="F44" i="65"/>
  <c r="E39" i="166"/>
  <c r="D39" i="166"/>
  <c r="D9" i="47"/>
  <c r="P10" i="159"/>
  <c r="P9" i="47" s="1"/>
  <c r="AJ33" i="46" l="1"/>
  <c r="E27" i="159"/>
  <c r="E29" i="159" s="1"/>
  <c r="Q10" i="159"/>
  <c r="Q9" i="47" s="1"/>
  <c r="R10" i="159"/>
  <c r="R9" i="47" s="1"/>
  <c r="D6" i="65"/>
  <c r="E6" i="65" s="1"/>
  <c r="F6" i="65" s="1"/>
  <c r="G6" i="65" s="1"/>
  <c r="H6" i="65" s="1"/>
  <c r="I6" i="65" s="1"/>
  <c r="E10" i="159" l="1"/>
  <c r="E9" i="47" s="1"/>
  <c r="AL33" i="46"/>
  <c r="AK33" i="46"/>
  <c r="I33" i="46" s="1"/>
  <c r="F32" i="166" l="1"/>
  <c r="E32" i="166"/>
  <c r="D32" i="166"/>
  <c r="C32" i="166"/>
  <c r="AA21" i="50"/>
  <c r="Z21" i="50"/>
  <c r="Y21" i="50"/>
  <c r="X21" i="50"/>
  <c r="W21" i="50"/>
  <c r="X8" i="50" l="1"/>
  <c r="Z8" i="50"/>
  <c r="W8" i="50"/>
  <c r="Y8" i="50"/>
  <c r="D22" i="50"/>
  <c r="F22" i="50"/>
  <c r="L21" i="50"/>
  <c r="N21" i="50"/>
  <c r="P21" i="50"/>
  <c r="R21" i="50"/>
  <c r="T21" i="50"/>
  <c r="V21" i="50"/>
  <c r="C22" i="50"/>
  <c r="E22" i="50"/>
  <c r="K21" i="50"/>
  <c r="M21" i="50"/>
  <c r="O21" i="50"/>
  <c r="Q21" i="50"/>
  <c r="S21" i="50"/>
  <c r="U21" i="50"/>
  <c r="Y19" i="50" l="1"/>
  <c r="AC8" i="50"/>
  <c r="Z19" i="50"/>
  <c r="AD8" i="50"/>
  <c r="W19" i="50"/>
  <c r="AA8" i="50"/>
  <c r="X19" i="50"/>
  <c r="AB8" i="50"/>
  <c r="C16" i="50"/>
  <c r="C12" i="50"/>
  <c r="D16" i="50"/>
  <c r="D17" i="50" s="1"/>
  <c r="D12" i="50"/>
  <c r="D13" i="50" s="1"/>
  <c r="E16" i="50"/>
  <c r="E17" i="50" s="1"/>
  <c r="E12" i="50"/>
  <c r="E13" i="50" s="1"/>
  <c r="F16" i="50"/>
  <c r="F17" i="50" s="1"/>
  <c r="F12" i="50"/>
  <c r="F13" i="50" s="1"/>
  <c r="F29" i="94"/>
  <c r="E29" i="94"/>
  <c r="D29" i="94"/>
  <c r="L8" i="155"/>
  <c r="K8" i="155"/>
  <c r="J8" i="155"/>
  <c r="G17" i="52"/>
  <c r="D17" i="52"/>
  <c r="F17" i="52"/>
  <c r="G8" i="94"/>
  <c r="G21" i="50"/>
  <c r="F8" i="94"/>
  <c r="C30" i="174" s="1"/>
  <c r="F21" i="50"/>
  <c r="E8" i="94"/>
  <c r="E21" i="50"/>
  <c r="D21" i="50"/>
  <c r="V8" i="50"/>
  <c r="T8" i="50"/>
  <c r="X9" i="50" s="1"/>
  <c r="R8" i="50"/>
  <c r="P8" i="50"/>
  <c r="N8" i="50"/>
  <c r="N19" i="50" s="1"/>
  <c r="L8" i="50"/>
  <c r="L19" i="50" s="1"/>
  <c r="U8" i="50"/>
  <c r="S8" i="50"/>
  <c r="W9" i="50" s="1"/>
  <c r="Q8" i="50"/>
  <c r="O8" i="50"/>
  <c r="M8" i="50"/>
  <c r="M19" i="50" s="1"/>
  <c r="K8" i="50"/>
  <c r="K19" i="50" s="1"/>
  <c r="Q19" i="50" l="1"/>
  <c r="Q9" i="50"/>
  <c r="U19" i="50"/>
  <c r="U9" i="50"/>
  <c r="R19" i="50"/>
  <c r="R9" i="50"/>
  <c r="V19" i="50"/>
  <c r="V9" i="50"/>
  <c r="Z9" i="50"/>
  <c r="Y9" i="50"/>
  <c r="O19" i="50"/>
  <c r="O9" i="50"/>
  <c r="S19" i="50"/>
  <c r="S9" i="50"/>
  <c r="P19" i="50"/>
  <c r="P9" i="50"/>
  <c r="T19" i="50"/>
  <c r="T9" i="50"/>
  <c r="AF8" i="50"/>
  <c r="AA7" i="50"/>
  <c r="AA9" i="65" s="1"/>
  <c r="AE8" i="50"/>
  <c r="AH8" i="50"/>
  <c r="AD19" i="50"/>
  <c r="AG8" i="50"/>
  <c r="AC19" i="50"/>
  <c r="D8" i="50"/>
  <c r="E8" i="50"/>
  <c r="F8" i="50"/>
  <c r="E19" i="50"/>
  <c r="L1" i="94"/>
  <c r="M1" i="94" s="1"/>
  <c r="N1" i="94" s="1"/>
  <c r="O1" i="94" s="1"/>
  <c r="P1" i="94" s="1"/>
  <c r="Q1" i="94" s="1"/>
  <c r="R1" i="94" s="1"/>
  <c r="S1" i="94" s="1"/>
  <c r="T1" i="94" s="1"/>
  <c r="U1" i="94" s="1"/>
  <c r="V1" i="94" s="1"/>
  <c r="W1" i="94" s="1"/>
  <c r="X1" i="94" s="1"/>
  <c r="Y1" i="94" s="1"/>
  <c r="Z1" i="94" s="1"/>
  <c r="AA1" i="94" s="1"/>
  <c r="AB1" i="94" s="1"/>
  <c r="AC1" i="94" s="1"/>
  <c r="AD1" i="94" s="1"/>
  <c r="AE1" i="94" s="1"/>
  <c r="AF1" i="94" s="1"/>
  <c r="AG1" i="94" s="1"/>
  <c r="AH1" i="94" s="1"/>
  <c r="AI1" i="94" s="1"/>
  <c r="AJ1" i="94" s="1"/>
  <c r="AK1" i="94" s="1"/>
  <c r="AL1" i="94" s="1"/>
  <c r="AA13" i="46" l="1"/>
  <c r="F19" i="50"/>
  <c r="F9" i="50"/>
  <c r="D19" i="50"/>
  <c r="AK8" i="50"/>
  <c r="AG19" i="50"/>
  <c r="AI8" i="50"/>
  <c r="AE19" i="50"/>
  <c r="E9" i="50"/>
  <c r="AL8" i="50"/>
  <c r="AH19" i="50"/>
  <c r="AJ8" i="50"/>
  <c r="AF19" i="50"/>
  <c r="AL19" i="50" l="1"/>
  <c r="AI19" i="50"/>
  <c r="AJ19" i="50"/>
  <c r="AK19" i="50"/>
  <c r="G8" i="46"/>
  <c r="D6" i="50" l="1"/>
  <c r="E6" i="50" s="1"/>
  <c r="F6" i="50" s="1"/>
  <c r="G6" i="50" s="1"/>
  <c r="H6" i="50" s="1"/>
  <c r="I6" i="50" s="1"/>
  <c r="D6" i="47"/>
  <c r="E6" i="47" l="1"/>
  <c r="D6" i="94"/>
  <c r="E6" i="94" l="1"/>
  <c r="F6" i="94" l="1"/>
  <c r="G6" i="94" l="1"/>
  <c r="H6" i="94" l="1"/>
  <c r="I6" i="94" l="1"/>
  <c r="D47" i="65" l="1"/>
  <c r="C39" i="166"/>
  <c r="D43" i="65"/>
  <c r="D44" i="65" l="1"/>
  <c r="E44" i="65"/>
  <c r="I8" i="155" l="1"/>
  <c r="C21" i="50"/>
  <c r="D8" i="94"/>
  <c r="C29" i="94" l="1"/>
  <c r="K10" i="155"/>
  <c r="K11" i="155"/>
  <c r="L10" i="155"/>
  <c r="L11" i="155"/>
  <c r="J11" i="155"/>
  <c r="D31" i="166"/>
  <c r="D33" i="166" s="1"/>
  <c r="D40" i="166" s="1"/>
  <c r="F31" i="166"/>
  <c r="F33" i="166" s="1"/>
  <c r="E31" i="166"/>
  <c r="E33" i="166" s="1"/>
  <c r="E40" i="166" s="1"/>
  <c r="C8" i="50"/>
  <c r="D8" i="166"/>
  <c r="C19" i="50" l="1"/>
  <c r="D9" i="50"/>
  <c r="L18" i="155"/>
  <c r="L13" i="155"/>
  <c r="D27" i="166"/>
  <c r="D28" i="166"/>
  <c r="E27" i="166"/>
  <c r="E28" i="166"/>
  <c r="F42" i="46"/>
  <c r="K13" i="155"/>
  <c r="H11" i="155"/>
  <c r="F44" i="46" l="1"/>
  <c r="K14" i="155" s="1"/>
  <c r="I10" i="155"/>
  <c r="I11" i="155"/>
  <c r="J10" i="155"/>
  <c r="C31" i="166"/>
  <c r="C33" i="166" s="1"/>
  <c r="C40" i="166" s="1"/>
  <c r="E42" i="46"/>
  <c r="C8" i="166"/>
  <c r="AB21" i="50"/>
  <c r="AB7" i="50" s="1"/>
  <c r="AB9" i="65" s="1"/>
  <c r="K15" i="155" l="1"/>
  <c r="K17" i="155"/>
  <c r="E44" i="46"/>
  <c r="J14" i="155" s="1"/>
  <c r="AB13" i="46"/>
  <c r="C24" i="166"/>
  <c r="C27" i="166"/>
  <c r="C28" i="166"/>
  <c r="AB19" i="50"/>
  <c r="I13" i="155" l="1"/>
  <c r="J13" i="155"/>
  <c r="D42" i="46"/>
  <c r="H14" i="155"/>
  <c r="D44" i="46" l="1"/>
  <c r="I14" i="155" s="1"/>
  <c r="I7" i="159"/>
  <c r="I11" i="159" s="1"/>
  <c r="AC33" i="65" s="1"/>
  <c r="AC21" i="50" l="1"/>
  <c r="AC22" i="50"/>
  <c r="AC15" i="50" s="1"/>
  <c r="AC25" i="65" s="1"/>
  <c r="AC15" i="46" s="1"/>
  <c r="AC11" i="50" l="1"/>
  <c r="AC10" i="65" s="1"/>
  <c r="AC7" i="50"/>
  <c r="AC9" i="65" s="1"/>
  <c r="AC13" i="46" l="1"/>
  <c r="AC14" i="46"/>
  <c r="I22" i="50"/>
  <c r="AE21" i="50"/>
  <c r="AE7" i="50" s="1"/>
  <c r="AF21" i="50"/>
  <c r="AF7" i="50" s="1"/>
  <c r="AG21" i="50"/>
  <c r="AG7" i="50" s="1"/>
  <c r="AI21" i="50"/>
  <c r="AI7" i="50" s="1"/>
  <c r="AK21" i="50"/>
  <c r="AK7" i="50" s="1"/>
  <c r="H22" i="50"/>
  <c r="AD22" i="50"/>
  <c r="AE22" i="50"/>
  <c r="AE15" i="50" s="1"/>
  <c r="AE25" i="65" s="1"/>
  <c r="AF22" i="50"/>
  <c r="AF15" i="50" s="1"/>
  <c r="AF25" i="65" s="1"/>
  <c r="AG22" i="50"/>
  <c r="AG15" i="50" s="1"/>
  <c r="AG25" i="65" s="1"/>
  <c r="AH22" i="50"/>
  <c r="AI22" i="50"/>
  <c r="AI15" i="50" s="1"/>
  <c r="AI25" i="65" s="1"/>
  <c r="AJ22" i="50"/>
  <c r="AJ15" i="50" s="1"/>
  <c r="AJ25" i="65" s="1"/>
  <c r="AK22" i="50"/>
  <c r="AK15" i="50" s="1"/>
  <c r="AK25" i="65" s="1"/>
  <c r="AL22" i="50"/>
  <c r="AK15" i="46" l="1"/>
  <c r="AG15" i="46"/>
  <c r="AJ15" i="46"/>
  <c r="AF15" i="46"/>
  <c r="AC17" i="46"/>
  <c r="AC21" i="46" s="1"/>
  <c r="AL11" i="50"/>
  <c r="I11" i="50" s="1"/>
  <c r="I12" i="50" s="1"/>
  <c r="AL15" i="50"/>
  <c r="AH11" i="50"/>
  <c r="H11" i="50" s="1"/>
  <c r="H12" i="50" s="1"/>
  <c r="AH15" i="50"/>
  <c r="AD11" i="50"/>
  <c r="G11" i="50" s="1"/>
  <c r="AD15" i="50"/>
  <c r="AJ11" i="50"/>
  <c r="AJ10" i="65" s="1"/>
  <c r="AF11" i="50"/>
  <c r="AF10" i="65" s="1"/>
  <c r="AK11" i="50"/>
  <c r="AK10" i="65" s="1"/>
  <c r="AI11" i="50"/>
  <c r="AI10" i="65" s="1"/>
  <c r="AG11" i="50"/>
  <c r="AG10" i="65" s="1"/>
  <c r="AE11" i="50"/>
  <c r="AE10" i="65" s="1"/>
  <c r="I9" i="46"/>
  <c r="I34" i="94" s="1"/>
  <c r="H9" i="46"/>
  <c r="H34" i="94" s="1"/>
  <c r="G9" i="46"/>
  <c r="G34" i="94" s="1"/>
  <c r="AL21" i="50"/>
  <c r="AJ21" i="50"/>
  <c r="AH21" i="50"/>
  <c r="AD21" i="50"/>
  <c r="M8" i="155"/>
  <c r="N8" i="155"/>
  <c r="I12" i="65"/>
  <c r="I30" i="65"/>
  <c r="H11" i="65"/>
  <c r="H29" i="65"/>
  <c r="G12" i="65"/>
  <c r="G30" i="65"/>
  <c r="AF9" i="65"/>
  <c r="I8" i="94"/>
  <c r="AK9" i="65"/>
  <c r="AI9" i="65"/>
  <c r="AG9" i="65"/>
  <c r="AE9" i="65"/>
  <c r="AD10" i="65" l="1"/>
  <c r="G10" i="65" s="1"/>
  <c r="AH10" i="65"/>
  <c r="AH14" i="46" s="1"/>
  <c r="AL10" i="65"/>
  <c r="I10" i="65" s="1"/>
  <c r="AL14" i="46"/>
  <c r="AF14" i="46"/>
  <c r="AJ14" i="46"/>
  <c r="AG13" i="46"/>
  <c r="AF13" i="46"/>
  <c r="H10" i="65"/>
  <c r="AI14" i="46"/>
  <c r="AG14" i="46"/>
  <c r="AK14" i="46"/>
  <c r="AD25" i="65"/>
  <c r="G15" i="50"/>
  <c r="AH25" i="65"/>
  <c r="H15" i="50"/>
  <c r="H16" i="50" s="1"/>
  <c r="AL25" i="65"/>
  <c r="AL15" i="46" s="1"/>
  <c r="I15" i="50"/>
  <c r="I16" i="50" s="1"/>
  <c r="I17" i="50" s="1"/>
  <c r="H12" i="65"/>
  <c r="AH7" i="50"/>
  <c r="H7" i="50" s="1"/>
  <c r="I11" i="65"/>
  <c r="AL7" i="50"/>
  <c r="I7" i="50" s="1"/>
  <c r="G11" i="65"/>
  <c r="AD7" i="50"/>
  <c r="G7" i="50" s="1"/>
  <c r="AJ7" i="50"/>
  <c r="AJ9" i="65" s="1"/>
  <c r="AK13" i="46" s="1"/>
  <c r="I13" i="50"/>
  <c r="H30" i="65"/>
  <c r="I29" i="65"/>
  <c r="H8" i="94"/>
  <c r="H21" i="50"/>
  <c r="I21" i="50"/>
  <c r="AH9" i="65" l="1"/>
  <c r="AD14" i="46"/>
  <c r="AE14" i="46"/>
  <c r="AK17" i="46"/>
  <c r="AK21" i="46" s="1"/>
  <c r="AL9" i="65"/>
  <c r="I9" i="65" s="1"/>
  <c r="AF17" i="46"/>
  <c r="AF21" i="46" s="1"/>
  <c r="I14" i="46"/>
  <c r="AJ13" i="46"/>
  <c r="AJ17" i="46" s="1"/>
  <c r="AJ21" i="46" s="1"/>
  <c r="AG17" i="46"/>
  <c r="AG21" i="46" s="1"/>
  <c r="H9" i="65"/>
  <c r="AI13" i="46"/>
  <c r="AH15" i="46"/>
  <c r="AI15" i="46"/>
  <c r="I15" i="46" s="1"/>
  <c r="AD15" i="46"/>
  <c r="AE15" i="46"/>
  <c r="H14" i="46"/>
  <c r="AL13" i="46"/>
  <c r="AL17" i="46" s="1"/>
  <c r="AL21" i="46" s="1"/>
  <c r="AH13" i="46"/>
  <c r="AH17" i="46" s="1"/>
  <c r="AH21" i="46" s="1"/>
  <c r="AD9" i="65"/>
  <c r="I25" i="65"/>
  <c r="G25" i="65"/>
  <c r="G29" i="65"/>
  <c r="H25" i="65"/>
  <c r="I8" i="50"/>
  <c r="I29" i="94"/>
  <c r="H8" i="50"/>
  <c r="H19" i="50" s="1"/>
  <c r="G10" i="46"/>
  <c r="G11" i="46"/>
  <c r="H29" i="94"/>
  <c r="H15" i="46" l="1"/>
  <c r="G9" i="65"/>
  <c r="G8" i="50" s="1"/>
  <c r="G9" i="50" s="1"/>
  <c r="AE13" i="46"/>
  <c r="AD13" i="46"/>
  <c r="I13" i="46"/>
  <c r="AI17" i="46"/>
  <c r="I19" i="50"/>
  <c r="I9" i="50"/>
  <c r="I10" i="46"/>
  <c r="I11" i="46"/>
  <c r="H10" i="46"/>
  <c r="H11" i="46"/>
  <c r="N11" i="155"/>
  <c r="H31" i="166"/>
  <c r="I31" i="166"/>
  <c r="I17" i="46" l="1"/>
  <c r="AI21" i="46"/>
  <c r="AD17" i="46"/>
  <c r="AD21" i="46" s="1"/>
  <c r="G13" i="46"/>
  <c r="AE17" i="46"/>
  <c r="H13" i="46"/>
  <c r="H9" i="50"/>
  <c r="M11" i="155"/>
  <c r="M10" i="155"/>
  <c r="N10" i="155"/>
  <c r="G31" i="166"/>
  <c r="P20" i="171" l="1"/>
  <c r="P22" i="171" s="1"/>
  <c r="F12" i="174"/>
  <c r="H17" i="46"/>
  <c r="AE21" i="46"/>
  <c r="E11" i="155"/>
  <c r="E13" i="155"/>
  <c r="E14" i="155"/>
  <c r="O20" i="171" l="1"/>
  <c r="O22" i="171" s="1"/>
  <c r="E12" i="174"/>
  <c r="L16" i="155"/>
  <c r="K16" i="155"/>
  <c r="M16" i="155"/>
  <c r="N16" i="155"/>
  <c r="I32" i="166"/>
  <c r="I33" i="166" s="1"/>
  <c r="AF42" i="46" l="1"/>
  <c r="AF44" i="46" s="1"/>
  <c r="AG42" i="46"/>
  <c r="AG44" i="46" s="1"/>
  <c r="AH42" i="46"/>
  <c r="AH44" i="46" s="1"/>
  <c r="AJ42" i="46"/>
  <c r="AJ44" i="46" s="1"/>
  <c r="AK42" i="46"/>
  <c r="AK44" i="46" s="1"/>
  <c r="AL42" i="46"/>
  <c r="AL44" i="46" s="1"/>
  <c r="G32" i="166"/>
  <c r="H32" i="166"/>
  <c r="H33" i="166" s="1"/>
  <c r="G33" i="166"/>
  <c r="AD42" i="46" l="1"/>
  <c r="AD44" i="46" s="1"/>
  <c r="AC42" i="46"/>
  <c r="AC44" i="46" s="1"/>
  <c r="I8" i="46"/>
  <c r="O7" i="47"/>
  <c r="H8" i="46"/>
  <c r="K7" i="47"/>
  <c r="N18" i="155"/>
  <c r="Q7" i="47"/>
  <c r="M7" i="47"/>
  <c r="I7" i="47"/>
  <c r="R7" i="47"/>
  <c r="P7" i="47"/>
  <c r="N7" i="47"/>
  <c r="L7" i="47"/>
  <c r="J7" i="47"/>
  <c r="H21" i="46" l="1"/>
  <c r="O10" i="171" s="1"/>
  <c r="O13" i="171" s="1"/>
  <c r="M14" i="155" s="1"/>
  <c r="AE42" i="46"/>
  <c r="AE44" i="46" s="1"/>
  <c r="I21" i="46"/>
  <c r="AI42" i="46"/>
  <c r="AI44" i="46" s="1"/>
  <c r="J7" i="159"/>
  <c r="J11" i="159" s="1"/>
  <c r="AD33" i="65" s="1"/>
  <c r="M13" i="155"/>
  <c r="M18" i="155"/>
  <c r="N13" i="155"/>
  <c r="I42" i="46" l="1"/>
  <c r="I44" i="46" s="1"/>
  <c r="P10" i="171"/>
  <c r="P13" i="171" s="1"/>
  <c r="N14" i="155" s="1"/>
  <c r="H42" i="46"/>
  <c r="E7" i="47"/>
  <c r="G33" i="65"/>
  <c r="K7" i="159"/>
  <c r="K11" i="159" s="1"/>
  <c r="AE33" i="65" s="1"/>
  <c r="N17" i="155" l="1"/>
  <c r="N15" i="155"/>
  <c r="H44" i="46"/>
  <c r="G7" i="166"/>
  <c r="D7" i="159"/>
  <c r="C11" i="159"/>
  <c r="L7" i="159"/>
  <c r="L11" i="159" s="1"/>
  <c r="AF33" i="65" s="1"/>
  <c r="M15" i="155" l="1"/>
  <c r="M17" i="155"/>
  <c r="F15" i="166"/>
  <c r="F8" i="166"/>
  <c r="AC38" i="65"/>
  <c r="AC42" i="65" s="1"/>
  <c r="M7" i="159"/>
  <c r="M11" i="159" s="1"/>
  <c r="AG33" i="65" s="1"/>
  <c r="AC40" i="65" l="1"/>
  <c r="AC41" i="65" s="1"/>
  <c r="N7" i="159"/>
  <c r="N11" i="159" s="1"/>
  <c r="AH33" i="65" s="1"/>
  <c r="H33" i="65" l="1"/>
  <c r="O7" i="159"/>
  <c r="O11" i="159" s="1"/>
  <c r="AI33" i="65" s="1"/>
  <c r="H7" i="166" l="1"/>
  <c r="E7" i="159"/>
  <c r="D11" i="159"/>
  <c r="P7" i="159"/>
  <c r="P11" i="159" s="1"/>
  <c r="AJ33" i="65" s="1"/>
  <c r="G8" i="166" l="1"/>
  <c r="G15" i="166"/>
  <c r="Q7" i="159"/>
  <c r="Q11" i="159" s="1"/>
  <c r="AK33" i="65" s="1"/>
  <c r="G28" i="65" l="1"/>
  <c r="AD38" i="65"/>
  <c r="AD42" i="65" s="1"/>
  <c r="R7" i="159"/>
  <c r="R11" i="159" l="1"/>
  <c r="AL33" i="65" s="1"/>
  <c r="I33" i="65" s="1"/>
  <c r="I7" i="166" s="1"/>
  <c r="E11" i="159"/>
  <c r="AD40" i="65"/>
  <c r="G40" i="65" s="1"/>
  <c r="G38" i="65"/>
  <c r="I8" i="166" l="1"/>
  <c r="I15" i="166"/>
  <c r="G17" i="166"/>
  <c r="G42" i="65"/>
  <c r="H8" i="166"/>
  <c r="H15" i="166"/>
  <c r="AD41" i="65"/>
  <c r="G41" i="65" s="1"/>
  <c r="F34" i="166" l="1"/>
  <c r="F20" i="166"/>
  <c r="F22" i="166" s="1"/>
  <c r="AE38" i="65" l="1"/>
  <c r="AE42" i="65" s="1"/>
  <c r="F21" i="166"/>
  <c r="F23" i="166" s="1"/>
  <c r="F27" i="166"/>
  <c r="AE40" i="65" l="1"/>
  <c r="AE41" i="65" s="1"/>
  <c r="F24" i="166"/>
  <c r="F28" i="166"/>
  <c r="AF38" i="65" l="1"/>
  <c r="AF42" i="65" s="1"/>
  <c r="AF40" i="65" l="1"/>
  <c r="AF41" i="65" s="1"/>
  <c r="AG38" i="65" l="1"/>
  <c r="AG42" i="65" s="1"/>
  <c r="AG40" i="65" l="1"/>
  <c r="AG41" i="65" s="1"/>
  <c r="H28" i="65" l="1"/>
  <c r="AH38" i="65"/>
  <c r="AH42" i="65" s="1"/>
  <c r="H38" i="65" l="1"/>
  <c r="AH40" i="65"/>
  <c r="H40" i="65" s="1"/>
  <c r="H42" i="65" l="1"/>
  <c r="H17" i="166"/>
  <c r="AH41" i="65"/>
  <c r="H41" i="65" s="1"/>
  <c r="AI38" i="65" l="1"/>
  <c r="AI42" i="65" s="1"/>
  <c r="AI40" i="65" l="1"/>
  <c r="AI41" i="65" s="1"/>
  <c r="AJ38" i="65" l="1"/>
  <c r="AJ42" i="65" s="1"/>
  <c r="AJ40" i="65" l="1"/>
  <c r="AJ41" i="65" s="1"/>
  <c r="AK38" i="65" l="1"/>
  <c r="AK42" i="65" s="1"/>
  <c r="AK40" i="65" l="1"/>
  <c r="AK41" i="65" s="1"/>
  <c r="I28" i="65" l="1"/>
  <c r="AL38" i="65"/>
  <c r="AL42" i="65" s="1"/>
  <c r="AL40" i="65" l="1"/>
  <c r="I40" i="65" s="1"/>
  <c r="I38" i="65"/>
  <c r="I17" i="166" l="1"/>
  <c r="I42" i="65"/>
  <c r="AL41" i="65"/>
  <c r="I41" i="65" s="1"/>
  <c r="G9" i="94" l="1"/>
  <c r="AA10" i="94"/>
  <c r="AA22" i="50"/>
  <c r="AA11" i="50" l="1"/>
  <c r="AA10" i="65" s="1"/>
  <c r="AA15" i="50"/>
  <c r="AA25" i="65" s="1"/>
  <c r="G10" i="94"/>
  <c r="G29" i="94" s="1"/>
  <c r="AA11" i="94"/>
  <c r="AA31" i="94" s="1"/>
  <c r="G22" i="50"/>
  <c r="G16" i="50" s="1"/>
  <c r="AA19" i="50"/>
  <c r="AA14" i="46" l="1"/>
  <c r="AB14" i="46"/>
  <c r="AA15" i="46"/>
  <c r="AB15" i="46"/>
  <c r="G11" i="94"/>
  <c r="G12" i="50"/>
  <c r="G15" i="46" l="1"/>
  <c r="G14" i="46"/>
  <c r="AA17" i="46"/>
  <c r="AB17" i="46"/>
  <c r="AB21" i="46" s="1"/>
  <c r="G17" i="50"/>
  <c r="H17" i="50"/>
  <c r="G13" i="50"/>
  <c r="H13" i="50"/>
  <c r="G31" i="94"/>
  <c r="G19" i="50"/>
  <c r="AA14" i="65"/>
  <c r="AB14" i="65"/>
  <c r="AC14" i="65"/>
  <c r="AD14" i="65"/>
  <c r="G14" i="65" s="1"/>
  <c r="AE14" i="65"/>
  <c r="AF14" i="65"/>
  <c r="AG14" i="65"/>
  <c r="AH14" i="65"/>
  <c r="H14" i="65" s="1"/>
  <c r="AI14" i="65"/>
  <c r="AJ14" i="65"/>
  <c r="AK14" i="65"/>
  <c r="AL14" i="65"/>
  <c r="I14" i="65" s="1"/>
  <c r="G16" i="65"/>
  <c r="G35" i="166" s="1"/>
  <c r="H16" i="65"/>
  <c r="H35" i="166" s="1"/>
  <c r="I16" i="65"/>
  <c r="I35" i="166" s="1"/>
  <c r="G17" i="46" l="1"/>
  <c r="AA21" i="46"/>
  <c r="G21" i="46" s="1"/>
  <c r="N10" i="171" s="1"/>
  <c r="N13" i="171" s="1"/>
  <c r="H7" i="47"/>
  <c r="AB42" i="46"/>
  <c r="AB44" i="46" s="1"/>
  <c r="F39" i="166"/>
  <c r="F40" i="166" s="1"/>
  <c r="C37" i="171" l="1"/>
  <c r="L14" i="155"/>
  <c r="N20" i="171"/>
  <c r="N22" i="171" s="1"/>
  <c r="D12" i="174"/>
  <c r="D13" i="174" s="1"/>
  <c r="C36" i="171"/>
  <c r="C38" i="171"/>
  <c r="G7" i="47"/>
  <c r="G12" i="47" s="1"/>
  <c r="AA42" i="46"/>
  <c r="AA44" i="46" s="1"/>
  <c r="C39" i="171" l="1"/>
  <c r="C35" i="171"/>
  <c r="D7" i="47"/>
  <c r="G42" i="46"/>
  <c r="G13" i="47"/>
  <c r="G18" i="47" s="1"/>
  <c r="G17" i="47"/>
  <c r="C34" i="171" l="1"/>
  <c r="C40" i="171"/>
  <c r="G44" i="46"/>
  <c r="AA29" i="46"/>
  <c r="G19" i="47"/>
  <c r="C41" i="171" l="1"/>
  <c r="C33" i="171"/>
  <c r="L17" i="155"/>
  <c r="L15" i="155"/>
  <c r="AA23" i="65"/>
  <c r="AA27" i="65" s="1"/>
  <c r="G21" i="47"/>
  <c r="H16" i="47"/>
  <c r="AA35" i="46"/>
  <c r="AA38" i="46" l="1"/>
  <c r="AA40" i="46" s="1"/>
  <c r="AA8" i="65" l="1"/>
  <c r="AB39" i="46"/>
  <c r="H10" i="47" s="1"/>
  <c r="H12" i="47" s="1"/>
  <c r="AA46" i="46"/>
  <c r="H13" i="47" l="1"/>
  <c r="H18" i="47" s="1"/>
  <c r="H17" i="47"/>
  <c r="AA39" i="65"/>
  <c r="AA13" i="65"/>
  <c r="AA43" i="65" l="1"/>
  <c r="AA21" i="65"/>
  <c r="AA31" i="65" s="1"/>
  <c r="AA32" i="65" s="1"/>
  <c r="AA35" i="65" s="1"/>
  <c r="AA47" i="65" s="1"/>
  <c r="AB29" i="46"/>
  <c r="H19" i="47"/>
  <c r="H21" i="47" l="1"/>
  <c r="I16" i="47"/>
  <c r="AB23" i="65"/>
  <c r="AB27" i="65" s="1"/>
  <c r="AB35" i="46"/>
  <c r="AA44" i="65"/>
  <c r="AB38" i="46" l="1"/>
  <c r="AB40" i="46" s="1"/>
  <c r="AB8" i="65" l="1"/>
  <c r="AB46" i="46" s="1"/>
  <c r="AC39" i="46"/>
  <c r="I10" i="47" s="1"/>
  <c r="I12" i="47" s="1"/>
  <c r="I13" i="47" l="1"/>
  <c r="I18" i="47" s="1"/>
  <c r="I17" i="47"/>
  <c r="AB39" i="65"/>
  <c r="AB13" i="65"/>
  <c r="AB43" i="65" l="1"/>
  <c r="AB44" i="65" s="1"/>
  <c r="AB21" i="65"/>
  <c r="AC29" i="46"/>
  <c r="I19" i="47"/>
  <c r="AC23" i="65" l="1"/>
  <c r="AC27" i="65" s="1"/>
  <c r="J16" i="47"/>
  <c r="I21" i="47"/>
  <c r="AB31" i="65"/>
  <c r="AB32" i="65" s="1"/>
  <c r="AB35" i="65" s="1"/>
  <c r="AB47" i="65" s="1"/>
  <c r="AC35" i="46"/>
  <c r="AC38" i="46" l="1"/>
  <c r="AC40" i="46" s="1"/>
  <c r="AC8" i="65" l="1"/>
  <c r="AC46" i="46" s="1"/>
  <c r="AD39" i="46"/>
  <c r="J10" i="47" s="1"/>
  <c r="J12" i="47" s="1"/>
  <c r="J13" i="47" l="1"/>
  <c r="J18" i="47" s="1"/>
  <c r="J17" i="47"/>
  <c r="AC13" i="65"/>
  <c r="AC39" i="65"/>
  <c r="AC43" i="65" l="1"/>
  <c r="AC44" i="65" s="1"/>
  <c r="AC21" i="65"/>
  <c r="AC31" i="65" s="1"/>
  <c r="AC32" i="65" s="1"/>
  <c r="AC35" i="65" s="1"/>
  <c r="AC47" i="65" s="1"/>
  <c r="AD29" i="46"/>
  <c r="J19" i="47"/>
  <c r="AD23" i="65" l="1"/>
  <c r="K16" i="47"/>
  <c r="J21" i="47"/>
  <c r="AD35" i="46"/>
  <c r="G29" i="46"/>
  <c r="AD38" i="46" l="1"/>
  <c r="AD40" i="46" s="1"/>
  <c r="G35" i="46"/>
  <c r="G38" i="46" s="1"/>
  <c r="G40" i="46" s="1"/>
  <c r="D16" i="47"/>
  <c r="G23" i="65"/>
  <c r="G27" i="65" s="1"/>
  <c r="AD27" i="65"/>
  <c r="H39" i="46" l="1"/>
  <c r="AD8" i="65"/>
  <c r="AE39" i="46"/>
  <c r="K10" i="47" s="1"/>
  <c r="K12" i="47" s="1"/>
  <c r="AD46" i="46"/>
  <c r="K13" i="47" l="1"/>
  <c r="K18" i="47" s="1"/>
  <c r="K17" i="47"/>
  <c r="AD13" i="65"/>
  <c r="AD39" i="65"/>
  <c r="G39" i="65" s="1"/>
  <c r="H16" i="171" s="1"/>
  <c r="G8" i="65"/>
  <c r="J24" i="171" l="1"/>
  <c r="F24" i="171"/>
  <c r="G24" i="171"/>
  <c r="H24" i="171"/>
  <c r="D24" i="171"/>
  <c r="I24" i="171"/>
  <c r="E24" i="171"/>
  <c r="I23" i="171"/>
  <c r="J23" i="171"/>
  <c r="E23" i="171"/>
  <c r="H23" i="171"/>
  <c r="I25" i="171"/>
  <c r="E25" i="171"/>
  <c r="J25" i="171"/>
  <c r="D25" i="171"/>
  <c r="F23" i="171"/>
  <c r="D23" i="171"/>
  <c r="G23" i="171"/>
  <c r="H25" i="171"/>
  <c r="F25" i="171"/>
  <c r="G25" i="171"/>
  <c r="I26" i="171"/>
  <c r="H26" i="171"/>
  <c r="G26" i="171"/>
  <c r="F26" i="171"/>
  <c r="I22" i="171"/>
  <c r="H22" i="171"/>
  <c r="E22" i="171"/>
  <c r="J22" i="171"/>
  <c r="E26" i="171"/>
  <c r="D26" i="171"/>
  <c r="J26" i="171"/>
  <c r="D22" i="171"/>
  <c r="F22" i="171"/>
  <c r="G22" i="171"/>
  <c r="I21" i="171"/>
  <c r="J21" i="171"/>
  <c r="G21" i="171"/>
  <c r="H21" i="171"/>
  <c r="G27" i="171"/>
  <c r="J27" i="171"/>
  <c r="I27" i="171"/>
  <c r="E21" i="171"/>
  <c r="F21" i="171"/>
  <c r="D21" i="171"/>
  <c r="D27" i="171"/>
  <c r="F27" i="171"/>
  <c r="E27" i="171"/>
  <c r="H27" i="171"/>
  <c r="I20" i="171"/>
  <c r="H20" i="171"/>
  <c r="G20" i="171"/>
  <c r="F20" i="171"/>
  <c r="E28" i="171"/>
  <c r="D28" i="171"/>
  <c r="J28" i="171"/>
  <c r="F28" i="171"/>
  <c r="E20" i="171"/>
  <c r="D20" i="171"/>
  <c r="J20" i="171"/>
  <c r="I28" i="171"/>
  <c r="H28" i="171"/>
  <c r="G28" i="171"/>
  <c r="I37" i="171"/>
  <c r="H37" i="171"/>
  <c r="G37" i="171"/>
  <c r="F37" i="171"/>
  <c r="E37" i="171"/>
  <c r="D37" i="171"/>
  <c r="J37" i="171"/>
  <c r="J38" i="171"/>
  <c r="H38" i="171"/>
  <c r="I38" i="171"/>
  <c r="G36" i="171"/>
  <c r="E36" i="171"/>
  <c r="D36" i="171"/>
  <c r="F38" i="171"/>
  <c r="G38" i="171"/>
  <c r="D38" i="171"/>
  <c r="E38" i="171"/>
  <c r="J36" i="171"/>
  <c r="F36" i="171"/>
  <c r="I36" i="171"/>
  <c r="H36" i="171"/>
  <c r="E35" i="171"/>
  <c r="D35" i="171"/>
  <c r="G35" i="171"/>
  <c r="H39" i="171"/>
  <c r="I39" i="171"/>
  <c r="J39" i="171"/>
  <c r="J35" i="171"/>
  <c r="I35" i="171"/>
  <c r="H35" i="171"/>
  <c r="F35" i="171"/>
  <c r="D39" i="171"/>
  <c r="E39" i="171"/>
  <c r="F39" i="171"/>
  <c r="G39" i="171"/>
  <c r="H40" i="171"/>
  <c r="I40" i="171"/>
  <c r="J40" i="171"/>
  <c r="F34" i="171"/>
  <c r="E34" i="171"/>
  <c r="D34" i="171"/>
  <c r="D40" i="171"/>
  <c r="E40" i="171"/>
  <c r="F40" i="171"/>
  <c r="G40" i="171"/>
  <c r="G34" i="171"/>
  <c r="J34" i="171"/>
  <c r="I34" i="171"/>
  <c r="H34" i="171"/>
  <c r="E33" i="171"/>
  <c r="D33" i="171"/>
  <c r="J33" i="171"/>
  <c r="F33" i="171"/>
  <c r="F41" i="171"/>
  <c r="E41" i="171"/>
  <c r="H41" i="171"/>
  <c r="I33" i="171"/>
  <c r="H33" i="171"/>
  <c r="G33" i="171"/>
  <c r="J41" i="171"/>
  <c r="I41" i="171"/>
  <c r="G41" i="171"/>
  <c r="D41" i="171"/>
  <c r="G16" i="166"/>
  <c r="G18" i="166" s="1"/>
  <c r="G13" i="65"/>
  <c r="G46" i="46"/>
  <c r="AE29" i="46"/>
  <c r="K19" i="47"/>
  <c r="AD43" i="65"/>
  <c r="AD44" i="65" s="1"/>
  <c r="AD21" i="65"/>
  <c r="AD31" i="65" s="1"/>
  <c r="G31" i="65" l="1"/>
  <c r="G32" i="65" s="1"/>
  <c r="G35" i="65" s="1"/>
  <c r="AD32" i="65"/>
  <c r="AD35" i="65" s="1"/>
  <c r="AD47" i="65" s="1"/>
  <c r="AE23" i="65"/>
  <c r="AE27" i="65" s="1"/>
  <c r="L16" i="47"/>
  <c r="K21" i="47"/>
  <c r="AE35" i="46"/>
  <c r="G21" i="65"/>
  <c r="G36" i="166"/>
  <c r="G38" i="166"/>
  <c r="G43" i="65"/>
  <c r="G44" i="65" s="1"/>
  <c r="G20" i="166"/>
  <c r="G22" i="166" s="1"/>
  <c r="G34" i="166"/>
  <c r="G47" i="65" l="1"/>
  <c r="G49" i="65"/>
  <c r="G52" i="65" s="1"/>
  <c r="G39" i="166"/>
  <c r="G40" i="166" s="1"/>
  <c r="G21" i="166"/>
  <c r="G23" i="166" s="1"/>
  <c r="G27" i="166"/>
  <c r="AE38" i="46"/>
  <c r="AE40" i="46" s="1"/>
  <c r="AE8" i="65" l="1"/>
  <c r="AE46" i="46" s="1"/>
  <c r="AF39" i="46"/>
  <c r="L10" i="47" s="1"/>
  <c r="L12" i="47" s="1"/>
  <c r="G28" i="166"/>
  <c r="G24" i="166"/>
  <c r="L13" i="47" l="1"/>
  <c r="L18" i="47" s="1"/>
  <c r="L17" i="47"/>
  <c r="AE13" i="65"/>
  <c r="AE39" i="65"/>
  <c r="AF29" i="46" l="1"/>
  <c r="L19" i="47"/>
  <c r="AE43" i="65"/>
  <c r="AE44" i="65" s="1"/>
  <c r="AE21" i="65"/>
  <c r="AE31" i="65" s="1"/>
  <c r="AE32" i="65" s="1"/>
  <c r="AE35" i="65" s="1"/>
  <c r="AE47" i="65" s="1"/>
  <c r="AF23" i="65" l="1"/>
  <c r="AF27" i="65" s="1"/>
  <c r="L21" i="47"/>
  <c r="M16" i="47"/>
  <c r="AF35" i="46"/>
  <c r="AF38" i="46" l="1"/>
  <c r="AF40" i="46" s="1"/>
  <c r="AG39" i="46" l="1"/>
  <c r="M10" i="47" s="1"/>
  <c r="M12" i="47" s="1"/>
  <c r="AF8" i="65"/>
  <c r="AF46" i="46" l="1"/>
  <c r="AF13" i="65"/>
  <c r="AF39" i="65"/>
  <c r="M13" i="47"/>
  <c r="M18" i="47" s="1"/>
  <c r="M17" i="47"/>
  <c r="AF43" i="65" l="1"/>
  <c r="AF44" i="65" s="1"/>
  <c r="AF21" i="65"/>
  <c r="AG29" i="46"/>
  <c r="M19" i="47"/>
  <c r="AG23" i="65" l="1"/>
  <c r="AG27" i="65" s="1"/>
  <c r="M21" i="47"/>
  <c r="N16" i="47"/>
  <c r="AF31" i="65"/>
  <c r="AF32" i="65" s="1"/>
  <c r="AF35" i="65" s="1"/>
  <c r="AF47" i="65" s="1"/>
  <c r="AG35" i="46"/>
  <c r="AG38" i="46" l="1"/>
  <c r="AG40" i="46" s="1"/>
  <c r="AG8" i="65" l="1"/>
  <c r="AG46" i="46" s="1"/>
  <c r="AH39" i="46"/>
  <c r="N10" i="47" s="1"/>
  <c r="N12" i="47" s="1"/>
  <c r="N13" i="47" l="1"/>
  <c r="N18" i="47" s="1"/>
  <c r="D18" i="47" s="1"/>
  <c r="N17" i="47"/>
  <c r="AG39" i="65"/>
  <c r="AG13" i="65"/>
  <c r="AG43" i="65" l="1"/>
  <c r="AG44" i="65" s="1"/>
  <c r="AG21" i="65"/>
  <c r="AG31" i="65" s="1"/>
  <c r="AG32" i="65" s="1"/>
  <c r="AG35" i="65" s="1"/>
  <c r="AG47" i="65" s="1"/>
  <c r="AH29" i="46"/>
  <c r="D17" i="47"/>
  <c r="N19" i="47"/>
  <c r="AH23" i="65" l="1"/>
  <c r="O16" i="47"/>
  <c r="N21" i="47"/>
  <c r="D21" i="47" s="1"/>
  <c r="D19" i="47"/>
  <c r="AH35" i="46"/>
  <c r="H29" i="46"/>
  <c r="E16" i="47" l="1"/>
  <c r="AH38" i="46"/>
  <c r="AH40" i="46" s="1"/>
  <c r="H35" i="46"/>
  <c r="H38" i="46" s="1"/>
  <c r="H40" i="46" s="1"/>
  <c r="H23" i="65"/>
  <c r="H27" i="65" s="1"/>
  <c r="AH27" i="65"/>
  <c r="I39" i="46" l="1"/>
  <c r="AH8" i="65"/>
  <c r="AI39" i="46"/>
  <c r="O10" i="47" s="1"/>
  <c r="O12" i="47" s="1"/>
  <c r="O13" i="47" l="1"/>
  <c r="O18" i="47" s="1"/>
  <c r="O17" i="47"/>
  <c r="AH46" i="46"/>
  <c r="H8" i="65"/>
  <c r="AH13" i="65"/>
  <c r="AH39" i="65"/>
  <c r="H39" i="65" s="1"/>
  <c r="AH43" i="65" l="1"/>
  <c r="AH44" i="65" s="1"/>
  <c r="AH21" i="65"/>
  <c r="AH31" i="65" s="1"/>
  <c r="H16" i="166"/>
  <c r="H18" i="166" s="1"/>
  <c r="H13" i="65"/>
  <c r="H46" i="46"/>
  <c r="AI29" i="46"/>
  <c r="O19" i="47"/>
  <c r="AI23" i="65" l="1"/>
  <c r="AI27" i="65" s="1"/>
  <c r="P16" i="47"/>
  <c r="O21" i="47"/>
  <c r="H21" i="65"/>
  <c r="H49" i="65" s="1"/>
  <c r="H52" i="65" s="1"/>
  <c r="H38" i="166"/>
  <c r="H43" i="65"/>
  <c r="H44" i="65" s="1"/>
  <c r="H36" i="166"/>
  <c r="H31" i="65"/>
  <c r="H32" i="65" s="1"/>
  <c r="H35" i="65" s="1"/>
  <c r="H47" i="65" s="1"/>
  <c r="AH32" i="65"/>
  <c r="AH35" i="65" s="1"/>
  <c r="AH47" i="65" s="1"/>
  <c r="AI35" i="46"/>
  <c r="H20" i="166"/>
  <c r="H22" i="166" s="1"/>
  <c r="H34" i="166"/>
  <c r="H27" i="166" l="1"/>
  <c r="H21" i="166"/>
  <c r="H23" i="166" s="1"/>
  <c r="AI38" i="46"/>
  <c r="AI40" i="46" s="1"/>
  <c r="H39" i="166"/>
  <c r="H40" i="166" s="1"/>
  <c r="AJ39" i="46" l="1"/>
  <c r="P10" i="47" s="1"/>
  <c r="P12" i="47" s="1"/>
  <c r="AI8" i="65"/>
  <c r="H24" i="166"/>
  <c r="H28" i="166"/>
  <c r="P13" i="47" l="1"/>
  <c r="P18" i="47" s="1"/>
  <c r="P17" i="47"/>
  <c r="AI39" i="65"/>
  <c r="AI13" i="65"/>
  <c r="AI46" i="46"/>
  <c r="AI43" i="65" l="1"/>
  <c r="AI44" i="65" s="1"/>
  <c r="AI21" i="65"/>
  <c r="AI31" i="65" s="1"/>
  <c r="AI32" i="65" s="1"/>
  <c r="AI35" i="65" s="1"/>
  <c r="AI47" i="65" s="1"/>
  <c r="AJ29" i="46"/>
  <c r="P19" i="47"/>
  <c r="AJ23" i="65" l="1"/>
  <c r="AJ27" i="65" s="1"/>
  <c r="Q16" i="47"/>
  <c r="P21" i="47"/>
  <c r="AJ35" i="46"/>
  <c r="AJ38" i="46" l="1"/>
  <c r="AJ40" i="46" s="1"/>
  <c r="AJ8" i="65" l="1"/>
  <c r="AJ46" i="46" s="1"/>
  <c r="AK39" i="46"/>
  <c r="Q10" i="47" s="1"/>
  <c r="Q12" i="47" s="1"/>
  <c r="Q13" i="47" l="1"/>
  <c r="Q18" i="47" s="1"/>
  <c r="Q17" i="47"/>
  <c r="AJ39" i="65"/>
  <c r="AJ13" i="65"/>
  <c r="AJ43" i="65" l="1"/>
  <c r="AJ44" i="65" s="1"/>
  <c r="AJ21" i="65"/>
  <c r="AK29" i="46"/>
  <c r="Q19" i="47"/>
  <c r="AK23" i="65" l="1"/>
  <c r="AK27" i="65" s="1"/>
  <c r="Q21" i="47"/>
  <c r="R16" i="47"/>
  <c r="AJ31" i="65"/>
  <c r="AJ32" i="65" s="1"/>
  <c r="AJ35" i="65" s="1"/>
  <c r="AJ47" i="65" s="1"/>
  <c r="AK35" i="46"/>
  <c r="AK38" i="46" l="1"/>
  <c r="AK40" i="46" s="1"/>
  <c r="AL39" i="46" l="1"/>
  <c r="R10" i="47" s="1"/>
  <c r="R12" i="47" s="1"/>
  <c r="AK8" i="65"/>
  <c r="AK46" i="46" s="1"/>
  <c r="AK39" i="65" l="1"/>
  <c r="AK13" i="65"/>
  <c r="R13" i="47"/>
  <c r="R18" i="47" s="1"/>
  <c r="E18" i="47" s="1"/>
  <c r="R17" i="47"/>
  <c r="AL29" i="46" l="1"/>
  <c r="E17" i="47"/>
  <c r="R19" i="47"/>
  <c r="AK43" i="65"/>
  <c r="AK44" i="65" s="1"/>
  <c r="AK21" i="65"/>
  <c r="AK31" i="65" s="1"/>
  <c r="AK32" i="65" s="1"/>
  <c r="AK35" i="65" s="1"/>
  <c r="AK47" i="65" s="1"/>
  <c r="AL23" i="65" l="1"/>
  <c r="R21" i="47"/>
  <c r="E21" i="47" s="1"/>
  <c r="E19" i="47"/>
  <c r="AL35" i="46"/>
  <c r="I29" i="46"/>
  <c r="AL38" i="46" l="1"/>
  <c r="AL40" i="46" s="1"/>
  <c r="I35" i="46"/>
  <c r="I38" i="46" s="1"/>
  <c r="I40" i="46" s="1"/>
  <c r="I23" i="65"/>
  <c r="I27" i="65" s="1"/>
  <c r="AL27" i="65"/>
  <c r="AL8" i="65" l="1"/>
  <c r="AL13" i="65" l="1"/>
  <c r="AL39" i="65"/>
  <c r="I39" i="65" s="1"/>
  <c r="C25" i="174" s="1"/>
  <c r="I8" i="65"/>
  <c r="AL46" i="46"/>
  <c r="I16" i="166" l="1"/>
  <c r="I18" i="166" s="1"/>
  <c r="I13" i="65"/>
  <c r="I46" i="46"/>
  <c r="AL43" i="65"/>
  <c r="AL44" i="65" s="1"/>
  <c r="AL21" i="65"/>
  <c r="AL31" i="65" s="1"/>
  <c r="I31" i="65" l="1"/>
  <c r="I32" i="65" s="1"/>
  <c r="I35" i="65" s="1"/>
  <c r="AL32" i="65"/>
  <c r="AL35" i="65" s="1"/>
  <c r="AL47" i="65" s="1"/>
  <c r="I21" i="65"/>
  <c r="I38" i="166"/>
  <c r="I36" i="166"/>
  <c r="I43" i="65"/>
  <c r="I44" i="65" s="1"/>
  <c r="I34" i="166"/>
  <c r="I20" i="166"/>
  <c r="I22" i="166" s="1"/>
  <c r="I47" i="65" l="1"/>
  <c r="I49" i="65"/>
  <c r="I52" i="65" s="1"/>
  <c r="I39" i="166"/>
  <c r="I40" i="166" s="1"/>
  <c r="I21" i="166"/>
  <c r="I23" i="166" s="1"/>
  <c r="I27" i="166"/>
  <c r="I28" i="166" l="1"/>
  <c r="I24" i="166"/>
  <c r="D18" i="174"/>
  <c r="E10" i="174"/>
  <c r="F10" i="174"/>
  <c r="E13" i="174"/>
  <c r="F13" i="174"/>
  <c r="E18" i="174"/>
  <c r="F18" i="174"/>
  <c r="C22" i="174"/>
  <c r="C24" i="174"/>
  <c r="C27" i="174"/>
  <c r="E32" i="174"/>
  <c r="F32" i="174"/>
</calcChain>
</file>

<file path=xl/sharedStrings.xml><?xml version="1.0" encoding="utf-8"?>
<sst xmlns="http://schemas.openxmlformats.org/spreadsheetml/2006/main" count="521" uniqueCount="345">
  <si>
    <t>Net Income</t>
  </si>
  <si>
    <t>Other</t>
  </si>
  <si>
    <t>Total Current Liabilities</t>
  </si>
  <si>
    <t>Accounts Payable</t>
  </si>
  <si>
    <t>Total Assets</t>
  </si>
  <si>
    <t>Total Current Assets</t>
  </si>
  <si>
    <t>Accounts Receivable</t>
  </si>
  <si>
    <t>Balance Sheet</t>
  </si>
  <si>
    <t>$000, Except Where Noted</t>
  </si>
  <si>
    <t>Gross Profit</t>
  </si>
  <si>
    <t>EBITDA</t>
  </si>
  <si>
    <t>Annual Summary</t>
  </si>
  <si>
    <t>Cash</t>
  </si>
  <si>
    <t>Inventory</t>
  </si>
  <si>
    <t>Total Debt</t>
  </si>
  <si>
    <t>Total Liabilities</t>
  </si>
  <si>
    <t>Working Capital Build</t>
  </si>
  <si>
    <t>Ending balance</t>
  </si>
  <si>
    <t>Taxes</t>
  </si>
  <si>
    <t>Cash Flow Statement</t>
  </si>
  <si>
    <t>Deferred Income Taxes</t>
  </si>
  <si>
    <t>Working Capital</t>
  </si>
  <si>
    <t>Debt Schedule</t>
  </si>
  <si>
    <t>Beginning Cash Balance</t>
  </si>
  <si>
    <t>Net Debt</t>
  </si>
  <si>
    <t>Total Capitalization</t>
  </si>
  <si>
    <t>Inventories</t>
  </si>
  <si>
    <t>Net Sales</t>
  </si>
  <si>
    <t>Inventory Days</t>
  </si>
  <si>
    <t>Consolidated Income Statement</t>
  </si>
  <si>
    <t>$000's, Except Where Noted</t>
  </si>
  <si>
    <t>Receivable Days</t>
  </si>
  <si>
    <t>Days Payable</t>
  </si>
  <si>
    <t>Pre-Tax Income</t>
  </si>
  <si>
    <t>Assets</t>
  </si>
  <si>
    <t>Liabilities</t>
  </si>
  <si>
    <t>Shares Outstanding</t>
  </si>
  <si>
    <t>Trading Data</t>
  </si>
  <si>
    <t>Diluted Shares Outstanding</t>
  </si>
  <si>
    <t>Other Assets</t>
  </si>
  <si>
    <t>Stockholders' Equity</t>
  </si>
  <si>
    <t>Total Liabilities &amp; Stockholders' Equity</t>
  </si>
  <si>
    <t>Total Debt/Total Capitalization</t>
  </si>
  <si>
    <t>Changes in Working Capital</t>
  </si>
  <si>
    <t>EBITDA/Interest Expense</t>
  </si>
  <si>
    <t>Ending Cash Balance</t>
  </si>
  <si>
    <t>Less: Capex</t>
  </si>
  <si>
    <t>Free Cash Flow</t>
  </si>
  <si>
    <t>Cost of Goods Sold</t>
  </si>
  <si>
    <t>Margins</t>
  </si>
  <si>
    <t>Drivers</t>
  </si>
  <si>
    <t>Depreciation &amp; Amortization</t>
  </si>
  <si>
    <t>D&amp;A (% of sales)</t>
  </si>
  <si>
    <t>Revenues</t>
  </si>
  <si>
    <t>Cash Conversion Cycle (days)</t>
  </si>
  <si>
    <t>n.a</t>
  </si>
  <si>
    <t>Gross Margin</t>
  </si>
  <si>
    <t>Operating Margin</t>
  </si>
  <si>
    <t>Net PP&amp;E</t>
  </si>
  <si>
    <t>Dividends Paid</t>
  </si>
  <si>
    <t>Dividends paid</t>
  </si>
  <si>
    <t>Dividend per share</t>
  </si>
  <si>
    <t>Total cash dividends paid</t>
  </si>
  <si>
    <t>Dividend Payout Ratio</t>
  </si>
  <si>
    <t>Shareholder's Equity</t>
  </si>
  <si>
    <t>Cash flow available for financing activities</t>
  </si>
  <si>
    <t>Proceeds from / (Repurchase of) equity</t>
  </si>
  <si>
    <t>Dividends</t>
  </si>
  <si>
    <t>Plus: beginning cash balance</t>
  </si>
  <si>
    <t>Less: minimum cash balance</t>
  </si>
  <si>
    <t>Cash available for revolver</t>
  </si>
  <si>
    <t>Beginning balance</t>
  </si>
  <si>
    <t>Bank Revolver Commitment</t>
  </si>
  <si>
    <t>Undrawn Revolver Balance</t>
  </si>
  <si>
    <t>(+) Revolver draw-down</t>
  </si>
  <si>
    <t>(-) Revolver pay-down</t>
  </si>
  <si>
    <t>Optional revolver pay-down</t>
  </si>
  <si>
    <t>Cash Flow From Operations</t>
  </si>
  <si>
    <t>Cash Flow From Investing</t>
  </si>
  <si>
    <t>Cash Flow From Financing</t>
  </si>
  <si>
    <t>Operating Activities</t>
  </si>
  <si>
    <t>Investing Activities</t>
  </si>
  <si>
    <t>Financing Activities</t>
  </si>
  <si>
    <t>Operating Income</t>
  </si>
  <si>
    <t>Cash Flow from Operations</t>
  </si>
  <si>
    <t>Beginning Equity Balance</t>
  </si>
  <si>
    <t>Issuance / (Repurchase of) equity</t>
  </si>
  <si>
    <t>Ending Equity Balance</t>
  </si>
  <si>
    <t>Dividend Assumptions</t>
  </si>
  <si>
    <t>Credit Facility</t>
  </si>
  <si>
    <t>Company Name</t>
  </si>
  <si>
    <t>Share Price</t>
  </si>
  <si>
    <t>Annual Returns Analysis</t>
  </si>
  <si>
    <t>Less: Income Tax</t>
  </si>
  <si>
    <t>NOPAT:</t>
  </si>
  <si>
    <t>ROIC:</t>
  </si>
  <si>
    <t>Cash &amp; Equivalents</t>
  </si>
  <si>
    <t>Adjusted Net Debt</t>
  </si>
  <si>
    <t>Invested Capital</t>
  </si>
  <si>
    <t>ROIC</t>
  </si>
  <si>
    <t>Net Debt / EBITDA</t>
  </si>
  <si>
    <t>Adjusted Net Debt / EBITDA</t>
  </si>
  <si>
    <t>NOPAT</t>
  </si>
  <si>
    <t>Current Liabilities</t>
  </si>
  <si>
    <t>Capital Employed</t>
  </si>
  <si>
    <t>BNY Mellon Asset Management</t>
  </si>
  <si>
    <t>State Street Global Advisors, Inc.</t>
  </si>
  <si>
    <t>Northern Trust Global Investments</t>
  </si>
  <si>
    <t>The Vanguard Group, Inc.</t>
  </si>
  <si>
    <t>BlackRock, Inc. (NYSE:BLK)</t>
  </si>
  <si>
    <t>Position Date</t>
  </si>
  <si>
    <t>% Change</t>
  </si>
  <si>
    <t>Market Value (mm)</t>
  </si>
  <si>
    <t>Holder</t>
  </si>
  <si>
    <t>Top Holders</t>
  </si>
  <si>
    <t>Amount (mm)</t>
  </si>
  <si>
    <t>Return on Equity</t>
  </si>
  <si>
    <t>Debt Equivalent: Pension Expense</t>
  </si>
  <si>
    <t>% of Shares Out</t>
  </si>
  <si>
    <t>Q/Q Change in Shares</t>
  </si>
  <si>
    <t>EV</t>
  </si>
  <si>
    <t>Average:</t>
  </si>
  <si>
    <t>EV/EBITDA</t>
  </si>
  <si>
    <t>P/E</t>
  </si>
  <si>
    <t>Revenue</t>
  </si>
  <si>
    <t>Margin %</t>
  </si>
  <si>
    <t>Balance Sheet Check</t>
  </si>
  <si>
    <t>Invested Capital (Adjusted Net Debt)</t>
  </si>
  <si>
    <t>Current Assets (Ex-cash)</t>
  </si>
  <si>
    <t>Dividend Growth Rate</t>
  </si>
  <si>
    <t>Segment Analysis</t>
  </si>
  <si>
    <t>Summary Financials</t>
  </si>
  <si>
    <t>Current Price as of:</t>
  </si>
  <si>
    <t>Book Value of Common Equity</t>
  </si>
  <si>
    <t>EV / EBITDA</t>
  </si>
  <si>
    <t>EBITDA / Interest Expense</t>
  </si>
  <si>
    <t>P / E</t>
  </si>
  <si>
    <t>Shares Outstanding (m)</t>
  </si>
  <si>
    <t>Liquidity</t>
  </si>
  <si>
    <t>Total Capital</t>
  </si>
  <si>
    <t>Total Enterprise Value</t>
  </si>
  <si>
    <t>Cash &amp; Short-Term Investments</t>
  </si>
  <si>
    <t>Market Capitalization</t>
  </si>
  <si>
    <t>Growth y/y%</t>
  </si>
  <si>
    <t>FCF Yield%</t>
  </si>
  <si>
    <t>MD&amp;A Expenses</t>
  </si>
  <si>
    <t>Segment Income</t>
  </si>
  <si>
    <t>Goodwill Amortization</t>
  </si>
  <si>
    <t>Corporate Expenses</t>
  </si>
  <si>
    <t>Unrealized Gains/Losses on Hedges</t>
  </si>
  <si>
    <t>Minority Interest</t>
  </si>
  <si>
    <t>Earnings Per Share</t>
  </si>
  <si>
    <t>MD&amp;A (% of sales)</t>
  </si>
  <si>
    <t>EPS</t>
  </si>
  <si>
    <t>Cash and Cash Equivalents</t>
  </si>
  <si>
    <t>Other Current Assets</t>
  </si>
  <si>
    <t>Goodwill</t>
  </si>
  <si>
    <t>Prepaid Pension Assets</t>
  </si>
  <si>
    <t>Other Intangible Assets</t>
  </si>
  <si>
    <t xml:space="preserve">ST Borrowings </t>
  </si>
  <si>
    <t>Current Portion of LT Debt</t>
  </si>
  <si>
    <t>Income Taxes Payable &amp; Other CL</t>
  </si>
  <si>
    <t>LT Debt</t>
  </si>
  <si>
    <t>Accrued Postretirement Healthcare Costs</t>
  </si>
  <si>
    <t>Other Liabilities</t>
  </si>
  <si>
    <t>Noncontrolling Interest</t>
  </si>
  <si>
    <t>Deferred Income Tax</t>
  </si>
  <si>
    <t>Gain on Sale of Business</t>
  </si>
  <si>
    <t>Asset Impairment and Exit Costs</t>
  </si>
  <si>
    <t>Other WC Items</t>
  </si>
  <si>
    <t>Net Change in Working Capital</t>
  </si>
  <si>
    <t>Pension Plan Contribution</t>
  </si>
  <si>
    <t>Stock Option Expense</t>
  </si>
  <si>
    <t>Acquisitions</t>
  </si>
  <si>
    <t>Capex</t>
  </si>
  <si>
    <t>Repurchase of Common Stock</t>
  </si>
  <si>
    <t>Short Term Borrowings</t>
  </si>
  <si>
    <t>Long Term Debt Proceeds</t>
  </si>
  <si>
    <t>Long Term Debt Repaid</t>
  </si>
  <si>
    <t>Sales of Businesses</t>
  </si>
  <si>
    <t>Effects of Exchange Rates</t>
  </si>
  <si>
    <t>Cash Balance Check</t>
  </si>
  <si>
    <t>North America</t>
  </si>
  <si>
    <t>Vol/Mix</t>
  </si>
  <si>
    <t>Organic Growth</t>
  </si>
  <si>
    <t>Currency</t>
  </si>
  <si>
    <t>Acquisitions/Divestitures</t>
  </si>
  <si>
    <t>EBIT Margin %</t>
  </si>
  <si>
    <t>Pricing/Promo</t>
  </si>
  <si>
    <t>North America - Revenue Build</t>
  </si>
  <si>
    <t>Latin America</t>
  </si>
  <si>
    <t>Latin America - Revenue Build</t>
  </si>
  <si>
    <t>Asia-Pacific</t>
  </si>
  <si>
    <t>Asia-Pacific - Revenue Build</t>
  </si>
  <si>
    <t>EEMEA</t>
  </si>
  <si>
    <t>EEMEA - Revenue Build</t>
  </si>
  <si>
    <t>Europe</t>
  </si>
  <si>
    <t>Europe - Revenue Build</t>
  </si>
  <si>
    <t>Change y/y %</t>
  </si>
  <si>
    <t>Tax Rate %</t>
  </si>
  <si>
    <t>Change y/y</t>
  </si>
  <si>
    <t>Gross PP&amp;E</t>
  </si>
  <si>
    <t>Accumulated Depreciation</t>
  </si>
  <si>
    <t>Repurchases ($)</t>
  </si>
  <si>
    <t>Shares Repurchased (#)</t>
  </si>
  <si>
    <t>Repurchase Authorization</t>
  </si>
  <si>
    <t>Treasury Stock</t>
  </si>
  <si>
    <t>Total Shares Issued</t>
  </si>
  <si>
    <t>Average Share Price</t>
  </si>
  <si>
    <t>Share Repurchase Assumptions</t>
  </si>
  <si>
    <t>Potential Dilution from Option Exercise</t>
  </si>
  <si>
    <t>Trian Fund Management, L.P.</t>
  </si>
  <si>
    <t>Wellington Management Company LLP</t>
  </si>
  <si>
    <t>Prudential Investment Management, Inc.</t>
  </si>
  <si>
    <t>Invesco Ltd. (NYSE:IVZ)</t>
  </si>
  <si>
    <t>Capital Research and Management Company</t>
  </si>
  <si>
    <t>Southeastern Asset Management, Inc.</t>
  </si>
  <si>
    <t>Fidelity Investments</t>
  </si>
  <si>
    <t>JPMorgan Asset Management Holdings Inc.</t>
  </si>
  <si>
    <t>Eagle Capital Management, LLC</t>
  </si>
  <si>
    <t>Independent Franchise Partners, LLP</t>
  </si>
  <si>
    <t>Morgan Stanley Investment Management Inc.</t>
  </si>
  <si>
    <t>T. Rowe Price Group, Inc. (NasdaqGS:TROW)</t>
  </si>
  <si>
    <t>Teachers Insurance and Annuity Association College Retirement Equities Fund</t>
  </si>
  <si>
    <t>UBS Global Asset Management</t>
  </si>
  <si>
    <t>Viking Global Investors L.P.</t>
  </si>
  <si>
    <t>Less: Taxes</t>
  </si>
  <si>
    <t>Kellogg Company (NYSE:K)</t>
  </si>
  <si>
    <t>ConAgra Foods, Inc. (NYSE:CAG)</t>
  </si>
  <si>
    <t>General Mills, Inc. (NYSE:GIS)</t>
  </si>
  <si>
    <t>Kraft Foods Group, Inc. (NasdaqGS:KRFT)</t>
  </si>
  <si>
    <t>Tyson Foods, Inc. (NYSE:TSN)</t>
  </si>
  <si>
    <t>Campbell Soup Company (NYSE:CPB)</t>
  </si>
  <si>
    <t>The Hershey Company (NYSE:HSY)</t>
  </si>
  <si>
    <t>The J. M. Smucker Company (NYSE:SJM)</t>
  </si>
  <si>
    <t>Gross</t>
  </si>
  <si>
    <t>LTM</t>
  </si>
  <si>
    <t>NTM</t>
  </si>
  <si>
    <t>Capex (% of sales)</t>
  </si>
  <si>
    <t>Net Change in Cash</t>
  </si>
  <si>
    <t>Total Debt/TTM EBITDA</t>
  </si>
  <si>
    <t>Total Debt / TTM EBITDA</t>
  </si>
  <si>
    <t>(FY End: December)</t>
  </si>
  <si>
    <t>Change y/y%</t>
  </si>
  <si>
    <t>% Growth y/y</t>
  </si>
  <si>
    <t>Mondelez International, Inc. (MDLZ)</t>
  </si>
  <si>
    <t>Adjusted ROIC (NOPAT / Adj. IC)</t>
  </si>
  <si>
    <t>P / FCF</t>
  </si>
  <si>
    <t>Trading Data &amp; Summary Financials</t>
  </si>
  <si>
    <t>Canada</t>
  </si>
  <si>
    <t>US</t>
  </si>
  <si>
    <t>Brazilian Real</t>
  </si>
  <si>
    <t>Europe (from 10-K)</t>
  </si>
  <si>
    <t>North America estimated:</t>
  </si>
  <si>
    <t>Euro</t>
  </si>
  <si>
    <t>Ruble</t>
  </si>
  <si>
    <t>FX Notes from 10-K</t>
  </si>
  <si>
    <t>LatAm</t>
  </si>
  <si>
    <t>Brazil</t>
  </si>
  <si>
    <t>FX Exposures</t>
  </si>
  <si>
    <t>Mexico</t>
  </si>
  <si>
    <t>Argentina</t>
  </si>
  <si>
    <t>VZ</t>
  </si>
  <si>
    <t>Asia-Pac</t>
  </si>
  <si>
    <t>Aus/NZ</t>
  </si>
  <si>
    <t>China</t>
  </si>
  <si>
    <t>Indonesia</t>
  </si>
  <si>
    <t>% of total revenues</t>
  </si>
  <si>
    <t>Russia</t>
  </si>
  <si>
    <t>Ukraine</t>
  </si>
  <si>
    <t>Saudi</t>
  </si>
  <si>
    <t>South Africa</t>
  </si>
  <si>
    <t>Turkey</t>
  </si>
  <si>
    <t>Mondelez Financial Model</t>
  </si>
  <si>
    <t>% of Total Assets</t>
  </si>
  <si>
    <t>Equity</t>
  </si>
  <si>
    <t>Goodwill + Intangible Assets</t>
  </si>
  <si>
    <t>EV/FCF LTM</t>
  </si>
  <si>
    <t>FCF Margin %</t>
  </si>
  <si>
    <t>Add: After-Tax Interest Expense</t>
  </si>
  <si>
    <t>Unlevered Free Cash Flow</t>
  </si>
  <si>
    <t>Net Interest Expense</t>
  </si>
  <si>
    <t>Sensitivity Analysis</t>
  </si>
  <si>
    <t>Earnings per Share</t>
  </si>
  <si>
    <t>Cash From Operations</t>
  </si>
  <si>
    <t>Less: WC</t>
  </si>
  <si>
    <t>2015 Earnings Multiple</t>
  </si>
  <si>
    <t>2015 EPS:</t>
  </si>
  <si>
    <t>2015 EBITDA:</t>
  </si>
  <si>
    <t>2015 EBITDA Multiple</t>
  </si>
  <si>
    <t>2015 Free Cash Flow Multiple</t>
  </si>
  <si>
    <t>America</t>
  </si>
  <si>
    <t>AP</t>
  </si>
  <si>
    <t>Organic</t>
  </si>
  <si>
    <t>1Q</t>
  </si>
  <si>
    <t>2Q</t>
  </si>
  <si>
    <t>3Q</t>
  </si>
  <si>
    <t>4Q</t>
  </si>
  <si>
    <t>volmix</t>
  </si>
  <si>
    <t>Less: Capex + Restructuring</t>
  </si>
  <si>
    <t>Less: Capex/Restructuring Costs</t>
  </si>
  <si>
    <t>2015 FCF:</t>
  </si>
  <si>
    <t>2014A</t>
  </si>
  <si>
    <t>2015E</t>
  </si>
  <si>
    <t>2016E</t>
  </si>
  <si>
    <t>2017E</t>
  </si>
  <si>
    <t>2018E</t>
  </si>
  <si>
    <t>2019E</t>
  </si>
  <si>
    <t>2020E</t>
  </si>
  <si>
    <t>EBIT</t>
  </si>
  <si>
    <t>Add: D&amp;A</t>
  </si>
  <si>
    <t>Period</t>
  </si>
  <si>
    <t>Discount Rate</t>
  </si>
  <si>
    <t>Discount Factor</t>
  </si>
  <si>
    <t>Terminal Growth Rate</t>
  </si>
  <si>
    <t>Terminal Value</t>
  </si>
  <si>
    <t>Price per Share</t>
  </si>
  <si>
    <t>Assumptions</t>
  </si>
  <si>
    <t>Revenue Growth</t>
  </si>
  <si>
    <t>D&amp;A (% of Sales)</t>
  </si>
  <si>
    <t>Capex (% of Sales)</t>
  </si>
  <si>
    <t>Tax Rate</t>
  </si>
  <si>
    <t>Unlevered FCF (alternate)</t>
  </si>
  <si>
    <t>Change in Working Capital</t>
  </si>
  <si>
    <t>Full Debt Schedule</t>
  </si>
  <si>
    <t>Import FX spot rates from BBG - for rev projection</t>
  </si>
  <si>
    <t>Break out coffee division &amp; layer in other acquisitions/segments</t>
  </si>
  <si>
    <t>Comp Sheet - Data as of 3/17/2015</t>
  </si>
  <si>
    <t>Shareholder's Equity + Share Count/Dividends</t>
  </si>
  <si>
    <t>Bear/Base/Bull scenarios</t>
  </si>
  <si>
    <t>Free Cash Flow to Firm</t>
  </si>
  <si>
    <t>Less: Net Debt</t>
  </si>
  <si>
    <t>NPV: Discounted Cash Flows</t>
  </si>
  <si>
    <t>NPV: Terminal Value</t>
  </si>
  <si>
    <t>Discounted Cash Flows</t>
  </si>
  <si>
    <t>Enterprise Value</t>
  </si>
  <si>
    <t>Return on Capital Employed:</t>
  </si>
  <si>
    <t>ROCE</t>
  </si>
  <si>
    <t>Discounted Cash Flow Valuation</t>
  </si>
  <si>
    <t>Industry analysis / trends for snack industry / get full Nielsen data</t>
  </si>
  <si>
    <t>Import commodity futures curves (cocoa etc) from BBG - for rev projection</t>
  </si>
  <si>
    <t>Deep dive on management + management track record</t>
  </si>
  <si>
    <t>To Do List - 3/18/2015</t>
  </si>
  <si>
    <t>Unlevered FCF</t>
  </si>
  <si>
    <t>May 1st,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</si>
</sst>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4">
    <numFmt numFmtId="5" formatCode="&quot;$&quot;#,##0_);\(&quot;$&quot;#,##0\)"/>
    <numFmt numFmtId="6" formatCode="&quot;$&quot;#,##0_);[Red]\(&quot;$&quot;#,##0\)"/>
    <numFmt numFmtId="7" formatCode="&quot;$&quot;#,##0.00_);\(&quot;$&quot;#,##0.00\)"/>
    <numFmt numFmtId="8" formatCode="&quot;$&quot;#,##0.00_);[Red]\(&quot;$&quot;#,##0.0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dddd\,\ mmmm\ dd\,\ yyyy"/>
    <numFmt numFmtId="165" formatCode="* #,##0_);* \(#,##0\);* &quot;-&quot;_)"/>
    <numFmt numFmtId="166" formatCode="_(* #,##0_);_(* \(#,##0\);_(* &quot;-&quot;??_);_(@_)"/>
    <numFmt numFmtId="167" formatCode="0&quot;A&quot;"/>
    <numFmt numFmtId="168" formatCode="0&quot;E&quot;"/>
    <numFmt numFmtId="169" formatCode="#,##0;\(#,##0\);&quot;-&quot;"/>
    <numFmt numFmtId="170" formatCode="_-* #,##0_-;\-* #,##0_-;_-* &quot;-&quot;_-;_-@_-"/>
    <numFmt numFmtId="171" formatCode="#,##0_);\(#,##0\);&quot; - &quot;_);@_)"/>
    <numFmt numFmtId="172" formatCode="\ #,##0.0_);\(#,##0.0\);&quot; - &quot;_);@_)"/>
    <numFmt numFmtId="173" formatCode="_([$€-2]* #,##0.00_);_([$€-2]* \(#,##0.00\);_([$€-2]* &quot;-&quot;??_)"/>
    <numFmt numFmtId="174" formatCode="#.##0\.00"/>
    <numFmt numFmtId="175" formatCode="#\.00"/>
    <numFmt numFmtId="176" formatCode="\$#\.00"/>
    <numFmt numFmtId="177" formatCode="#,##0_ ;\-#,##0\ "/>
    <numFmt numFmtId="178" formatCode="#,##0;[Red]#,##0"/>
    <numFmt numFmtId="179" formatCode="&quot;\&quot;#,##0;[Red]\-&quot;\&quot;#,##0"/>
    <numFmt numFmtId="180" formatCode="\£#,##0_);\(\£#,##0\)"/>
    <numFmt numFmtId="181" formatCode="_-* #,##0\ _K_č_-;\-* #,##0\ _K_č_-;_-* &quot;-&quot;\ _K_č_-;_-@_-"/>
    <numFmt numFmtId="182" formatCode="&quot;error&quot;;&quot;error&quot;;&quot;OK&quot;;&quot;  &quot;@"/>
    <numFmt numFmtId="183" formatCode="_-* #,##0.00\ _K_č_-;\-* #,##0.00\ _K_č_-;_-* &quot;-&quot;??\ _K_č_-;_-@_-"/>
    <numFmt numFmtId="184" formatCode="_(* #,##0.00_);[Red]_(* \(#,##0.00\);_(* &quot;-&quot;??_);_(@_)"/>
    <numFmt numFmtId="185" formatCode="&quot;$&quot;#,##0\ ;\(&quot;$&quot;#,##0\)"/>
    <numFmt numFmtId="186" formatCode="dd\ mmm\ yyyy_);;;&quot;  &quot;@"/>
    <numFmt numFmtId="187" formatCode="#,##0_);\(#,##0\);&quot;- &quot;;&quot;  &quot;@"/>
    <numFmt numFmtId="188" formatCode="0.0\x"/>
    <numFmt numFmtId="189" formatCode="#,##0;[Red]\-#,##0"/>
    <numFmt numFmtId="190" formatCode="_-* #,##0\ _K_e_s_-;\-* #,##0\ _K_e_s_-;_-* &quot;-&quot;\ _K_e_s_-;_-@_-"/>
    <numFmt numFmtId="191" formatCode="_-* #,##0.00\ _K_e_s_-;\-* #,##0.00\ _K_e_s_-;_-* &quot;-&quot;??\ _K_e_s_-;_-@_-"/>
    <numFmt numFmtId="192" formatCode="_-* #,##0\ _F_B_-;\-* #,##0\ _F_B_-;_-* &quot;-&quot;\ _F_B_-;_-@_-"/>
    <numFmt numFmtId="193" formatCode="_-* #,##0.00\ _F_B_-;\-* #,##0.00\ _F_B_-;_-* &quot;-&quot;??\ _F_B_-;_-@_-"/>
    <numFmt numFmtId="194" formatCode="#,##0.0000_);\(#,##0.0000\);&quot;- &quot;;&quot;  &quot;@"/>
    <numFmt numFmtId="195" formatCode="#,##0.0_);[Red]\(#,##0.0\)"/>
    <numFmt numFmtId="196" formatCode="_-* #,##0_-;_-* #,##0\-;_-* &quot;-&quot;_-;_-@_-"/>
    <numFmt numFmtId="197" formatCode="_-* #,##0.00_-;_-* #,##0.00\-;_-* &quot;-&quot;??_-;_-@_-"/>
    <numFmt numFmtId="198" formatCode="_-* #,##0.00\ &quot;Kč&quot;_-;\-* #,##0.00\ &quot;Kč&quot;_-;_-* &quot;-&quot;??\ &quot;Kč&quot;_-;_-@_-"/>
    <numFmt numFmtId="199" formatCode="_-* #,##0.00\ &quot;Kes&quot;_-;\-* #,##0.00\ &quot;Kes&quot;_-;_-* &quot;-&quot;??\ &quot;Kes&quot;_-;_-@_-"/>
    <numFmt numFmtId="200" formatCode="_(* #,##0.000_);[Red]_(* \(#,##0.000\);_(* &quot;-&quot;??_);_(@_)"/>
    <numFmt numFmtId="201" formatCode="&quot;$&quot;#,##0.0_);\(&quot;$&quot;#,##0.0\)"/>
    <numFmt numFmtId="202" formatCode="0.00\x"/>
    <numFmt numFmtId="203" formatCode="0.0000"/>
    <numFmt numFmtId="204" formatCode="_-* #,##0\ &quot;FB&quot;_-;\-* #,##0\ &quot;FB&quot;_-;_-* &quot;-&quot;\ &quot;FB&quot;_-;_-@_-"/>
    <numFmt numFmtId="205" formatCode="_-* #,##0.00\ &quot;FB&quot;_-;\-* #,##0.00\ &quot;FB&quot;_-;_-* &quot;-&quot;??\ &quot;FB&quot;_-;_-@_-"/>
    <numFmt numFmtId="206" formatCode="0.0%"/>
    <numFmt numFmtId="207" formatCode=";;;"/>
    <numFmt numFmtId="208" formatCode="0_)"/>
    <numFmt numFmtId="209" formatCode="0_);\-0_);"/>
    <numFmt numFmtId="210" formatCode="General_)"/>
    <numFmt numFmtId="211" formatCode="#,##0_)"/>
    <numFmt numFmtId="212" formatCode="_-&quot;F&quot;\ * #,##0_-;_-&quot;F&quot;\ * #,##0\-;_-&quot;F&quot;\ * &quot;-&quot;_-;_-@_-"/>
    <numFmt numFmtId="213" formatCode="_-&quot;F&quot;\ * #,##0.00_-;_-&quot;F&quot;\ * #,##0.00\-;_-&quot;F&quot;\ * &quot;-&quot;??_-;_-@_-"/>
    <numFmt numFmtId="214" formatCode="\¥#,##0_);\(\¥#,##0\)"/>
    <numFmt numFmtId="215" formatCode=";;&quot;zero&quot;;&quot;  &quot;@"/>
    <numFmt numFmtId="216" formatCode="#,##0.00&quot;р.&quot;;\-#,##0.00&quot;р.&quot;"/>
    <numFmt numFmtId="217" formatCode="#,##0\т"/>
    <numFmt numFmtId="218" formatCode="_-* #,##0.00_-;\-* #,##0.00_-;_-* &quot;-&quot;??_-;_-@_-"/>
    <numFmt numFmtId="219" formatCode="%#\.00"/>
    <numFmt numFmtId="220" formatCode="_([$$-409]* #,##0_);_([$$-409]* \(#,##0\);_([$$-409]* &quot;-&quot;_);_(@_)"/>
    <numFmt numFmtId="221" formatCode="###,000"/>
    <numFmt numFmtId="222" formatCode="_(* #,##0.0_);_(* \(#,##0.0\);_(* &quot;-&quot;??_);_(@_)"/>
    <numFmt numFmtId="223" formatCode="_(* #,##0.0_);_(* \(#,##0.0\);_(* &quot;-&quot;?_);_(@_)"/>
    <numFmt numFmtId="224" formatCode="[$-409]dd\-mmm\-yy;@"/>
    <numFmt numFmtId="225" formatCode="&quot;FY&quot;#"/>
    <numFmt numFmtId="226" formatCode="#&quot;Q&quot;"/>
    <numFmt numFmtId="227" formatCode="_(&quot;$&quot;* #,##0.0_);_(&quot;$&quot;* \(#,##0.0\);_(&quot;$&quot;* &quot;-&quot;?_);_(@_)"/>
    <numFmt numFmtId="228" formatCode="0.0_)\%;\(0.0\)\%;0.0_)\%;@_)_%"/>
    <numFmt numFmtId="229" formatCode="#,##0.0_)_%;\(#,##0.0\)_%;0.0_)_%;@_)_%"/>
    <numFmt numFmtId="230" formatCode="#,##0.0_);\(#,##0.0\);#,##0.0_);@_)"/>
    <numFmt numFmtId="231" formatCode="&quot;$&quot;_(#,##0.00_);&quot;$&quot;\(#,##0.00\);&quot;$&quot;_(0.00_);@_)"/>
    <numFmt numFmtId="232" formatCode="#,##0.00_);\(#,##0.00\);0.00_);@_)"/>
    <numFmt numFmtId="233" formatCode="\€_(#,##0.00_);\€\(#,##0.00\);\€_(0.00_);@_)"/>
    <numFmt numFmtId="234" formatCode="#,##0_)\x;\(#,##0\)\x;0_)\x;@_)_x"/>
    <numFmt numFmtId="235" formatCode="#,##0_)_x;\(#,##0\)_x;0_)_x;@_)_x"/>
    <numFmt numFmtId="236" formatCode="\£\ #,##0_);[Red]\(\£\ #,##0\)"/>
    <numFmt numFmtId="237" formatCode="\¥\ #,##0_);[Red]\(\¥\ #,##0\)"/>
    <numFmt numFmtId="238" formatCode="\•\ \ @"/>
    <numFmt numFmtId="239" formatCode="\(#,##0\)\ "/>
    <numFmt numFmtId="240" formatCode="[Blue]0.0%;[Blue]\(0.0%\)"/>
    <numFmt numFmtId="241" formatCode="0.0%;\(0.0%\)"/>
    <numFmt numFmtId="242" formatCode="[Red]0.0%;[Red]\(0.0%\)"/>
    <numFmt numFmtId="243" formatCode="[Blue]#,##0_);[Blue]\(#,##0\)"/>
    <numFmt numFmtId="244" formatCode="#,##0_);[Blue]\(#,##0\)"/>
    <numFmt numFmtId="245" formatCode="0.0%;\(0.0\)%"/>
    <numFmt numFmtId="246" formatCode="#,##0.000_);[Red]\(#,##0.000\)"/>
    <numFmt numFmtId="247" formatCode="_._.* #,##0.0_)_%;_._.* \(#,##0.0\)_%"/>
    <numFmt numFmtId="248" formatCode="_._.* #,##0.00_)_%;_._.* \(#,##0.00\)_%"/>
    <numFmt numFmtId="249" formatCode="_._.* #,##0.000_)_%;_._.* \(#,##0.000\)_%"/>
    <numFmt numFmtId="250" formatCode="_._.* #,##0.0000_);_._.* \(#,##0.0000\);_._.* \-??_.?_);_._.@_)"/>
    <numFmt numFmtId="251" formatCode="_._.* #,##0.00000_);_._.* \(#,##0.00000\);_._.* \-??_.?_);_._.@_)"/>
    <numFmt numFmtId="252" formatCode="#,##0.000_%_);\(#,##0.000\)_%;**;@_%_)"/>
    <numFmt numFmtId="253" formatCode="&quot;$&quot;#,##0.000_);[Red]\(&quot;$&quot;#,##0.000\)"/>
    <numFmt numFmtId="254" formatCode="_._.&quot;$&quot;* #,##0.0_)_%;_._.&quot;$&quot;* \(#,##0.0\)_%"/>
    <numFmt numFmtId="255" formatCode="_._.&quot;$&quot;* #,##0.00_)_%;_._.&quot;$&quot;* \(#,##0.00\)_%"/>
    <numFmt numFmtId="256" formatCode="_._.&quot;$&quot;* #,##0.000_)_%;_._.&quot;$&quot;* \(#,##0.000\)_%"/>
    <numFmt numFmtId="257" formatCode="_._.&quot;$&quot;* #,##0.0000_);_._.&quot;$&quot;* \(#,##0.0000\);\ _._.&quot;$&quot;* \-??_.??_);_._.@_)"/>
    <numFmt numFmtId="258" formatCode="_._.&quot;$&quot;* #,##0.00000_);_._.&quot;$&quot;* \(#,##0.00000\);\ _._.&quot;$&quot;* \-??_.??_);_._.@_)"/>
    <numFmt numFmtId="259" formatCode="&quot;$&quot;#,##0.000_%_);\(&quot;$&quot;#,##0.000\)_%;**;@_%_)"/>
    <numFmt numFmtId="260" formatCode="0000"/>
    <numFmt numFmtId="261" formatCode="\ \ _•\–\ \ \ \ @"/>
    <numFmt numFmtId="262" formatCode="mm/dd/yy"/>
    <numFmt numFmtId="263" formatCode="&quot;$&quot;#,##0.0;[Red]\(&quot;$&quot;#,##0.0\)"/>
    <numFmt numFmtId="264" formatCode="#,##0.0000_);[Red]\(#,##0.0000\)"/>
    <numFmt numFmtId="265" formatCode="#,##0.000_);\(#,##0.000\)"/>
    <numFmt numFmtId="266" formatCode="hh:mm:ss\ AM/PM_)"/>
    <numFmt numFmtId="267" formatCode="#,##0.0_);\(#,##0.0\)"/>
    <numFmt numFmtId="268" formatCode="&quot;$&quot;#,##0"/>
    <numFmt numFmtId="269" formatCode="#,##0;[Red]\(#,##0\)"/>
    <numFmt numFmtId="270" formatCode="#,##0_);[Red]_(#,##0\);_(&quot;-&quot;_);@"/>
    <numFmt numFmtId="271" formatCode="0.00_)"/>
    <numFmt numFmtId="272" formatCode="_(* #,##0,_);_(* \(#,##0,\);_(* &quot;-&quot;??_);_(@_)"/>
    <numFmt numFmtId="273" formatCode="_(&quot;$&quot;* #,##0,_);_(&quot;$&quot;* \(#,##0,\);_(&quot;$&quot;* &quot;-&quot;??_);_(@_)"/>
    <numFmt numFmtId="274" formatCode="_-* #,##0\ &quot;F&quot;_-;\-* #,##0\ &quot;F&quot;_-;_-* &quot;-&quot;\ &quot;F&quot;_-;_-@_-"/>
    <numFmt numFmtId="275" formatCode="0.0"/>
    <numFmt numFmtId="276" formatCode="#,##0\ \ \ ;[Red]\(#,##0\)\ \ ;\—\ \ \ "/>
    <numFmt numFmtId="277" formatCode="_(0_)%;\(0\)%"/>
    <numFmt numFmtId="278" formatCode="_._._(* 0_)%;_._.* \(0\)%"/>
    <numFmt numFmtId="279" formatCode="_._._(0%_);_._.\(0\)%_)"/>
    <numFmt numFmtId="280" formatCode="0%_);\(0%\)"/>
    <numFmt numFmtId="281" formatCode="0%;\(0%\)"/>
    <numFmt numFmtId="282" formatCode="0.000%"/>
    <numFmt numFmtId="283" formatCode="_(0.0_)%;\(0.0\)%"/>
    <numFmt numFmtId="284" formatCode="_._._(* 0.0_)%;_._.* \(0.0\)%"/>
    <numFmt numFmtId="285" formatCode="_._._(0.0%_);_._.\(0.0\)%_)"/>
    <numFmt numFmtId="286" formatCode="_(0.00_)%;\(0.00\)%"/>
    <numFmt numFmtId="287" formatCode="_._._(* 0.00_)%;_._.* \(0.00\)%"/>
    <numFmt numFmtId="288" formatCode="_._._(0.00%_);_._.\(0.00\)%_)"/>
    <numFmt numFmtId="289" formatCode="_(0.000_)%;\(0.000\)%"/>
    <numFmt numFmtId="290" formatCode="_._._(* 0.000_)%;_._.* \(0.000\)%"/>
    <numFmt numFmtId="291" formatCode="_._._(0.000%_);_._.\(0.000\)%_)"/>
    <numFmt numFmtId="292" formatCode="_(0.0000_)%;\(0.0000\)%"/>
    <numFmt numFmtId="293" formatCode="_._._(* 0.0000_)%;_._.* \(0.0000\)%"/>
    <numFmt numFmtId="294" formatCode="_._._(0.0000%_);_._.\(0.0000\)%_)"/>
    <numFmt numFmtId="295" formatCode="0.0%;[Red]\-0.0%"/>
    <numFmt numFmtId="296" formatCode="#,##0.0\%_);\(#,##0.0\%\);#,##0.0\%_);@_%_)"/>
    <numFmt numFmtId="297" formatCode="&quot;$&quot;#,##0.00;\(&quot;$&quot;#,##0.00\)"/>
    <numFmt numFmtId="298" formatCode="_-* #,##0\ _F_-;\-* #,##0\ _F_-;_-* &quot;-&quot;\ _F_-;_-@_-"/>
    <numFmt numFmtId="299" formatCode="#,##0.0"/>
    <numFmt numFmtId="300" formatCode="#,##0.000"/>
    <numFmt numFmtId="301" formatCode="mm/dd/yyyy"/>
    <numFmt numFmtId="302" formatCode="_(&quot;$&quot;* #,##0.00_);_(&quot;$&quot;* \(#,##0.00\);_(* &quot;-&quot;_);_(@_)"/>
    <numFmt numFmtId="303" formatCode="_(&quot;$&quot;* #,##0.0_);_(&quot;$&quot;* \(#,##0.0\);_(* &quot;-&quot;_);_(@_)"/>
    <numFmt numFmtId="304" formatCode="_(* #,##0.0_);_(* \(#,##0.0\);_(* &quot;-&quot;_);_(@_)"/>
    <numFmt numFmtId="305" formatCode="_(#,##0.0_);_(\(#,##0.0\);_(* &quot;-&quot;_);_(@_)"/>
    <numFmt numFmtId="306" formatCode="_(&quot;$&quot;#,##0.0_);_(&quot;$&quot;\(#,##0.0\);_(* &quot;-&quot;_);_(@_)"/>
    <numFmt numFmtId="307" formatCode="###0_);[Red]\(###0\)"/>
    <numFmt numFmtId="308" formatCode="m/yy"/>
    <numFmt numFmtId="309" formatCode="#,##0_);\(#,##0_)"/>
    <numFmt numFmtId="310" formatCode="dd\-mmm_)"/>
    <numFmt numFmtId="311" formatCode="&quot;$&quot;#,##0.0;\(&quot;$&quot;#,##0.0\)"/>
    <numFmt numFmtId="312" formatCode="#,##0.0000000_);\(#,##0.0000000\)"/>
    <numFmt numFmtId="313" formatCode="_(* #,##0_);_(* \(#,##0\);_(* 0_);_(@_)"/>
    <numFmt numFmtId="314" formatCode="_(* #,##0.0_);_(* \(#,##0.0\)"/>
    <numFmt numFmtId="315" formatCode="_(* #,##0.00_);_(* \(#,##0.00\)"/>
    <numFmt numFmtId="316" formatCode="_(* #,##0.000_);_(* \(#,##0.000\)"/>
    <numFmt numFmtId="317" formatCode="_(&quot;$&quot;* #,##0_);_(&quot;$&quot;* \(#,##0\);_(&quot;$&quot;* 0_);_(@_)"/>
    <numFmt numFmtId="318" formatCode="_(&quot;$&quot;* #,##0.0_);_(&quot;$&quot;* \(#,##0.0\)"/>
    <numFmt numFmtId="319" formatCode="_(&quot;$&quot;* #,##0.00_);_(&quot;$&quot;* \(#,##0.00\)"/>
    <numFmt numFmtId="320" formatCode="_(&quot;$&quot;* #,##0.000_);_(&quot;$&quot;* \(#,##0.000\)"/>
    <numFmt numFmtId="321" formatCode="0.0_ &quot;     &quot;"/>
    <numFmt numFmtId="322" formatCode="_._-* ###0_);_._.* \(###0\);_._.* \-??_);_._.@_)"/>
    <numFmt numFmtId="323" formatCode="###0_);\ \(###0\);_._.* \-??_);_._.@_)"/>
    <numFmt numFmtId="324" formatCode="_-&quot;\&quot;* #,##0_-;\-&quot;\&quot;* #,##0_-;_-&quot;\&quot;* &quot;-&quot;_-;_-@_-"/>
    <numFmt numFmtId="325" formatCode="_-&quot;\&quot;* #,##0.00_-;\-&quot;\&quot;* #,##0.00_-;_-&quot;\&quot;* &quot;-&quot;??_-;_-@_-"/>
    <numFmt numFmtId="326" formatCode="* #,##0.0_);* \(#,##0.0\);* &quot;-&quot;_)"/>
    <numFmt numFmtId="327" formatCode="&quot;$&quot;#,##0.0_);[Red]\(&quot;$&quot;#,##0.0\)"/>
    <numFmt numFmtId="328" formatCode="_([$$-409]* #,##0.0_);_([$$-409]* \(#,##0.0\);_([$$-409]* &quot;-&quot;_);_(@_)"/>
    <numFmt numFmtId="329" formatCode="#,###.0\x"/>
    <numFmt numFmtId="330" formatCode="&quot;£&quot;#,##0.00;[Red]\-&quot;£&quot;#,##0.00"/>
    <numFmt numFmtId="331" formatCode="&quot;£&quot;#,##0;[Red]\-&quot;£&quot;#,##0"/>
    <numFmt numFmtId="332" formatCode="&quot;$&quot;_(#,##0.00_);&quot;$&quot;\(#,##0.00\)"/>
    <numFmt numFmtId="333" formatCode="#,##0.0_)\x;\(#,##0.0\)\x"/>
    <numFmt numFmtId="334" formatCode="#,##0.0_)\x;\(#,##0.0\)\x;0.0_)\x;@_)_x"/>
    <numFmt numFmtId="335" formatCode="#,##0.0_)_x;\(#,##0.0\)_x;0.0_)_x;@_)_x"/>
    <numFmt numFmtId="336" formatCode="0.0_)\%;\(0.0\)\%"/>
    <numFmt numFmtId="337" formatCode="#,##0.0_)_%;\(#,##0.0\)_%"/>
    <numFmt numFmtId="338" formatCode="mmm\-dd\-yyyy"/>
    <numFmt numFmtId="339" formatCode="#,##0.0\x"/>
    <numFmt numFmtId="340" formatCode="_(#,##0.0%_);_(\(#,##0.0%\)_);_(#,##0.0%_)"/>
    <numFmt numFmtId="341" formatCode="_(&quot;$&quot;* #,##0_);_(&quot;$&quot;* \(#,##0\);_(&quot;$&quot;* &quot;-&quot;??_);_(@_)"/>
    <numFmt numFmtId="342" formatCode="_(* #,##0.0_);_(* \(#,##0.0\);_(* &quot;--- &quot;_)"/>
    <numFmt numFmtId="343" formatCode="#,##0;\(#,##0\)"/>
    <numFmt numFmtId="344" formatCode="0\A"/>
    <numFmt numFmtId="345" formatCode="#,##0.0;\(#,##0.0\)"/>
    <numFmt numFmtId="346" formatCode="_-* #,##0_-;\-* #,##0_-;_-* &quot;-&quot;??_-;_-@_-"/>
    <numFmt numFmtId="347" formatCode="#,##0.0;\(###0.0\)"/>
    <numFmt numFmtId="348" formatCode="0.0&quot;  &quot;"/>
    <numFmt numFmtId="349" formatCode="_-* #,##0_-;\(#,##0\);_-* &quot;–&quot;_-;_-@_-"/>
    <numFmt numFmtId="350" formatCode="##0.00"/>
    <numFmt numFmtId="351" formatCode="#,##0.00;;;[White]General"/>
    <numFmt numFmtId="352" formatCode="mmm\-yyyy"/>
    <numFmt numFmtId="353" formatCode="&quot;$&quot;0.0"/>
    <numFmt numFmtId="354" formatCode="#,##0;\(#,##0\);\–;@"/>
    <numFmt numFmtId="355" formatCode="_(&quot;CHF&quot;* #,##0.0_);_(&quot;CHF&quot;* \(#,##0.0\);_(&quot;CHF&quot;* &quot;-&quot;??_);_(@_)"/>
    <numFmt numFmtId="356" formatCode="0.00\ "/>
    <numFmt numFmtId="357" formatCode="_(* #,##0.0_);_(* \(#,##0.0\)_)\ ;_(* 0_)"/>
    <numFmt numFmtId="358" formatCode="_(&quot;$&quot;* #,##0.0_);_(&quot;$&quot;* \(#,##0.0\);_(&quot;$&quot;* &quot;-&quot;??_);_(@_)"/>
    <numFmt numFmtId="359" formatCode="\-"/>
    <numFmt numFmtId="360" formatCode="_(&quot;$&quot;* #,##0.00_);_(&quot;$&quot;* \(#,##0.00\);_(&quot;$&quot;* &quot;-&quot;?_);_(@_)"/>
    <numFmt numFmtId="361" formatCode="0\x"/>
    <numFmt numFmtId="362" formatCode="#,###\-"/>
    <numFmt numFmtId="363" formatCode="#,##0%"/>
    <numFmt numFmtId="364" formatCode="#,##0.0%"/>
    <numFmt numFmtId="365" formatCode="#,##0.0\ ;\(#,##0.0\)"/>
    <numFmt numFmtId="366" formatCode="&quot;$&quot;#,##0.000\ ;\(&quot;$&quot;#,##0.000\)"/>
    <numFmt numFmtId="367" formatCode="&quot;$&quot;#,##0.00_)\ \ \ ;\(&quot;$&quot;#,##0.00\)\ \ \ "/>
    <numFmt numFmtId="368" formatCode="&quot;$&quot;#,##0.00&quot;*&quot;\ \ ;\(&quot;$&quot;#,##0.00\)&quot;*&quot;\ \ "/>
    <numFmt numFmtId="369" formatCode="&quot;$&quot;#,##0.00\A_)\ ;\(&quot;$&quot;#,##0.00\A\)\ \ "/>
  </numFmts>
  <fonts count="328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5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Tms Rmn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8"/>
      <name val="Arial"/>
      <family val="2"/>
    </font>
    <font>
      <b/>
      <sz val="8"/>
      <color theme="1"/>
      <name val="Arial"/>
      <family val="2"/>
    </font>
    <font>
      <i/>
      <sz val="8"/>
      <color theme="1"/>
      <name val="Arial"/>
      <family val="2"/>
    </font>
    <font>
      <sz val="8"/>
      <color indexed="17"/>
      <name val="Arial"/>
      <family val="2"/>
    </font>
    <font>
      <b/>
      <u val="singleAccounting"/>
      <sz val="8"/>
      <color theme="1"/>
      <name val="Arial"/>
      <family val="2"/>
    </font>
    <font>
      <u val="singleAccounting"/>
      <sz val="8"/>
      <color theme="1"/>
      <name val="Arial"/>
      <family val="2"/>
    </font>
    <font>
      <i/>
      <sz val="8"/>
      <name val="Arial"/>
      <family val="2"/>
    </font>
    <font>
      <b/>
      <u/>
      <sz val="8"/>
      <color theme="1"/>
      <name val="Arial"/>
      <family val="2"/>
    </font>
    <font>
      <sz val="8"/>
      <color indexed="12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u val="singleAccounting"/>
      <sz val="8"/>
      <name val="Arial"/>
      <family val="2"/>
    </font>
    <font>
      <sz val="12"/>
      <name val="Arial"/>
      <family val="2"/>
    </font>
    <font>
      <sz val="10"/>
      <name val="Arial Narrow"/>
      <family val="2"/>
    </font>
    <font>
      <b/>
      <sz val="14"/>
      <color indexed="25"/>
      <name val="Arial"/>
      <family val="2"/>
    </font>
    <font>
      <i/>
      <sz val="10"/>
      <color indexed="25"/>
      <name val="Arial Narrow"/>
      <family val="2"/>
    </font>
    <font>
      <sz val="10"/>
      <color indexed="25"/>
      <name val="Arial Narrow"/>
      <family val="2"/>
    </font>
    <font>
      <b/>
      <sz val="10"/>
      <color indexed="25"/>
      <name val="Arial Narrow"/>
      <family val="2"/>
    </font>
    <font>
      <sz val="8"/>
      <color indexed="25"/>
      <name val="Arial Narrow"/>
      <family val="2"/>
    </font>
    <font>
      <sz val="8"/>
      <color indexed="10"/>
      <name val="Arial"/>
      <family val="2"/>
    </font>
    <font>
      <b/>
      <u/>
      <sz val="8"/>
      <name val="Arial"/>
      <family val="2"/>
    </font>
    <font>
      <u/>
      <sz val="8"/>
      <name val="Arial"/>
      <family val="2"/>
    </font>
    <font>
      <sz val="8"/>
      <color indexed="39"/>
      <name val="Arial"/>
      <family val="2"/>
    </font>
    <font>
      <u val="singleAccounting"/>
      <sz val="8"/>
      <color indexed="8"/>
      <name val="Arial"/>
      <family val="2"/>
    </font>
    <font>
      <sz val="8"/>
      <color theme="1"/>
      <name val="Arial"/>
      <family val="2"/>
    </font>
    <font>
      <sz val="8"/>
      <color rgb="FF0000FF"/>
      <name val="Arial"/>
      <family val="2"/>
    </font>
    <font>
      <sz val="8"/>
      <color rgb="FF000000"/>
      <name val="Arial"/>
      <family val="2"/>
    </font>
    <font>
      <sz val="11"/>
      <color indexed="8"/>
      <name val="Calibri"/>
      <family val="2"/>
      <charset val="204"/>
    </font>
    <font>
      <b/>
      <sz val="12"/>
      <name val="Arial"/>
      <family val="2"/>
    </font>
    <font>
      <sz val="10"/>
      <name val="Book Antiqua"/>
      <family val="1"/>
    </font>
    <font>
      <sz val="10"/>
      <name val="Helv"/>
      <charset val="204"/>
    </font>
    <font>
      <sz val="10"/>
      <name val="Helv"/>
    </font>
    <font>
      <sz val="10"/>
      <name val="Courier"/>
      <family val="3"/>
    </font>
    <font>
      <sz val="10"/>
      <name val="Arial Cyr"/>
      <family val="2"/>
      <charset val="204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8"/>
      <name val="Arial Narrow"/>
      <family val="2"/>
      <charset val="238"/>
    </font>
    <font>
      <b/>
      <i/>
      <sz val="12"/>
      <name val="Arial"/>
      <family val="2"/>
    </font>
    <font>
      <b/>
      <sz val="12"/>
      <color indexed="9"/>
      <name val="Arial"/>
      <family val="2"/>
    </font>
    <font>
      <b/>
      <sz val="14"/>
      <color indexed="9"/>
      <name val="Arial"/>
      <family val="2"/>
    </font>
    <font>
      <b/>
      <i/>
      <sz val="14"/>
      <name val="Arial"/>
      <family val="2"/>
    </font>
    <font>
      <b/>
      <i/>
      <sz val="20"/>
      <name val="Arial"/>
      <family val="2"/>
    </font>
    <font>
      <b/>
      <sz val="16"/>
      <color indexed="9"/>
      <name val="Arial"/>
      <family val="2"/>
    </font>
    <font>
      <b/>
      <sz val="14"/>
      <name val="Arial"/>
      <family val="2"/>
    </font>
    <font>
      <b/>
      <i/>
      <sz val="22"/>
      <name val="Arial"/>
      <family val="2"/>
    </font>
    <font>
      <sz val="11"/>
      <color indexed="9"/>
      <name val="Calibri"/>
      <family val="2"/>
    </font>
    <font>
      <sz val="8"/>
      <name val="Helv"/>
      <charset val="204"/>
    </font>
    <font>
      <sz val="12"/>
      <name val="Times New Roman"/>
      <family val="1"/>
    </font>
    <font>
      <u/>
      <sz val="10"/>
      <color indexed="12"/>
      <name val="Arial Cyr"/>
      <charset val="204"/>
    </font>
    <font>
      <b/>
      <sz val="10"/>
      <color indexed="8"/>
      <name val="Arial"/>
      <family val="2"/>
    </font>
    <font>
      <sz val="10"/>
      <color indexed="8"/>
      <name val="Tms Rmn"/>
    </font>
    <font>
      <sz val="10"/>
      <color indexed="12"/>
      <name val="Times New Roman"/>
      <family val="1"/>
    </font>
    <font>
      <sz val="12"/>
      <name val="Tms Rmn"/>
    </font>
    <font>
      <u val="singleAccounting"/>
      <sz val="10"/>
      <name val="Arial"/>
      <family val="2"/>
    </font>
    <font>
      <sz val="12"/>
      <name val="±???A?"/>
      <charset val="129"/>
    </font>
    <font>
      <sz val="10"/>
      <color indexed="8"/>
      <name val="MS Sans Serif"/>
      <family val="2"/>
    </font>
    <font>
      <b/>
      <sz val="11"/>
      <color indexed="52"/>
      <name val="Calibri"/>
      <family val="2"/>
    </font>
    <font>
      <sz val="10"/>
      <name val="Times New Roman CE"/>
      <charset val="238"/>
    </font>
    <font>
      <sz val="11"/>
      <color indexed="52"/>
      <name val="Calibri"/>
      <family val="2"/>
    </font>
    <font>
      <b/>
      <sz val="11"/>
      <color indexed="9"/>
      <name val="Calibri"/>
      <family val="2"/>
    </font>
    <font>
      <b/>
      <sz val="12"/>
      <name val="Times New Roman"/>
      <family val="1"/>
    </font>
    <font>
      <sz val="10"/>
      <name val="Arial CE"/>
      <charset val="238"/>
    </font>
    <font>
      <sz val="8"/>
      <color indexed="12"/>
      <name val="Times New Roman"/>
      <family val="1"/>
    </font>
    <font>
      <sz val="8"/>
      <name val="Palatino"/>
      <family val="1"/>
    </font>
    <font>
      <sz val="10"/>
      <name val="MS Sans Serif"/>
      <family val="2"/>
    </font>
    <font>
      <sz val="12"/>
      <color indexed="24"/>
      <name val="Arial"/>
      <family val="2"/>
    </font>
    <font>
      <b/>
      <sz val="10"/>
      <name val="Arial"/>
      <family val="2"/>
    </font>
    <font>
      <u val="doubleAccounting"/>
      <sz val="10"/>
      <name val="Arial"/>
      <family val="2"/>
    </font>
    <font>
      <sz val="10"/>
      <name val="Times New Roman CE"/>
    </font>
    <font>
      <i/>
      <sz val="1"/>
      <color indexed="8"/>
      <name val="Courier"/>
      <family val="3"/>
    </font>
    <font>
      <sz val="7"/>
      <name val="Palatino"/>
      <family val="1"/>
    </font>
    <font>
      <sz val="10"/>
      <color indexed="12"/>
      <name val="Arial"/>
      <family val="2"/>
    </font>
    <font>
      <sz val="10"/>
      <color indexed="17"/>
      <name val="Times New Roman"/>
      <family val="1"/>
    </font>
    <font>
      <sz val="6"/>
      <color indexed="16"/>
      <name val="Palatino"/>
      <family val="1"/>
    </font>
    <font>
      <b/>
      <sz val="8"/>
      <name val="Palatino"/>
      <family val="1"/>
    </font>
    <font>
      <sz val="12"/>
      <color indexed="24"/>
      <name val="Arial CE"/>
      <charset val="238"/>
    </font>
    <font>
      <b/>
      <sz val="12"/>
      <color indexed="24"/>
      <name val="Arial CE"/>
      <charset val="238"/>
    </font>
    <font>
      <b/>
      <i/>
      <sz val="22"/>
      <name val="Times New Roman"/>
      <family val="1"/>
    </font>
    <font>
      <sz val="10"/>
      <color indexed="9"/>
      <name val="Times New Roman"/>
      <family val="1"/>
    </font>
    <font>
      <u/>
      <sz val="10.45"/>
      <color indexed="12"/>
      <name val="Arial"/>
      <family val="2"/>
    </font>
    <font>
      <sz val="10"/>
      <name val="Times New Roman Cyr"/>
    </font>
    <font>
      <u/>
      <sz val="10"/>
      <color indexed="36"/>
      <name val="Arial Cyr"/>
      <charset val="204"/>
    </font>
    <font>
      <b/>
      <u/>
      <sz val="16"/>
      <name val="Arial"/>
      <family val="2"/>
    </font>
    <font>
      <sz val="11"/>
      <color indexed="60"/>
      <name val="Calibri"/>
      <family val="2"/>
    </font>
    <font>
      <sz val="7"/>
      <name val="Small Fonts"/>
      <family val="2"/>
    </font>
    <font>
      <sz val="10"/>
      <name val="Arial Cyr"/>
      <charset val="204"/>
    </font>
    <font>
      <sz val="10"/>
      <name val="Palatino"/>
      <family val="1"/>
    </font>
    <font>
      <sz val="8"/>
      <name val="Arial CE"/>
    </font>
    <font>
      <sz val="10"/>
      <color indexed="8"/>
      <name val="Arial"/>
      <family val="2"/>
    </font>
    <font>
      <b/>
      <i/>
      <sz val="10"/>
      <color indexed="8"/>
      <name val="Arial"/>
      <family val="2"/>
    </font>
    <font>
      <b/>
      <sz val="10"/>
      <color indexed="9"/>
      <name val="Arial"/>
      <family val="2"/>
    </font>
    <font>
      <b/>
      <sz val="10"/>
      <color indexed="17"/>
      <name val="Arial"/>
      <family val="2"/>
    </font>
    <font>
      <b/>
      <sz val="10"/>
      <color indexed="13"/>
      <name val="Arial"/>
      <family val="2"/>
    </font>
    <font>
      <b/>
      <sz val="20"/>
      <name val="Times New Roman"/>
      <family val="1"/>
    </font>
    <font>
      <sz val="10"/>
      <color indexed="16"/>
      <name val="Helvetica-Black"/>
    </font>
    <font>
      <sz val="10"/>
      <color indexed="10"/>
      <name val="Times New Roman"/>
      <family val="1"/>
    </font>
    <font>
      <sz val="9.5"/>
      <color indexed="23"/>
      <name val="Helvetica-Black"/>
    </font>
    <font>
      <b/>
      <sz val="10"/>
      <color indexed="39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b/>
      <sz val="16"/>
      <color indexed="23"/>
      <name val="Arial"/>
      <family val="2"/>
    </font>
    <font>
      <sz val="10"/>
      <color indexed="10"/>
      <name val="Arial"/>
      <family val="2"/>
    </font>
    <font>
      <sz val="10"/>
      <name val="Tms Rmn"/>
    </font>
    <font>
      <sz val="10"/>
      <name val="ZapfCalligr BT"/>
    </font>
    <font>
      <b/>
      <sz val="14"/>
      <color indexed="11"/>
      <name val="Arial CE"/>
      <family val="2"/>
      <charset val="238"/>
    </font>
    <font>
      <sz val="14"/>
      <name val="Times New Roman CE"/>
      <family val="1"/>
      <charset val="238"/>
    </font>
    <font>
      <b/>
      <sz val="14"/>
      <name val="Arial CE"/>
      <charset val="238"/>
    </font>
    <font>
      <b/>
      <sz val="14"/>
      <name val="Times New Roman CE"/>
      <family val="1"/>
      <charset val="238"/>
    </font>
    <font>
      <b/>
      <i/>
      <sz val="12"/>
      <color indexed="19"/>
      <name val="Arial CE"/>
      <family val="2"/>
      <charset val="238"/>
    </font>
    <font>
      <sz val="12"/>
      <name val="Arial CE"/>
      <family val="2"/>
      <charset val="238"/>
    </font>
    <font>
      <b/>
      <i/>
      <u/>
      <sz val="20"/>
      <color indexed="12"/>
      <name val="Arial CE"/>
      <charset val="238"/>
    </font>
    <font>
      <b/>
      <sz val="14"/>
      <color indexed="13"/>
      <name val="Arial CE"/>
      <family val="2"/>
      <charset val="238"/>
    </font>
    <font>
      <sz val="14"/>
      <color indexed="12"/>
      <name val="Arial CE"/>
      <family val="2"/>
      <charset val="238"/>
    </font>
    <font>
      <b/>
      <sz val="12"/>
      <name val="Courier New CE"/>
      <family val="3"/>
      <charset val="238"/>
    </font>
    <font>
      <b/>
      <sz val="18"/>
      <name val="Times New Roman"/>
      <family val="1"/>
    </font>
    <font>
      <b/>
      <sz val="9"/>
      <name val="Palatino"/>
      <family val="1"/>
    </font>
    <font>
      <sz val="9"/>
      <color indexed="21"/>
      <name val="Helvetica-Black"/>
    </font>
    <font>
      <b/>
      <sz val="10"/>
      <name val="Palatino"/>
      <family val="1"/>
    </font>
    <font>
      <sz val="9"/>
      <name val="Helvetica-Black"/>
    </font>
    <font>
      <b/>
      <sz val="10"/>
      <name val="Times New Roman"/>
      <family val="1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sz val="12"/>
      <color indexed="8"/>
      <name val="Palatino"/>
      <family val="1"/>
    </font>
    <font>
      <sz val="11"/>
      <color indexed="8"/>
      <name val="Helvetica-Black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4"/>
      <name val="Times New Roman"/>
      <family val="1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i/>
      <sz val="8"/>
      <name val="Helv"/>
    </font>
    <font>
      <sz val="12"/>
      <color indexed="62"/>
      <name val="Times New Roman"/>
      <family val="2"/>
      <charset val="204"/>
    </font>
    <font>
      <b/>
      <sz val="8"/>
      <name val="Arial Cyr"/>
      <family val="2"/>
      <charset val="204"/>
    </font>
    <font>
      <sz val="8"/>
      <name val="Arial Cyr"/>
    </font>
    <font>
      <sz val="10"/>
      <color indexed="9"/>
      <name val="Arial Cyr"/>
      <family val="2"/>
      <charset val="204"/>
    </font>
    <font>
      <b/>
      <sz val="12"/>
      <name val="Arial Cyr"/>
      <family val="2"/>
      <charset val="204"/>
    </font>
    <font>
      <sz val="10"/>
      <name val="Arial"/>
      <family val="2"/>
      <charset val="204"/>
    </font>
    <font>
      <sz val="12"/>
      <name val="Arial Cyr"/>
      <family val="2"/>
      <charset val="204"/>
    </font>
    <font>
      <sz val="14"/>
      <name val="Arial Cyr"/>
      <family val="2"/>
      <charset val="204"/>
    </font>
    <font>
      <sz val="10"/>
      <name val="Arial Cyr"/>
    </font>
    <font>
      <sz val="8"/>
      <name val="Arial Cyr"/>
      <family val="2"/>
      <charset val="204"/>
    </font>
    <font>
      <i/>
      <sz val="8"/>
      <color indexed="8"/>
      <name val="Arial"/>
      <family val="2"/>
    </font>
    <font>
      <sz val="8"/>
      <color rgb="FF008000"/>
      <name val="Arial"/>
      <family val="2"/>
    </font>
    <font>
      <b/>
      <u val="singleAccounting"/>
      <sz val="8"/>
      <color indexed="8"/>
      <name val="Arial"/>
      <family val="2"/>
    </font>
    <font>
      <sz val="8"/>
      <color rgb="FFFF0000"/>
      <name val="Arial"/>
      <family val="2"/>
    </font>
    <font>
      <i/>
      <sz val="8"/>
      <color rgb="FF0000FF"/>
      <name val="Arial"/>
      <family val="2"/>
    </font>
    <font>
      <sz val="8"/>
      <color rgb="FF1F497D"/>
      <name val="Verdana"/>
      <family val="2"/>
    </font>
    <font>
      <b/>
      <sz val="8"/>
      <color rgb="FF1F497D"/>
      <name val="Verdana"/>
      <family val="2"/>
    </font>
    <font>
      <sz val="8"/>
      <color rgb="FF000000"/>
      <name val="Verdana"/>
      <family val="2"/>
    </font>
    <font>
      <i/>
      <sz val="8"/>
      <color rgb="FF000000"/>
      <name val="Verdana"/>
      <family val="2"/>
    </font>
    <font>
      <b/>
      <sz val="8"/>
      <color rgb="FF00CC00"/>
      <name val="Verdana"/>
      <family val="2"/>
    </font>
    <font>
      <b/>
      <sz val="8"/>
      <color rgb="FF33CC33"/>
      <name val="Verdana"/>
      <family val="2"/>
    </font>
    <font>
      <b/>
      <sz val="8"/>
      <color rgb="FFFF9900"/>
      <name val="Verdana"/>
      <family val="2"/>
    </font>
    <font>
      <b/>
      <sz val="8"/>
      <color rgb="FFFF0000"/>
      <name val="Verdana"/>
      <family val="2"/>
    </font>
    <font>
      <b/>
      <sz val="8"/>
      <color indexed="9"/>
      <name val="Arial"/>
      <family val="2"/>
    </font>
    <font>
      <sz val="8"/>
      <color indexed="9"/>
      <name val="Arial"/>
      <family val="2"/>
    </font>
    <font>
      <u/>
      <sz val="8"/>
      <color theme="1"/>
      <name val="Arial"/>
      <family val="2"/>
    </font>
    <font>
      <sz val="10"/>
      <name val="Calibri"/>
      <family val="2"/>
    </font>
    <font>
      <b/>
      <sz val="8"/>
      <color indexed="8"/>
      <name val="Verdana"/>
      <family val="2"/>
    </font>
    <font>
      <sz val="1"/>
      <color indexed="9"/>
      <name val="Symbol"/>
      <family val="1"/>
      <charset val="2"/>
    </font>
    <font>
      <b/>
      <u val="singleAccounting"/>
      <sz val="8"/>
      <color indexed="8"/>
      <name val="Verdana"/>
      <family val="2"/>
    </font>
    <font>
      <b/>
      <sz val="12"/>
      <color indexed="8"/>
      <name val="Verdana"/>
      <family val="2"/>
    </font>
    <font>
      <b/>
      <sz val="8"/>
      <color indexed="9"/>
      <name val="Verdana"/>
      <family val="2"/>
    </font>
    <font>
      <vertAlign val="subscript"/>
      <sz val="8"/>
      <color indexed="8"/>
      <name val="Arial"/>
      <family val="2"/>
    </font>
    <font>
      <vertAlign val="superscript"/>
      <sz val="8"/>
      <color indexed="8"/>
      <name val="Arial"/>
      <family val="2"/>
    </font>
    <font>
      <b/>
      <sz val="13"/>
      <color indexed="8"/>
      <name val="Verdana"/>
      <family val="2"/>
    </font>
    <font>
      <b/>
      <sz val="8"/>
      <color rgb="FF0000FF"/>
      <name val="Arial"/>
      <family val="2"/>
    </font>
    <font>
      <sz val="8"/>
      <color theme="3" tint="0.39997558519241921"/>
      <name val="Arial"/>
      <family val="2"/>
    </font>
    <font>
      <b/>
      <sz val="22"/>
      <color indexed="18"/>
      <name val="Arial"/>
      <family val="2"/>
    </font>
    <font>
      <b/>
      <sz val="14"/>
      <color indexed="18"/>
      <name val="Arial"/>
      <family val="2"/>
    </font>
    <font>
      <sz val="9"/>
      <color indexed="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8"/>
      <name val="Times New Roman"/>
      <family val="1"/>
    </font>
    <font>
      <strike/>
      <sz val="8"/>
      <name val="Arial"/>
      <family val="2"/>
    </font>
    <font>
      <b/>
      <sz val="8"/>
      <name val="Times New Roman"/>
      <family val="1"/>
    </font>
    <font>
      <b/>
      <sz val="12"/>
      <name val="Palatino"/>
      <family val="1"/>
    </font>
    <font>
      <sz val="10"/>
      <name val="Univers (WN)"/>
    </font>
    <font>
      <sz val="10"/>
      <color indexed="18"/>
      <name val="Times New Roman"/>
      <family val="1"/>
    </font>
    <font>
      <sz val="8"/>
      <color indexed="17"/>
      <name val="Times New Roman"/>
      <family val="1"/>
    </font>
    <font>
      <u val="singleAccounting"/>
      <sz val="10"/>
      <name val="Times New Roman"/>
      <family val="1"/>
    </font>
    <font>
      <sz val="10"/>
      <name val="Univers (E1)"/>
    </font>
    <font>
      <sz val="10"/>
      <color indexed="24"/>
      <name val="Arial"/>
      <family val="2"/>
    </font>
    <font>
      <b/>
      <sz val="13"/>
      <name val="Arial"/>
      <family val="2"/>
    </font>
    <font>
      <b/>
      <sz val="11"/>
      <name val="Times New Roman"/>
      <family val="1"/>
    </font>
    <font>
      <sz val="10"/>
      <name val="MS Serif"/>
      <family val="1"/>
    </font>
    <font>
      <sz val="8"/>
      <color indexed="16"/>
      <name val="Palatino"/>
      <family val="1"/>
    </font>
    <font>
      <sz val="8"/>
      <name val="Helv"/>
    </font>
    <font>
      <sz val="8"/>
      <color indexed="18"/>
      <name val="Times New Roman"/>
      <family val="1"/>
    </font>
    <font>
      <sz val="10"/>
      <name val="Geneva"/>
    </font>
    <font>
      <u/>
      <sz val="8"/>
      <color indexed="12"/>
      <name val="Times New Roman"/>
      <family val="1"/>
    </font>
    <font>
      <sz val="12"/>
      <color indexed="9"/>
      <name val="Helvetica"/>
      <family val="2"/>
    </font>
    <font>
      <sz val="10"/>
      <color indexed="16"/>
      <name val="MS Serif"/>
      <family val="1"/>
    </font>
    <font>
      <sz val="8"/>
      <name val="Univers (WN)"/>
    </font>
    <font>
      <b/>
      <sz val="7"/>
      <color indexed="12"/>
      <name val="Arial"/>
      <family val="2"/>
    </font>
    <font>
      <sz val="9"/>
      <name val="Bembo (DFS)"/>
    </font>
    <font>
      <b/>
      <sz val="16"/>
      <name val="Times New Roman"/>
      <family val="1"/>
    </font>
    <font>
      <b/>
      <sz val="8"/>
      <name val="MS Sans Serif"/>
      <family val="2"/>
    </font>
    <font>
      <b/>
      <i/>
      <sz val="8"/>
      <name val="Times New Roman"/>
      <family val="1"/>
    </font>
    <font>
      <sz val="8"/>
      <color indexed="10"/>
      <name val="Helv"/>
    </font>
    <font>
      <sz val="10"/>
      <color indexed="16"/>
      <name val="MS Sans Serif"/>
      <family val="2"/>
    </font>
    <font>
      <sz val="14"/>
      <name val="Helv"/>
    </font>
    <font>
      <sz val="12"/>
      <color indexed="12"/>
      <name val="Times New Roman"/>
      <family val="1"/>
    </font>
    <font>
      <sz val="8"/>
      <name val="Helvetica"/>
      <family val="2"/>
    </font>
    <font>
      <sz val="7"/>
      <color indexed="12"/>
      <name val="Arial"/>
      <family val="2"/>
    </font>
    <font>
      <sz val="8"/>
      <color indexed="8"/>
      <name val="Times New Roman"/>
      <family val="1"/>
    </font>
    <font>
      <sz val="11"/>
      <name val="Times New Roman"/>
      <family val="1"/>
    </font>
    <font>
      <b/>
      <sz val="26"/>
      <name val="Times New Roman"/>
      <family val="1"/>
    </font>
    <font>
      <u val="singleAccounting"/>
      <sz val="11"/>
      <name val="Times New Roman"/>
      <family val="1"/>
    </font>
    <font>
      <sz val="12"/>
      <name val="Helv"/>
      <family val="2"/>
    </font>
    <font>
      <b/>
      <sz val="10"/>
      <name val="MS Sans Serif"/>
      <family val="2"/>
    </font>
    <font>
      <sz val="8"/>
      <name val="Wingdings"/>
      <charset val="2"/>
    </font>
    <font>
      <sz val="8"/>
      <name val="MS Sans Serif"/>
      <family val="2"/>
    </font>
    <font>
      <b/>
      <sz val="12"/>
      <name val="Courier"/>
      <family val="3"/>
    </font>
    <font>
      <b/>
      <sz val="16"/>
      <name val="Arial"/>
      <family val="2"/>
    </font>
    <font>
      <sz val="7"/>
      <name val="Arial"/>
      <family val="2"/>
    </font>
    <font>
      <i/>
      <sz val="10"/>
      <color indexed="8"/>
      <name val="Arial"/>
      <family val="2"/>
    </font>
    <font>
      <b/>
      <sz val="12"/>
      <color indexed="8"/>
      <name val="Times New Roman"/>
      <family val="1"/>
    </font>
    <font>
      <b/>
      <i/>
      <u/>
      <sz val="12"/>
      <color indexed="8"/>
      <name val="Times New Roman"/>
      <family val="1"/>
    </font>
    <font>
      <b/>
      <i/>
      <sz val="12"/>
      <color indexed="8"/>
      <name val="Arial"/>
      <family val="2"/>
    </font>
    <font>
      <sz val="12"/>
      <color indexed="8"/>
      <name val="HLV"/>
    </font>
    <font>
      <b/>
      <sz val="8"/>
      <color indexed="8"/>
      <name val="Helv"/>
    </font>
    <font>
      <b/>
      <sz val="12"/>
      <name val="Univers (WN)"/>
    </font>
    <font>
      <b/>
      <sz val="20"/>
      <name val="Univers (WN)"/>
    </font>
    <font>
      <b/>
      <sz val="18"/>
      <name val="Univers (WN)"/>
    </font>
    <font>
      <sz val="8.5"/>
      <name val="Arial Narrow"/>
      <family val="2"/>
    </font>
    <font>
      <b/>
      <sz val="9"/>
      <name val="Arial"/>
      <family val="2"/>
    </font>
    <font>
      <sz val="8"/>
      <name val="Helvetica-Narrow"/>
      <family val="2"/>
    </font>
    <font>
      <b/>
      <sz val="7"/>
      <name val="Helvetica-Narrow"/>
      <family val="2"/>
    </font>
    <font>
      <b/>
      <sz val="10"/>
      <color indexed="10"/>
      <name val="Arial"/>
      <family val="2"/>
    </font>
    <font>
      <sz val="11"/>
      <name val="Arial"/>
      <family val="2"/>
    </font>
    <font>
      <u/>
      <sz val="8"/>
      <name val="Times New Roman"/>
      <family val="1"/>
    </font>
    <font>
      <b/>
      <sz val="8"/>
      <name val="Helv"/>
    </font>
    <font>
      <b/>
      <i/>
      <sz val="24"/>
      <name val="Arial"/>
      <family val="2"/>
    </font>
    <font>
      <b/>
      <u/>
      <sz val="8"/>
      <name val="Times New Roman"/>
      <family val="1"/>
    </font>
    <font>
      <b/>
      <u val="singleAccounting"/>
      <sz val="11"/>
      <name val="Times New Roman"/>
      <family val="1"/>
    </font>
    <font>
      <u/>
      <sz val="11"/>
      <name val="Times New Roman"/>
      <family val="1"/>
    </font>
    <font>
      <sz val="11"/>
      <name val="돋움"/>
      <family val="3"/>
      <charset val="129"/>
    </font>
    <font>
      <b/>
      <sz val="8"/>
      <color rgb="FF008000"/>
      <name val="Arial"/>
      <family val="2"/>
    </font>
    <font>
      <sz val="8"/>
      <name val="Tms Rmn"/>
      <family val="1"/>
    </font>
    <font>
      <sz val="10"/>
      <name val="GS TheSans"/>
      <family val="2"/>
    </font>
    <font>
      <sz val="8"/>
      <name val="Tahoma"/>
      <family val="2"/>
    </font>
    <font>
      <sz val="11"/>
      <name val="‚l‚r ƒSƒVƒbƒN"/>
      <family val="3"/>
      <charset val="128"/>
    </font>
    <font>
      <b/>
      <sz val="10"/>
      <name val="Helv"/>
      <family val="2"/>
    </font>
    <font>
      <sz val="12"/>
      <name val="Arial MT"/>
      <family val="2"/>
    </font>
    <font>
      <b/>
      <sz val="10"/>
      <color indexed="17"/>
      <name val="MS Sans Serif"/>
      <family val="2"/>
    </font>
    <font>
      <sz val="8"/>
      <color theme="0"/>
      <name val="Arial"/>
      <family val="2"/>
    </font>
    <font>
      <b/>
      <u/>
      <sz val="8"/>
      <color indexed="8"/>
      <name val="Arial"/>
      <family val="2"/>
    </font>
    <font>
      <sz val="9"/>
      <color indexed="12"/>
      <name val="Times New Roman"/>
      <family val="1"/>
    </font>
    <font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2"/>
      <name val="Tms Rmn"/>
    </font>
    <font>
      <sz val="8"/>
      <color indexed="13"/>
      <name val="Arial"/>
      <family val="2"/>
    </font>
    <font>
      <sz val="9"/>
      <color indexed="9"/>
      <name val="Times New Roman"/>
      <family val="1"/>
    </font>
    <font>
      <sz val="8"/>
      <color indexed="12"/>
      <name val="Tms Rmn"/>
      <family val="1"/>
    </font>
    <font>
      <b/>
      <i/>
      <sz val="8"/>
      <name val="Arial"/>
      <family val="2"/>
    </font>
    <font>
      <b/>
      <sz val="10"/>
      <name val="Bookman"/>
      <family val="1"/>
    </font>
    <font>
      <sz val="9"/>
      <name val="Arial"/>
      <family val="2"/>
    </font>
    <font>
      <sz val="10"/>
      <color indexed="48"/>
      <name val="Times New Roman"/>
      <family val="1"/>
    </font>
    <font>
      <i/>
      <sz val="9"/>
      <name val="MS Sans Serif"/>
      <family val="2"/>
    </font>
    <font>
      <b/>
      <sz val="14"/>
      <name val="Book Antiqua"/>
      <family val="1"/>
    </font>
    <font>
      <sz val="14"/>
      <color indexed="32"/>
      <name val="Times New Roman"/>
      <family val="1"/>
    </font>
    <font>
      <b/>
      <sz val="8.5"/>
      <color indexed="17"/>
      <name val="Arial"/>
      <family val="2"/>
    </font>
    <font>
      <b/>
      <sz val="7"/>
      <color indexed="17"/>
      <name val="Arial"/>
      <family val="2"/>
    </font>
    <font>
      <sz val="8.5"/>
      <color indexed="8"/>
      <name val="Arial"/>
      <family val="2"/>
    </font>
    <font>
      <sz val="9"/>
      <name val="Futura UBS Bk"/>
      <family val="2"/>
    </font>
    <font>
      <sz val="10"/>
      <color indexed="17"/>
      <name val="Arial"/>
      <family val="2"/>
    </font>
    <font>
      <i/>
      <sz val="10"/>
      <color indexed="58"/>
      <name val="Times New Roman"/>
      <family val="1"/>
    </font>
    <font>
      <sz val="10"/>
      <name val="GillSans Light"/>
      <family val="2"/>
    </font>
    <font>
      <sz val="8"/>
      <name val="Book Antiqua"/>
      <family val="1"/>
    </font>
    <font>
      <i/>
      <sz val="7"/>
      <name val="Book Antiqua"/>
      <family val="1"/>
    </font>
    <font>
      <b/>
      <i/>
      <sz val="16"/>
      <name val="Helv"/>
      <family val="2"/>
    </font>
    <font>
      <sz val="8"/>
      <name val="Helv"/>
      <family val="2"/>
    </font>
    <font>
      <sz val="9"/>
      <color theme="1"/>
      <name val="Times New Roman"/>
      <family val="2"/>
    </font>
    <font>
      <sz val="10"/>
      <color indexed="72"/>
      <name val="System"/>
      <family val="2"/>
    </font>
    <font>
      <b/>
      <sz val="13.5"/>
      <name val="MS Sans Serif"/>
      <family val="2"/>
    </font>
    <font>
      <sz val="9"/>
      <name val="Times New Roman"/>
      <family val="1"/>
    </font>
    <font>
      <sz val="10"/>
      <name val="Geneva"/>
      <family val="2"/>
    </font>
    <font>
      <sz val="8"/>
      <color indexed="32"/>
      <name val="Arial"/>
      <family val="2"/>
    </font>
    <font>
      <sz val="8"/>
      <color indexed="12"/>
      <name val="Helvetica"/>
      <family val="2"/>
    </font>
    <font>
      <sz val="12"/>
      <name val="Helvetica"/>
      <family val="2"/>
    </font>
    <font>
      <b/>
      <sz val="14"/>
      <name val="Bookman"/>
      <family val="1"/>
    </font>
    <font>
      <i/>
      <sz val="8"/>
      <name val="Times New Roman"/>
      <family val="1"/>
    </font>
    <font>
      <b/>
      <sz val="8"/>
      <name val="HelveticaNeue Condensed"/>
    </font>
    <font>
      <sz val="8"/>
      <name val="HelveticaNeue LightCond"/>
      <family val="2"/>
    </font>
    <font>
      <b/>
      <sz val="7"/>
      <name val="HelveticaNeue Condensed"/>
      <family val="2"/>
    </font>
    <font>
      <b/>
      <sz val="9"/>
      <name val="Times New Roman"/>
      <family val="1"/>
    </font>
    <font>
      <b/>
      <sz val="8.5"/>
      <color indexed="8"/>
      <name val="Arial"/>
      <family val="2"/>
    </font>
    <font>
      <b/>
      <u/>
      <sz val="9"/>
      <name val="Arial"/>
      <family val="2"/>
    </font>
    <font>
      <b/>
      <u/>
      <sz val="14"/>
      <name val="Book Antiqua"/>
      <family val="1"/>
    </font>
    <font>
      <b/>
      <sz val="11"/>
      <color indexed="9"/>
      <name val="GillSans"/>
      <family val="2"/>
    </font>
    <font>
      <b/>
      <sz val="11"/>
      <name val="GillSans"/>
      <family val="2"/>
    </font>
    <font>
      <b/>
      <sz val="7"/>
      <name val="Arial"/>
      <family val="2"/>
    </font>
    <font>
      <u/>
      <sz val="8"/>
      <name val="Tms Rmn"/>
      <family val="1"/>
    </font>
    <font>
      <sz val="8"/>
      <color indexed="16"/>
      <name val="Helv"/>
      <family val="2"/>
    </font>
    <font>
      <sz val="8"/>
      <color rgb="FF1B1B1B"/>
      <name val="Arial"/>
      <family val="2"/>
    </font>
    <font>
      <b/>
      <sz val="8"/>
      <color rgb="FF1B1B1B"/>
      <name val="Arial"/>
      <family val="2"/>
    </font>
    <font>
      <u/>
      <sz val="8"/>
      <color rgb="FF1B1B1B"/>
      <name val="Arial"/>
      <family val="2"/>
    </font>
    <font>
      <sz val="8"/>
      <color theme="4"/>
      <name val="Arial"/>
      <family val="2"/>
    </font>
    <font>
      <i/>
      <u/>
      <sz val="8"/>
      <color theme="1"/>
      <name val="Arial"/>
      <family val="2"/>
    </font>
    <font>
      <b/>
      <sz val="10"/>
      <color rgb="FF0000FF"/>
      <name val="Arial"/>
      <family val="2"/>
    </font>
    <font>
      <i/>
      <sz val="11"/>
      <name val="Arial"/>
      <family val="2"/>
    </font>
    <font>
      <u/>
      <sz val="8"/>
      <color indexed="12"/>
      <name val="Arial"/>
      <family val="2"/>
    </font>
    <font>
      <sz val="8"/>
      <color indexed="8"/>
      <name val="Arial"/>
    </font>
    <font>
      <i/>
      <sz val="8"/>
      <color indexed="17"/>
      <name val="Arial"/>
      <family val="2"/>
    </font>
    <font>
      <u/>
      <sz val="8"/>
      <color rgb="FF0000FF"/>
      <name val="Arial"/>
      <family val="2"/>
    </font>
    <font>
      <sz val="10"/>
      <color theme="1"/>
      <name val="Arial"/>
      <family val="2"/>
    </font>
    <font>
      <b/>
      <u/>
      <sz val="24"/>
      <name val="Arial"/>
      <family val="2"/>
    </font>
    <font>
      <b/>
      <u/>
      <sz val="50"/>
      <name val="Arial"/>
      <family val="2"/>
    </font>
    <font>
      <sz val="10"/>
      <name val="GillSans"/>
      <family val="2"/>
    </font>
    <font>
      <sz val="8"/>
      <color rgb="FF00B050"/>
      <name val="Arial"/>
      <family val="2"/>
    </font>
    <font>
      <sz val="10"/>
      <color rgb="FF0000FF"/>
      <name val="Arial"/>
      <family val="2"/>
    </font>
  </fonts>
  <fills count="10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11"/>
        <bgColor indexed="11"/>
      </patternFill>
    </fill>
    <fill>
      <patternFill patternType="solid">
        <fgColor indexed="22"/>
      </patternFill>
    </fill>
    <fill>
      <patternFill patternType="lightGray">
        <fgColor indexed="15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33"/>
        <bgColor indexed="33"/>
      </patternFill>
    </fill>
    <fill>
      <patternFill patternType="solid">
        <fgColor indexed="1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7"/>
      </patternFill>
    </fill>
    <fill>
      <patternFill patternType="solid">
        <fgColor indexed="31"/>
        <bgColor indexed="64"/>
      </patternFill>
    </fill>
    <fill>
      <patternFill patternType="solid">
        <fgColor indexed="50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3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0"/>
      </patternFill>
    </fill>
    <fill>
      <patternFill patternType="solid">
        <fgColor indexed="23"/>
        <bgColor indexed="8"/>
      </patternFill>
    </fill>
    <fill>
      <patternFill patternType="gray0625">
        <fgColor indexed="11"/>
        <bgColor indexed="9"/>
      </patternFill>
    </fill>
    <fill>
      <patternFill patternType="solid">
        <fgColor indexed="21"/>
        <bgColor indexed="8"/>
      </patternFill>
    </fill>
    <fill>
      <patternFill patternType="solid">
        <fgColor indexed="15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DBE5F1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C6F9C1"/>
        <bgColor rgb="FF000000"/>
      </patternFill>
    </fill>
    <fill>
      <patternFill patternType="solid">
        <fgColor rgb="FFABEDA5"/>
        <bgColor rgb="FF000000"/>
      </patternFill>
    </fill>
    <fill>
      <patternFill patternType="solid">
        <fgColor rgb="FF94D88F"/>
        <bgColor rgb="FF000000"/>
      </patternFill>
    </fill>
    <fill>
      <patternFill patternType="solid">
        <fgColor rgb="FFFFFDBF"/>
        <bgColor rgb="FF000000"/>
      </patternFill>
    </fill>
    <fill>
      <patternFill patternType="solid">
        <fgColor rgb="FFFFFB8C"/>
        <bgColor rgb="FF000000"/>
      </patternFill>
    </fill>
    <fill>
      <patternFill patternType="solid">
        <fgColor rgb="FFFFF843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988C"/>
        <bgColor rgb="FF000000"/>
      </patternFill>
    </fill>
    <fill>
      <patternFill patternType="solid">
        <fgColor rgb="FFFF6758"/>
        <bgColor rgb="FF000000"/>
      </patternFill>
    </fill>
    <fill>
      <patternFill patternType="solid">
        <fgColor rgb="FFB7CFE8"/>
        <bgColor rgb="FF000000"/>
      </patternFill>
    </fill>
    <fill>
      <patternFill patternType="solid">
        <fgColor rgb="FFC3D6EB"/>
        <bgColor rgb="FF000000"/>
      </patternFill>
    </fill>
    <fill>
      <patternFill patternType="solid">
        <fgColor rgb="FFDBE5F2"/>
        <bgColor rgb="FF000000"/>
      </patternFill>
    </fill>
    <fill>
      <patternFill patternType="solid">
        <fgColor rgb="FFE9EFF7"/>
        <bgColor rgb="FF000000"/>
      </patternFill>
    </fill>
    <fill>
      <patternFill patternType="solid">
        <fgColor rgb="FFF1F5FB"/>
        <bgColor rgb="FF000000"/>
      </patternFill>
    </fill>
    <fill>
      <patternFill patternType="solid">
        <fgColor rgb="FFDBE5F1"/>
        <bgColor rgb="FFFFFFFF"/>
      </patternFill>
    </fill>
    <fill>
      <patternFill patternType="solid">
        <fgColor indexed="5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2"/>
      </patternFill>
    </fill>
    <fill>
      <patternFill patternType="darkUp"/>
    </fill>
    <fill>
      <patternFill patternType="mediumGray">
        <fgColor indexed="22"/>
      </patternFill>
    </fill>
    <fill>
      <patternFill patternType="darkVertical"/>
    </fill>
    <fill>
      <patternFill patternType="solid">
        <fgColor indexed="42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11"/>
        <bgColor indexed="64"/>
      </patternFill>
    </fill>
    <fill>
      <patternFill patternType="gray0625">
        <fgColor indexed="10"/>
        <bgColor indexed="9"/>
      </patternFill>
    </fill>
    <fill>
      <patternFill patternType="solid">
        <fgColor indexed="32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indexed="18"/>
        <bgColor indexed="64"/>
      </patternFill>
    </fill>
    <fill>
      <patternFill patternType="lightGray">
        <fgColor indexed="14"/>
        <bgColor indexed="9"/>
      </patternFill>
    </fill>
    <fill>
      <patternFill patternType="lightGray">
        <fgColor indexed="12"/>
        <bgColor indexed="9"/>
      </patternFill>
    </fill>
    <fill>
      <patternFill patternType="solid">
        <fgColor indexed="11"/>
        <bgColor indexed="9"/>
      </patternFill>
    </fill>
    <fill>
      <patternFill patternType="lightGray">
        <fgColor indexed="22"/>
        <bgColor indexed="9"/>
      </patternFill>
    </fill>
    <fill>
      <patternFill patternType="mediumGray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CC"/>
        <bgColor indexed="64"/>
      </patternFill>
    </fill>
  </fills>
  <borders count="97">
    <border>
      <left/>
      <right/>
      <top/>
      <bottom/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hair">
        <color auto="1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thin">
        <color indexed="25"/>
      </top>
      <bottom style="thin">
        <color indexed="25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tted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3" tint="-0.24994659260841701"/>
      </left>
      <right style="thin">
        <color theme="3" tint="-0.24994659260841701"/>
      </right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C0C0C0"/>
      </left>
      <right style="hair">
        <color rgb="FFC0C0C0"/>
      </right>
      <top style="thin">
        <color rgb="FF808080"/>
      </top>
      <bottom style="thin">
        <color rgb="FF808080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/>
      <bottom style="medium">
        <color indexed="1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/>
      <bottom style="thin">
        <color indexed="44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8"/>
      </left>
      <right/>
      <top/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auto="1"/>
      </bottom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thick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9"/>
      </left>
      <right/>
      <top style="thin">
        <color indexed="9"/>
      </top>
      <bottom style="thin">
        <color indexed="23"/>
      </bottom>
      <diagonal/>
    </border>
    <border>
      <left style="thin">
        <color indexed="23"/>
      </left>
      <right style="dashed">
        <color indexed="9"/>
      </right>
      <top/>
      <bottom style="dashed">
        <color indexed="9"/>
      </bottom>
      <diagonal/>
    </border>
    <border>
      <left/>
      <right/>
      <top/>
      <bottom style="thin">
        <color indexed="8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auto="1"/>
      </top>
      <bottom style="medium">
        <color indexed="64"/>
      </bottom>
      <diagonal/>
    </border>
    <border>
      <left/>
      <right/>
      <top style="hair">
        <color auto="1"/>
      </top>
      <bottom style="medium">
        <color indexed="64"/>
      </bottom>
      <diagonal/>
    </border>
    <border>
      <left/>
      <right style="hair">
        <color indexed="64"/>
      </right>
      <top style="hair">
        <color auto="1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1558">
    <xf numFmtId="0" fontId="0" fillId="0" borderId="0"/>
    <xf numFmtId="0" fontId="7" fillId="0" borderId="0"/>
    <xf numFmtId="0" fontId="7" fillId="0" borderId="0">
      <alignment horizontal="right"/>
    </xf>
    <xf numFmtId="0" fontId="9" fillId="0" borderId="0" applyNumberFormat="0" applyFill="0" applyBorder="0" applyAlignment="0" applyProtection="0"/>
    <xf numFmtId="0" fontId="10" fillId="0" borderId="0">
      <alignment vertical="top"/>
    </xf>
    <xf numFmtId="0" fontId="11" fillId="0" borderId="3">
      <alignment horizontal="centerContinuous"/>
    </xf>
    <xf numFmtId="0" fontId="23" fillId="0" borderId="0"/>
    <xf numFmtId="44" fontId="24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44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69" fontId="26" fillId="0" borderId="0"/>
    <xf numFmtId="169" fontId="7" fillId="0" borderId="0"/>
    <xf numFmtId="0" fontId="27" fillId="0" borderId="0" applyFill="0" applyBorder="0">
      <alignment horizontal="left" vertical="top" wrapText="1"/>
    </xf>
    <xf numFmtId="169" fontId="28" fillId="0" borderId="0"/>
    <xf numFmtId="170" fontId="27" fillId="0" borderId="10" applyFill="0" applyBorder="0" applyProtection="0">
      <alignment horizontal="right" vertical="top"/>
    </xf>
    <xf numFmtId="169" fontId="29" fillId="0" borderId="10">
      <alignment horizontal="left"/>
    </xf>
    <xf numFmtId="169" fontId="30" fillId="0" borderId="10">
      <alignment horizontal="center"/>
    </xf>
    <xf numFmtId="0" fontId="31" fillId="0" borderId="10">
      <alignment horizontal="right" wrapText="1"/>
    </xf>
    <xf numFmtId="169" fontId="27" fillId="0" borderId="0">
      <alignment horizontal="center"/>
    </xf>
    <xf numFmtId="171" fontId="27" fillId="0" borderId="0" applyFill="0" applyBorder="0">
      <alignment horizontal="right" vertical="top"/>
    </xf>
    <xf numFmtId="172" fontId="27" fillId="0" borderId="0" applyFill="0" applyBorder="0">
      <alignment horizontal="right" vertical="top"/>
    </xf>
    <xf numFmtId="49" fontId="27" fillId="0" borderId="0" applyNumberFormat="0" applyFill="0" applyBorder="0" applyProtection="0">
      <alignment horizontal="center" vertical="top"/>
    </xf>
    <xf numFmtId="169" fontId="32" fillId="0" borderId="0">
      <alignment horizontal="left" vertical="top"/>
    </xf>
    <xf numFmtId="173" fontId="26" fillId="0" borderId="0"/>
    <xf numFmtId="0" fontId="23" fillId="0" borderId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41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0" fontId="43" fillId="0" borderId="0" applyFont="0" applyFill="0" applyBorder="0" applyAlignment="0"/>
    <xf numFmtId="0" fontId="44" fillId="0" borderId="0"/>
    <xf numFmtId="0" fontId="45" fillId="0" borderId="0"/>
    <xf numFmtId="0" fontId="46" fillId="0" borderId="0" applyFont="0" applyFill="0" applyBorder="0" applyAlignment="0" applyProtection="0">
      <alignment vertical="center"/>
    </xf>
    <xf numFmtId="0" fontId="46" fillId="0" borderId="0" applyFont="0" applyFill="0" applyBorder="0" applyAlignment="0" applyProtection="0">
      <alignment vertical="center"/>
    </xf>
    <xf numFmtId="0" fontId="46" fillId="0" borderId="0" applyFont="0" applyFill="0" applyBorder="0" applyAlignment="0" applyProtection="0">
      <alignment vertical="center"/>
    </xf>
    <xf numFmtId="0" fontId="46" fillId="0" borderId="0" applyFont="0" applyFill="0" applyBorder="0" applyAlignment="0" applyProtection="0">
      <alignment vertical="center"/>
    </xf>
    <xf numFmtId="0" fontId="46" fillId="0" borderId="0" applyFont="0" applyFill="0" applyBorder="0" applyAlignment="0" applyProtection="0">
      <alignment vertical="center"/>
    </xf>
    <xf numFmtId="0" fontId="44" fillId="0" borderId="0"/>
    <xf numFmtId="0" fontId="47" fillId="0" borderId="0"/>
    <xf numFmtId="0" fontId="45" fillId="0" borderId="0"/>
    <xf numFmtId="0" fontId="46" fillId="0" borderId="0" applyFont="0" applyFill="0" applyBorder="0" applyAlignment="0" applyProtection="0">
      <alignment vertical="center"/>
    </xf>
    <xf numFmtId="0" fontId="46" fillId="0" borderId="0" applyFont="0" applyFill="0" applyBorder="0" applyAlignment="0" applyProtection="0">
      <alignment vertical="center"/>
    </xf>
    <xf numFmtId="0" fontId="46" fillId="0" borderId="0">
      <alignment vertical="center"/>
    </xf>
    <xf numFmtId="0" fontId="45" fillId="0" borderId="0"/>
    <xf numFmtId="0" fontId="7" fillId="0" borderId="0" applyNumberFormat="0" applyFill="0" applyBorder="0" applyAlignment="0" applyProtection="0"/>
    <xf numFmtId="173" fontId="7" fillId="0" borderId="0" applyNumberFormat="0" applyFill="0" applyBorder="0" applyAlignment="0" applyProtection="0"/>
    <xf numFmtId="173" fontId="7" fillId="0" borderId="0" applyNumberFormat="0" applyFill="0" applyBorder="0" applyAlignment="0" applyProtection="0"/>
    <xf numFmtId="0" fontId="45" fillId="0" borderId="0"/>
    <xf numFmtId="0" fontId="45" fillId="0" borderId="0"/>
    <xf numFmtId="0" fontId="47" fillId="0" borderId="0"/>
    <xf numFmtId="0" fontId="47" fillId="0" borderId="0"/>
    <xf numFmtId="0" fontId="47" fillId="0" borderId="0"/>
    <xf numFmtId="0" fontId="44" fillId="0" borderId="0"/>
    <xf numFmtId="0" fontId="44" fillId="0" borderId="0"/>
    <xf numFmtId="0" fontId="44" fillId="0" borderId="0"/>
    <xf numFmtId="0" fontId="47" fillId="0" borderId="0"/>
    <xf numFmtId="0" fontId="47" fillId="0" borderId="0"/>
    <xf numFmtId="0" fontId="46" fillId="0" borderId="0" applyFont="0" applyFill="0" applyBorder="0" applyAlignment="0" applyProtection="0">
      <alignment vertical="center"/>
    </xf>
    <xf numFmtId="0" fontId="46" fillId="0" borderId="0" applyFont="0" applyFill="0" applyBorder="0" applyAlignment="0" applyProtection="0">
      <alignment vertical="center"/>
    </xf>
    <xf numFmtId="0" fontId="46" fillId="0" borderId="0" applyFont="0" applyFill="0" applyBorder="0" applyAlignment="0" applyProtection="0">
      <alignment vertical="center"/>
    </xf>
    <xf numFmtId="0" fontId="46" fillId="0" borderId="0" applyFont="0" applyFill="0" applyBorder="0" applyAlignment="0" applyProtection="0">
      <alignment vertical="center"/>
    </xf>
    <xf numFmtId="0" fontId="46" fillId="0" borderId="0" applyFont="0" applyFill="0" applyBorder="0" applyAlignment="0" applyProtection="0">
      <alignment vertical="center"/>
    </xf>
    <xf numFmtId="0" fontId="46" fillId="0" borderId="0" applyFont="0" applyFill="0" applyBorder="0" applyAlignment="0" applyProtection="0">
      <alignment vertical="center"/>
    </xf>
    <xf numFmtId="0" fontId="44" fillId="0" borderId="0"/>
    <xf numFmtId="0" fontId="44" fillId="0" borderId="0"/>
    <xf numFmtId="0" fontId="47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174" fontId="48" fillId="0" borderId="0">
      <protection locked="0"/>
    </xf>
    <xf numFmtId="175" fontId="48" fillId="0" borderId="0">
      <protection locked="0"/>
    </xf>
    <xf numFmtId="176" fontId="48" fillId="0" borderId="0">
      <protection locked="0"/>
    </xf>
    <xf numFmtId="0" fontId="48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8" fillId="0" borderId="17">
      <protection locked="0"/>
    </xf>
    <xf numFmtId="177" fontId="50" fillId="3" borderId="18" applyBorder="0"/>
    <xf numFmtId="0" fontId="51" fillId="4" borderId="15" applyNumberFormat="0" applyFill="0" applyBorder="0" applyAlignment="0">
      <alignment horizontal="left"/>
    </xf>
    <xf numFmtId="0" fontId="42" fillId="4" borderId="0" applyNumberFormat="0" applyFill="0" applyBorder="0" applyAlignment="0"/>
    <xf numFmtId="0" fontId="52" fillId="5" borderId="15" applyNumberFormat="0" applyFill="0" applyBorder="0" applyAlignment="0">
      <alignment horizontal="left"/>
    </xf>
    <xf numFmtId="0" fontId="53" fillId="6" borderId="0" applyNumberFormat="0" applyFill="0" applyBorder="0" applyAlignment="0"/>
    <xf numFmtId="0" fontId="54" fillId="0" borderId="0" applyNumberFormat="0" applyFill="0" applyBorder="0" applyAlignment="0"/>
    <xf numFmtId="0" fontId="55" fillId="0" borderId="4" applyNumberFormat="0" applyFill="0" applyBorder="0" applyAlignment="0">
      <alignment horizontal="left"/>
    </xf>
    <xf numFmtId="0" fontId="56" fillId="7" borderId="16" applyNumberFormat="0" applyFill="0" applyBorder="0" applyAlignment="0">
      <alignment horizontal="centerContinuous"/>
    </xf>
    <xf numFmtId="0" fontId="57" fillId="0" borderId="0" applyNumberFormat="0" applyFill="0" applyBorder="0" applyAlignment="0"/>
    <xf numFmtId="0" fontId="57" fillId="8" borderId="11" applyNumberFormat="0" applyFill="0" applyBorder="0" applyAlignment="0"/>
    <xf numFmtId="0" fontId="58" fillId="0" borderId="4" applyNumberFormat="0" applyFill="0" applyBorder="0" applyAlignment="0"/>
    <xf numFmtId="0" fontId="57" fillId="0" borderId="0" applyNumberFormat="0" applyFill="0" applyBorder="0" applyAlignment="0"/>
    <xf numFmtId="0" fontId="24" fillId="9" borderId="0" applyNumberFormat="0" applyBorder="0" applyAlignment="0" applyProtection="0"/>
    <xf numFmtId="0" fontId="24" fillId="10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8" borderId="0" applyNumberFormat="0" applyBorder="0" applyAlignment="0" applyProtection="0"/>
    <xf numFmtId="0" fontId="59" fillId="19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59" fillId="22" borderId="0" applyNumberFormat="0" applyBorder="0" applyAlignment="0" applyProtection="0"/>
    <xf numFmtId="0" fontId="60" fillId="0" borderId="0">
      <alignment horizontal="right"/>
    </xf>
    <xf numFmtId="42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2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166" fontId="7" fillId="0" borderId="0" applyFont="0" applyFill="0" applyBorder="0" applyProtection="0"/>
    <xf numFmtId="178" fontId="61" fillId="0" borderId="0" applyFont="0" applyFill="0" applyBorder="0" applyAlignment="0" applyProtection="0"/>
    <xf numFmtId="179" fontId="61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0" fontId="7" fillId="0" borderId="0"/>
    <xf numFmtId="173" fontId="7" fillId="0" borderId="0"/>
    <xf numFmtId="173" fontId="7" fillId="0" borderId="0"/>
    <xf numFmtId="0" fontId="7" fillId="0" borderId="0" applyNumberFormat="0" applyFill="0" applyBorder="0" applyAlignment="0" applyProtection="0"/>
    <xf numFmtId="173" fontId="7" fillId="0" borderId="0" applyNumberFormat="0" applyFill="0" applyBorder="0" applyAlignment="0" applyProtection="0"/>
    <xf numFmtId="173" fontId="7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73" fontId="26" fillId="0" borderId="0" applyNumberFormat="0" applyFill="0" applyBorder="0" applyAlignment="0" applyProtection="0"/>
    <xf numFmtId="173" fontId="26" fillId="0" borderId="0" applyNumberFormat="0" applyFill="0" applyBorder="0" applyAlignment="0" applyProtection="0"/>
    <xf numFmtId="0" fontId="46" fillId="23" borderId="0"/>
    <xf numFmtId="0" fontId="63" fillId="23" borderId="0"/>
    <xf numFmtId="0" fontId="64" fillId="0" borderId="0" applyNumberFormat="0" applyFill="0" applyBorder="0" applyAlignment="0" applyProtection="0"/>
    <xf numFmtId="38" fontId="65" fillId="0" borderId="0" applyNumberFormat="0" applyFill="0" applyBorder="0" applyAlignment="0" applyProtection="0">
      <alignment horizontal="right"/>
      <protection locked="0"/>
    </xf>
    <xf numFmtId="0" fontId="66" fillId="0" borderId="0" applyNumberFormat="0" applyFill="0" applyBorder="0" applyAlignment="0" applyProtection="0"/>
    <xf numFmtId="180" fontId="67" fillId="0" borderId="0" applyFont="0" applyFill="0" applyBorder="0" applyAlignment="0" applyProtection="0"/>
    <xf numFmtId="180" fontId="67" fillId="0" borderId="0" applyFont="0" applyFill="0" applyBorder="0" applyAlignment="0" applyProtection="0"/>
    <xf numFmtId="180" fontId="67" fillId="0" borderId="0" applyFont="0" applyFill="0" applyBorder="0" applyAlignment="0" applyProtection="0"/>
    <xf numFmtId="0" fontId="68" fillId="0" borderId="0"/>
    <xf numFmtId="0" fontId="69" fillId="0" borderId="0" applyFill="0" applyBorder="0" applyAlignment="0"/>
    <xf numFmtId="0" fontId="70" fillId="24" borderId="19" applyNumberFormat="0" applyAlignment="0" applyProtection="0"/>
    <xf numFmtId="181" fontId="71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25" borderId="0" applyNumberFormat="0" applyFont="0" applyBorder="0" applyAlignment="0"/>
    <xf numFmtId="0" fontId="72" fillId="0" borderId="20" applyNumberFormat="0" applyFill="0" applyAlignment="0" applyProtection="0"/>
    <xf numFmtId="0" fontId="73" fillId="26" borderId="21" applyNumberFormat="0" applyAlignment="0" applyProtection="0"/>
    <xf numFmtId="0" fontId="74" fillId="0" borderId="11" applyNumberFormat="0" applyFont="0" applyFill="0" applyProtection="0">
      <alignment horizontal="centerContinuous" vertical="center"/>
    </xf>
    <xf numFmtId="182" fontId="7" fillId="0" borderId="0" applyFont="0" applyFill="0" applyBorder="0" applyAlignment="0" applyProtection="0"/>
    <xf numFmtId="182" fontId="7" fillId="0" borderId="0" applyFont="0" applyFill="0" applyBorder="0" applyAlignment="0" applyProtection="0"/>
    <xf numFmtId="182" fontId="7" fillId="0" borderId="0" applyFont="0" applyFill="0" applyBorder="0" applyAlignment="0" applyProtection="0"/>
    <xf numFmtId="181" fontId="75" fillId="0" borderId="0" applyFont="0" applyFill="0" applyBorder="0" applyAlignment="0" applyProtection="0"/>
    <xf numFmtId="183" fontId="75" fillId="0" borderId="0" applyFont="0" applyFill="0" applyBorder="0" applyAlignment="0" applyProtection="0"/>
    <xf numFmtId="0" fontId="59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59" fillId="30" borderId="0" applyNumberFormat="0" applyBorder="0" applyAlignment="0" applyProtection="0"/>
    <xf numFmtId="0" fontId="74" fillId="0" borderId="0" applyNumberFormat="0" applyFill="0" applyBorder="0" applyProtection="0">
      <alignment horizontal="center" vertical="center"/>
    </xf>
    <xf numFmtId="0" fontId="12" fillId="0" borderId="12">
      <alignment horizontal="center"/>
    </xf>
    <xf numFmtId="41" fontId="2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7" fillId="0" borderId="0" applyFont="0" applyFill="0" applyBorder="0" applyAlignment="0" applyProtection="0">
      <alignment horizontal="right"/>
    </xf>
    <xf numFmtId="0" fontId="7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3" fillId="0" borderId="0" applyFont="0" applyFill="0" applyBorder="0" applyAlignment="0" applyProtection="0"/>
    <xf numFmtId="3" fontId="79" fillId="0" borderId="0" applyFont="0" applyFill="0" applyBorder="0" applyAlignment="0" applyProtection="0"/>
    <xf numFmtId="184" fontId="43" fillId="0" borderId="0" applyFont="0" applyFill="0" applyBorder="0" applyAlignment="0" applyProtection="0"/>
    <xf numFmtId="0" fontId="77" fillId="0" borderId="0" applyFont="0" applyFill="0" applyBorder="0" applyAlignment="0" applyProtection="0">
      <alignment horizontal="right"/>
    </xf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185" fontId="79" fillId="0" borderId="0" applyFont="0" applyFill="0" applyBorder="0" applyAlignment="0" applyProtection="0"/>
    <xf numFmtId="0" fontId="46" fillId="31" borderId="0"/>
    <xf numFmtId="0" fontId="63" fillId="32" borderId="0"/>
    <xf numFmtId="186" fontId="7" fillId="0" borderId="0" applyFont="0" applyFill="0" applyBorder="0" applyAlignment="0" applyProtection="0"/>
    <xf numFmtId="186" fontId="7" fillId="0" borderId="0" applyFont="0" applyFill="0" applyBorder="0" applyAlignment="0" applyProtection="0"/>
    <xf numFmtId="186" fontId="7" fillId="0" borderId="0" applyFont="0" applyFill="0" applyBorder="0" applyAlignment="0" applyProtection="0"/>
    <xf numFmtId="0" fontId="77" fillId="0" borderId="0" applyFont="0" applyFill="0" applyBorder="0" applyAlignment="0" applyProtection="0"/>
    <xf numFmtId="186" fontId="7" fillId="0" borderId="0" applyFont="0" applyFill="0" applyBorder="0" applyAlignment="0" applyProtection="0"/>
    <xf numFmtId="38" fontId="10" fillId="0" borderId="0" applyFont="0" applyFill="0" applyBorder="0" applyAlignment="0" applyProtection="0"/>
    <xf numFmtId="187" fontId="80" fillId="33" borderId="0" applyNumberFormat="0" applyBorder="0" applyAlignment="0" applyProtection="0"/>
    <xf numFmtId="188" fontId="43" fillId="0" borderId="0" applyFont="0" applyFill="0" applyBorder="0" applyAlignment="0" applyProtection="0"/>
    <xf numFmtId="0" fontId="77" fillId="0" borderId="22" applyNumberFormat="0" applyFont="0" applyFill="0" applyAlignment="0" applyProtection="0"/>
    <xf numFmtId="0" fontId="81" fillId="0" borderId="0" applyFill="0" applyBorder="0" applyAlignment="0" applyProtection="0"/>
    <xf numFmtId="189" fontId="78" fillId="0" borderId="0" applyFont="0" applyFill="0" applyBorder="0" applyAlignment="0" applyProtection="0"/>
    <xf numFmtId="0" fontId="82" fillId="0" borderId="0" applyFont="0" applyFill="0" applyBorder="0" applyAlignment="0" applyProtection="0"/>
    <xf numFmtId="190" fontId="75" fillId="0" borderId="0" applyFont="0" applyFill="0" applyBorder="0" applyAlignment="0" applyProtection="0"/>
    <xf numFmtId="191" fontId="75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3" fontId="7" fillId="0" borderId="0" applyFont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83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94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2" fontId="79" fillId="0" borderId="0" applyFont="0" applyFill="0" applyBorder="0" applyAlignment="0" applyProtection="0"/>
    <xf numFmtId="15" fontId="7" fillId="0" borderId="0">
      <alignment vertical="center"/>
    </xf>
    <xf numFmtId="0" fontId="84" fillId="0" borderId="0" applyFill="0" applyBorder="0" applyProtection="0">
      <alignment horizontal="left"/>
    </xf>
    <xf numFmtId="187" fontId="85" fillId="0" borderId="0" applyNumberFormat="0" applyFill="0" applyBorder="0" applyAlignment="0" applyProtection="0"/>
    <xf numFmtId="187" fontId="85" fillId="0" borderId="0" applyNumberFormat="0" applyFill="0" applyBorder="0" applyAlignment="0" applyProtection="0"/>
    <xf numFmtId="187" fontId="85" fillId="0" borderId="0" applyNumberFormat="0" applyFill="0" applyBorder="0" applyAlignment="0" applyProtection="0"/>
    <xf numFmtId="43" fontId="86" fillId="0" borderId="0" applyNumberFormat="0" applyFill="0" applyBorder="0" applyAlignment="0" applyProtection="0">
      <alignment horizontal="center"/>
    </xf>
    <xf numFmtId="38" fontId="8" fillId="34" borderId="0" applyNumberFormat="0" applyBorder="0" applyAlignment="0" applyProtection="0"/>
    <xf numFmtId="38" fontId="8" fillId="34" borderId="0" applyNumberFormat="0" applyBorder="0" applyAlignment="0" applyProtection="0"/>
    <xf numFmtId="38" fontId="8" fillId="34" borderId="0" applyNumberFormat="0" applyBorder="0" applyAlignment="0" applyProtection="0"/>
    <xf numFmtId="0" fontId="77" fillId="0" borderId="0" applyFont="0" applyFill="0" applyBorder="0" applyAlignment="0" applyProtection="0">
      <alignment horizontal="right"/>
    </xf>
    <xf numFmtId="0" fontId="87" fillId="0" borderId="0" applyProtection="0">
      <alignment horizontal="right"/>
    </xf>
    <xf numFmtId="0" fontId="42" fillId="0" borderId="23" applyNumberFormat="0" applyAlignment="0" applyProtection="0">
      <alignment horizontal="left" vertical="center"/>
    </xf>
    <xf numFmtId="173" fontId="42" fillId="0" borderId="23" applyNumberFormat="0" applyAlignment="0" applyProtection="0">
      <alignment horizontal="left" vertical="center"/>
    </xf>
    <xf numFmtId="173" fontId="42" fillId="0" borderId="23" applyNumberFormat="0" applyAlignment="0" applyProtection="0">
      <alignment horizontal="left" vertical="center"/>
    </xf>
    <xf numFmtId="0" fontId="42" fillId="0" borderId="15">
      <alignment horizontal="left" vertical="center"/>
    </xf>
    <xf numFmtId="173" fontId="42" fillId="0" borderId="15">
      <alignment horizontal="left" vertical="center"/>
    </xf>
    <xf numFmtId="173" fontId="42" fillId="0" borderId="15">
      <alignment horizontal="left" vertical="center"/>
    </xf>
    <xf numFmtId="0" fontId="88" fillId="0" borderId="0">
      <alignment horizontal="center"/>
    </xf>
    <xf numFmtId="0" fontId="89" fillId="0" borderId="0" applyNumberFormat="0" applyFont="0" applyFill="0" applyBorder="0" applyAlignment="0" applyProtection="0"/>
    <xf numFmtId="0" fontId="90" fillId="0" borderId="0" applyProtection="0"/>
    <xf numFmtId="0" fontId="91" fillId="0" borderId="24" applyNumberFormat="0" applyFill="0" applyBorder="0" applyAlignment="0" applyProtection="0">
      <alignment horizontal="left"/>
    </xf>
    <xf numFmtId="195" fontId="92" fillId="3" borderId="0" applyNumberFormat="0" applyBorder="0" applyAlignment="0" applyProtection="0">
      <protection locked="0"/>
    </xf>
    <xf numFmtId="0" fontId="93" fillId="0" borderId="0" applyNumberFormat="0" applyFill="0" applyBorder="0" applyAlignment="0" applyProtection="0">
      <alignment vertical="top"/>
      <protection locked="0"/>
    </xf>
    <xf numFmtId="173" fontId="93" fillId="0" borderId="0" applyNumberFormat="0" applyFill="0" applyBorder="0" applyAlignment="0" applyProtection="0">
      <alignment vertical="top"/>
      <protection locked="0"/>
    </xf>
    <xf numFmtId="0" fontId="94" fillId="0" borderId="0"/>
    <xf numFmtId="0" fontId="7" fillId="0" borderId="0"/>
    <xf numFmtId="10" fontId="8" fillId="35" borderId="14" applyNumberFormat="0" applyBorder="0" applyAlignment="0" applyProtection="0"/>
    <xf numFmtId="10" fontId="8" fillId="35" borderId="14" applyNumberFormat="0" applyBorder="0" applyAlignment="0" applyProtection="0"/>
    <xf numFmtId="10" fontId="8" fillId="35" borderId="14" applyNumberFormat="0" applyBorder="0" applyAlignment="0" applyProtection="0"/>
    <xf numFmtId="173" fontId="7" fillId="36" borderId="14" applyNumberFormat="0" applyFont="0" applyAlignment="0">
      <protection locked="0"/>
    </xf>
    <xf numFmtId="173" fontId="7" fillId="36" borderId="14" applyNumberFormat="0" applyFont="0" applyAlignment="0">
      <protection locked="0"/>
    </xf>
    <xf numFmtId="173" fontId="7" fillId="36" borderId="14" applyNumberFormat="0" applyFont="0" applyAlignment="0">
      <protection locked="0"/>
    </xf>
    <xf numFmtId="173" fontId="7" fillId="36" borderId="14" applyNumberFormat="0" applyFont="0" applyAlignment="0">
      <protection locked="0"/>
    </xf>
    <xf numFmtId="173" fontId="7" fillId="36" borderId="14" applyNumberFormat="0" applyFont="0" applyAlignment="0">
      <protection locked="0"/>
    </xf>
    <xf numFmtId="173" fontId="7" fillId="36" borderId="14" applyNumberFormat="0" applyFont="0" applyAlignment="0">
      <protection locked="0"/>
    </xf>
    <xf numFmtId="173" fontId="7" fillId="36" borderId="14" applyNumberFormat="0" applyFont="0" applyAlignment="0">
      <protection locked="0"/>
    </xf>
    <xf numFmtId="173" fontId="7" fillId="36" borderId="14" applyNumberFormat="0" applyFont="0" applyAlignment="0">
      <protection locked="0"/>
    </xf>
    <xf numFmtId="173" fontId="7" fillId="36" borderId="14" applyNumberFormat="0" applyFont="0" applyAlignment="0">
      <protection locked="0"/>
    </xf>
    <xf numFmtId="173" fontId="7" fillId="36" borderId="14" applyNumberFormat="0" applyFont="0" applyAlignment="0">
      <protection locked="0"/>
    </xf>
    <xf numFmtId="173" fontId="7" fillId="36" borderId="14" applyNumberFormat="0" applyFont="0" applyAlignment="0">
      <protection locked="0"/>
    </xf>
    <xf numFmtId="173" fontId="7" fillId="36" borderId="14" applyNumberFormat="0" applyFont="0" applyAlignment="0">
      <protection locked="0"/>
    </xf>
    <xf numFmtId="173" fontId="7" fillId="36" borderId="14" applyNumberFormat="0" applyFont="0" applyAlignment="0">
      <protection locked="0"/>
    </xf>
    <xf numFmtId="173" fontId="7" fillId="36" borderId="14" applyNumberFormat="0" applyFont="0" applyAlignment="0">
      <protection locked="0"/>
    </xf>
    <xf numFmtId="173" fontId="7" fillId="36" borderId="14" applyNumberFormat="0" applyFont="0" applyAlignment="0"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96" fillId="0" borderId="0">
      <alignment vertical="center"/>
    </xf>
    <xf numFmtId="196" fontId="7" fillId="0" borderId="0" applyFont="0" applyFill="0" applyBorder="0" applyAlignment="0" applyProtection="0"/>
    <xf numFmtId="197" fontId="7" fillId="0" borderId="0" applyFont="0" applyFill="0" applyBorder="0" applyAlignment="0" applyProtection="0"/>
    <xf numFmtId="198" fontId="75" fillId="0" borderId="0" applyFont="0" applyFill="0" applyBorder="0" applyAlignment="0" applyProtection="0"/>
    <xf numFmtId="199" fontId="75" fillId="0" borderId="0" applyFont="0" applyFill="0" applyBorder="0" applyAlignment="0" applyProtection="0"/>
    <xf numFmtId="200" fontId="43" fillId="0" borderId="0" applyFont="0" applyFill="0" applyBorder="0" applyAlignment="0" applyProtection="0"/>
    <xf numFmtId="201" fontId="43" fillId="0" borderId="0" applyFont="0" applyFill="0" applyBorder="0" applyAlignment="0" applyProtection="0"/>
    <xf numFmtId="202" fontId="43" fillId="0" borderId="0" applyFont="0" applyFill="0" applyBorder="0" applyAlignment="0" applyProtection="0"/>
    <xf numFmtId="188" fontId="61" fillId="0" borderId="0" applyFont="0" applyFill="0" applyBorder="0" applyAlignment="0" applyProtection="0"/>
    <xf numFmtId="0" fontId="97" fillId="37" borderId="0" applyNumberFormat="0" applyBorder="0" applyAlignment="0" applyProtection="0"/>
    <xf numFmtId="37" fontId="98" fillId="0" borderId="0"/>
    <xf numFmtId="203" fontId="43" fillId="0" borderId="0"/>
    <xf numFmtId="173" fontId="7" fillId="0" borderId="0"/>
    <xf numFmtId="173" fontId="7" fillId="0" borderId="0"/>
    <xf numFmtId="0" fontId="7" fillId="0" borderId="0"/>
    <xf numFmtId="0" fontId="7" fillId="0" borderId="0"/>
    <xf numFmtId="173" fontId="23" fillId="0" borderId="0"/>
    <xf numFmtId="0" fontId="7" fillId="0" borderId="0"/>
    <xf numFmtId="173" fontId="7" fillId="0" borderId="0"/>
    <xf numFmtId="173" fontId="7" fillId="0" borderId="0"/>
    <xf numFmtId="173" fontId="7" fillId="0" borderId="0"/>
    <xf numFmtId="0" fontId="23" fillId="0" borderId="0"/>
    <xf numFmtId="0" fontId="99" fillId="0" borderId="0"/>
    <xf numFmtId="0" fontId="23" fillId="0" borderId="0"/>
    <xf numFmtId="0" fontId="23" fillId="0" borderId="0"/>
    <xf numFmtId="0" fontId="7" fillId="0" borderId="0"/>
    <xf numFmtId="173" fontId="26" fillId="0" borderId="0"/>
    <xf numFmtId="173" fontId="26" fillId="0" borderId="0"/>
    <xf numFmtId="173" fontId="26" fillId="0" borderId="0"/>
    <xf numFmtId="173" fontId="26" fillId="0" borderId="0"/>
    <xf numFmtId="173" fontId="7" fillId="0" borderId="0"/>
    <xf numFmtId="0" fontId="71" fillId="0" borderId="0"/>
    <xf numFmtId="0" fontId="100" fillId="0" borderId="0"/>
    <xf numFmtId="0" fontId="75" fillId="0" borderId="0"/>
    <xf numFmtId="0" fontId="7" fillId="0" borderId="0"/>
    <xf numFmtId="0" fontId="101" fillId="0" borderId="0"/>
    <xf numFmtId="0" fontId="24" fillId="38" borderId="25" applyNumberFormat="0" applyFont="0" applyAlignment="0" applyProtection="0"/>
    <xf numFmtId="40" fontId="102" fillId="39" borderId="0">
      <alignment horizontal="right"/>
    </xf>
    <xf numFmtId="0" fontId="103" fillId="40" borderId="0">
      <alignment horizontal="center"/>
    </xf>
    <xf numFmtId="0" fontId="104" fillId="41" borderId="0"/>
    <xf numFmtId="0" fontId="105" fillId="39" borderId="0" applyBorder="0">
      <alignment horizontal="centerContinuous"/>
    </xf>
    <xf numFmtId="0" fontId="106" fillId="41" borderId="0" applyBorder="0">
      <alignment horizontal="centerContinuous"/>
    </xf>
    <xf numFmtId="0" fontId="42" fillId="0" borderId="0" applyNumberFormat="0" applyFill="0" applyBorder="0" applyAlignment="0" applyProtection="0"/>
    <xf numFmtId="173" fontId="42" fillId="0" borderId="0" applyNumberFormat="0" applyFill="0" applyBorder="0" applyAlignment="0" applyProtection="0"/>
    <xf numFmtId="173" fontId="42" fillId="0" borderId="0" applyNumberFormat="0" applyFill="0" applyBorder="0" applyAlignment="0" applyProtection="0"/>
    <xf numFmtId="0" fontId="107" fillId="0" borderId="0"/>
    <xf numFmtId="1" fontId="108" fillId="0" borderId="0" applyProtection="0">
      <alignment horizontal="right" vertical="center"/>
    </xf>
    <xf numFmtId="204" fontId="7" fillId="0" borderId="0" applyFont="0" applyFill="0" applyBorder="0" applyAlignment="0" applyProtection="0"/>
    <xf numFmtId="205" fontId="7" fillId="0" borderId="0" applyFont="0" applyFill="0" applyBorder="0" applyAlignment="0" applyProtection="0"/>
    <xf numFmtId="9" fontId="61" fillId="0" borderId="0" applyFont="0" applyFill="0" applyBorder="0" applyAlignment="0" applyProtection="0"/>
    <xf numFmtId="206" fontId="61" fillId="0" borderId="0" applyFont="0" applyFill="0" applyBorder="0" applyAlignment="0" applyProtection="0"/>
    <xf numFmtId="10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107" fillId="0" borderId="0"/>
    <xf numFmtId="0" fontId="109" fillId="0" borderId="0" applyNumberFormat="0" applyFill="0" applyBorder="0" applyAlignment="0" applyProtection="0">
      <alignment horizontal="left"/>
      <protection locked="0"/>
    </xf>
    <xf numFmtId="0" fontId="110" fillId="0" borderId="26">
      <alignment vertical="center"/>
    </xf>
    <xf numFmtId="4" fontId="63" fillId="37" borderId="27" applyNumberFormat="0" applyProtection="0">
      <alignment vertical="center"/>
    </xf>
    <xf numFmtId="4" fontId="111" fillId="36" borderId="27" applyNumberFormat="0" applyProtection="0">
      <alignment vertical="center"/>
    </xf>
    <xf numFmtId="4" fontId="63" fillId="36" borderId="27" applyNumberFormat="0" applyProtection="0">
      <alignment horizontal="left" vertical="center" indent="1"/>
    </xf>
    <xf numFmtId="0" fontId="63" fillId="36" borderId="27" applyNumberFormat="0" applyProtection="0">
      <alignment horizontal="left" vertical="top" indent="1"/>
    </xf>
    <xf numFmtId="0" fontId="7" fillId="42" borderId="28" applyNumberFormat="0" applyProtection="0">
      <alignment horizontal="left" vertical="center" indent="1"/>
    </xf>
    <xf numFmtId="4" fontId="102" fillId="10" borderId="27" applyNumberFormat="0" applyProtection="0">
      <alignment horizontal="right" vertical="center"/>
    </xf>
    <xf numFmtId="4" fontId="102" fillId="16" borderId="27" applyNumberFormat="0" applyProtection="0">
      <alignment horizontal="right" vertical="center"/>
    </xf>
    <xf numFmtId="4" fontId="102" fillId="28" borderId="27" applyNumberFormat="0" applyProtection="0">
      <alignment horizontal="right" vertical="center"/>
    </xf>
    <xf numFmtId="4" fontId="102" fillId="18" borderId="27" applyNumberFormat="0" applyProtection="0">
      <alignment horizontal="right" vertical="center"/>
    </xf>
    <xf numFmtId="4" fontId="102" fillId="22" borderId="27" applyNumberFormat="0" applyProtection="0">
      <alignment horizontal="right" vertical="center"/>
    </xf>
    <xf numFmtId="4" fontId="102" fillId="30" borderId="27" applyNumberFormat="0" applyProtection="0">
      <alignment horizontal="right" vertical="center"/>
    </xf>
    <xf numFmtId="4" fontId="102" fillId="29" borderId="27" applyNumberFormat="0" applyProtection="0">
      <alignment horizontal="right" vertical="center"/>
    </xf>
    <xf numFmtId="4" fontId="102" fillId="43" borderId="27" applyNumberFormat="0" applyProtection="0">
      <alignment horizontal="right" vertical="center"/>
    </xf>
    <xf numFmtId="4" fontId="102" fillId="17" borderId="27" applyNumberFormat="0" applyProtection="0">
      <alignment horizontal="right" vertical="center"/>
    </xf>
    <xf numFmtId="4" fontId="63" fillId="44" borderId="29" applyNumberFormat="0" applyProtection="0">
      <alignment horizontal="left" vertical="center" indent="1"/>
    </xf>
    <xf numFmtId="4" fontId="102" fillId="45" borderId="0" applyNumberFormat="0" applyProtection="0">
      <alignment horizontal="left" vertical="center" indent="1"/>
    </xf>
    <xf numFmtId="4" fontId="112" fillId="6" borderId="0" applyNumberFormat="0" applyProtection="0">
      <alignment horizontal="left" vertical="center" indent="1"/>
    </xf>
    <xf numFmtId="0" fontId="7" fillId="42" borderId="28" applyNumberFormat="0" applyProtection="0">
      <alignment horizontal="left" vertical="center" indent="1"/>
    </xf>
    <xf numFmtId="4" fontId="102" fillId="46" borderId="28" applyNumberFormat="0" applyProtection="0">
      <alignment horizontal="left" vertical="center" indent="1"/>
    </xf>
    <xf numFmtId="4" fontId="102" fillId="46" borderId="28" applyNumberFormat="0" applyProtection="0">
      <alignment horizontal="left" vertical="center" indent="1"/>
    </xf>
    <xf numFmtId="4" fontId="102" fillId="46" borderId="28" applyNumberFormat="0" applyProtection="0">
      <alignment horizontal="left" vertical="center" indent="1"/>
    </xf>
    <xf numFmtId="4" fontId="102" fillId="47" borderId="28" applyNumberFormat="0" applyProtection="0">
      <alignment horizontal="left" vertical="center" indent="1"/>
    </xf>
    <xf numFmtId="4" fontId="102" fillId="47" borderId="28" applyNumberFormat="0" applyProtection="0">
      <alignment horizontal="left" vertical="center" indent="1"/>
    </xf>
    <xf numFmtId="4" fontId="102" fillId="47" borderId="28" applyNumberFormat="0" applyProtection="0">
      <alignment horizontal="left" vertical="center" indent="1"/>
    </xf>
    <xf numFmtId="0" fontId="7" fillId="6" borderId="27" applyNumberFormat="0" applyProtection="0">
      <alignment horizontal="left" vertical="center" indent="1"/>
    </xf>
    <xf numFmtId="0" fontId="7" fillId="6" borderId="27" applyNumberFormat="0" applyProtection="0">
      <alignment horizontal="left" vertical="top" indent="1"/>
    </xf>
    <xf numFmtId="0" fontId="7" fillId="48" borderId="27" applyNumberFormat="0" applyProtection="0">
      <alignment horizontal="left" vertical="center" indent="1"/>
    </xf>
    <xf numFmtId="0" fontId="7" fillId="48" borderId="27" applyNumberFormat="0" applyProtection="0">
      <alignment horizontal="left" vertical="top" indent="1"/>
    </xf>
    <xf numFmtId="0" fontId="7" fillId="49" borderId="27" applyNumberFormat="0" applyProtection="0">
      <alignment horizontal="left" vertical="center" indent="1"/>
    </xf>
    <xf numFmtId="0" fontId="7" fillId="49" borderId="27" applyNumberFormat="0" applyProtection="0">
      <alignment horizontal="left" vertical="top" indent="1"/>
    </xf>
    <xf numFmtId="0" fontId="7" fillId="50" borderId="27" applyNumberFormat="0" applyProtection="0">
      <alignment horizontal="left" vertical="center" indent="1"/>
    </xf>
    <xf numFmtId="0" fontId="7" fillId="50" borderId="27" applyNumberFormat="0" applyProtection="0">
      <alignment horizontal="left" vertical="top" indent="1"/>
    </xf>
    <xf numFmtId="4" fontId="102" fillId="35" borderId="27" applyNumberFormat="0" applyProtection="0">
      <alignment vertical="center"/>
    </xf>
    <xf numFmtId="4" fontId="113" fillId="35" borderId="27" applyNumberFormat="0" applyProtection="0">
      <alignment vertical="center"/>
    </xf>
    <xf numFmtId="4" fontId="102" fillId="35" borderId="27" applyNumberFormat="0" applyProtection="0">
      <alignment horizontal="left" vertical="center" indent="1"/>
    </xf>
    <xf numFmtId="0" fontId="102" fillId="35" borderId="27" applyNumberFormat="0" applyProtection="0">
      <alignment horizontal="left" vertical="top" indent="1"/>
    </xf>
    <xf numFmtId="4" fontId="102" fillId="46" borderId="28" applyNumberFormat="0" applyProtection="0">
      <alignment horizontal="right" vertical="center"/>
    </xf>
    <xf numFmtId="4" fontId="113" fillId="45" borderId="27" applyNumberFormat="0" applyProtection="0">
      <alignment horizontal="right" vertical="center"/>
    </xf>
    <xf numFmtId="4" fontId="102" fillId="51" borderId="27" applyNumberFormat="0" applyProtection="0">
      <alignment horizontal="left" vertical="center" indent="1"/>
    </xf>
    <xf numFmtId="0" fontId="7" fillId="42" borderId="28" applyNumberFormat="0" applyProtection="0">
      <alignment horizontal="left" vertical="center" indent="1"/>
    </xf>
    <xf numFmtId="0" fontId="114" fillId="0" borderId="0"/>
    <xf numFmtId="4" fontId="115" fillId="46" borderId="28" applyNumberFormat="0" applyProtection="0">
      <alignment horizontal="right" vertical="center"/>
    </xf>
    <xf numFmtId="4" fontId="115" fillId="46" borderId="28" applyNumberFormat="0" applyProtection="0">
      <alignment horizontal="right" vertical="center"/>
    </xf>
    <xf numFmtId="4" fontId="115" fillId="46" borderId="28" applyNumberFormat="0" applyProtection="0">
      <alignment horizontal="right" vertical="center"/>
    </xf>
    <xf numFmtId="0" fontId="116" fillId="0" borderId="30"/>
    <xf numFmtId="0" fontId="67" fillId="0" borderId="0" applyFill="0" applyBorder="0" applyAlignment="0" applyProtection="0"/>
    <xf numFmtId="173" fontId="67" fillId="0" borderId="0" applyFill="0" applyBorder="0" applyAlignment="0" applyProtection="0"/>
    <xf numFmtId="173" fontId="67" fillId="0" borderId="0" applyFill="0" applyBorder="0" applyAlignment="0" applyProtection="0"/>
    <xf numFmtId="0" fontId="60" fillId="0" borderId="0" applyNumberFormat="0" applyFill="0" applyBorder="0" applyAlignment="0" applyProtection="0">
      <alignment horizontal="center"/>
    </xf>
    <xf numFmtId="0" fontId="117" fillId="0" borderId="0"/>
    <xf numFmtId="3" fontId="118" fillId="52" borderId="31">
      <alignment horizontal="center"/>
    </xf>
    <xf numFmtId="207" fontId="119" fillId="34" borderId="0"/>
    <xf numFmtId="208" fontId="120" fillId="34" borderId="0" applyNumberFormat="0" applyBorder="0">
      <alignment horizontal="left"/>
    </xf>
    <xf numFmtId="209" fontId="121" fillId="53" borderId="0" applyBorder="0">
      <alignment horizontal="left"/>
    </xf>
    <xf numFmtId="209" fontId="119" fillId="53" borderId="0" applyBorder="0">
      <alignment horizontal="left"/>
    </xf>
    <xf numFmtId="210" fontId="122" fillId="34" borderId="0"/>
    <xf numFmtId="211" fontId="123" fillId="0" borderId="0" applyNumberFormat="0" applyBorder="0"/>
    <xf numFmtId="210" fontId="124" fillId="34" borderId="0"/>
    <xf numFmtId="1" fontId="121" fillId="34" borderId="0" applyBorder="0">
      <alignment horizontal="left"/>
    </xf>
    <xf numFmtId="210" fontId="125" fillId="54" borderId="32" applyNumberFormat="0">
      <alignment horizontal="center"/>
    </xf>
    <xf numFmtId="3" fontId="126" fillId="34" borderId="0" applyNumberFormat="0" applyBorder="0">
      <alignment horizontal="left"/>
    </xf>
    <xf numFmtId="0" fontId="46" fillId="0" borderId="0" applyFont="0" applyFill="0" applyBorder="0" applyAlignment="0" applyProtection="0">
      <alignment vertical="center"/>
    </xf>
    <xf numFmtId="0" fontId="78" fillId="0" borderId="0" applyNumberFormat="0" applyFont="0" applyFill="0" applyBorder="0" applyAlignment="0" applyProtection="0">
      <alignment vertical="top"/>
    </xf>
    <xf numFmtId="173" fontId="78" fillId="0" borderId="0" applyNumberFormat="0" applyFont="0" applyFill="0" applyBorder="0" applyAlignment="0" applyProtection="0">
      <alignment vertical="top"/>
    </xf>
    <xf numFmtId="173" fontId="78" fillId="0" borderId="0" applyNumberFormat="0" applyFont="0" applyFill="0" applyBorder="0" applyAlignment="0" applyProtection="0">
      <alignment vertical="top"/>
    </xf>
    <xf numFmtId="0" fontId="78" fillId="0" borderId="0" applyNumberFormat="0" applyFont="0" applyFill="0" applyBorder="0" applyAlignment="0" applyProtection="0">
      <alignment vertical="top"/>
    </xf>
    <xf numFmtId="173" fontId="78" fillId="0" borderId="0" applyNumberFormat="0" applyFont="0" applyFill="0" applyBorder="0" applyAlignment="0" applyProtection="0">
      <alignment vertical="top"/>
    </xf>
    <xf numFmtId="173" fontId="78" fillId="0" borderId="0" applyNumberFormat="0" applyFont="0" applyFill="0" applyBorder="0" applyAlignment="0" applyProtection="0">
      <alignment vertical="top"/>
    </xf>
    <xf numFmtId="0" fontId="78" fillId="0" borderId="0" applyNumberFormat="0" applyFont="0" applyFill="0" applyBorder="0" applyAlignment="0" applyProtection="0">
      <alignment vertical="top"/>
    </xf>
    <xf numFmtId="173" fontId="78" fillId="0" borderId="0" applyNumberFormat="0" applyFont="0" applyFill="0" applyBorder="0" applyAlignment="0" applyProtection="0">
      <alignment vertical="top"/>
    </xf>
    <xf numFmtId="173" fontId="78" fillId="0" borderId="0" applyNumberFormat="0" applyFont="0" applyFill="0" applyBorder="0" applyAlignment="0" applyProtection="0">
      <alignment vertical="top"/>
    </xf>
    <xf numFmtId="0" fontId="99" fillId="0" borderId="0"/>
    <xf numFmtId="0" fontId="46" fillId="0" borderId="0"/>
    <xf numFmtId="173" fontId="46" fillId="0" borderId="0"/>
    <xf numFmtId="173" fontId="46" fillId="0" borderId="0"/>
    <xf numFmtId="3" fontId="127" fillId="55" borderId="0" applyBorder="0"/>
    <xf numFmtId="0" fontId="128" fillId="0" borderId="0"/>
    <xf numFmtId="0" fontId="129" fillId="0" borderId="0" applyBorder="0" applyProtection="0">
      <alignment vertical="center"/>
    </xf>
    <xf numFmtId="0" fontId="129" fillId="0" borderId="11" applyBorder="0" applyProtection="0">
      <alignment horizontal="right" vertical="center"/>
    </xf>
    <xf numFmtId="0" fontId="130" fillId="56" borderId="0" applyBorder="0" applyProtection="0">
      <alignment horizontal="centerContinuous" vertical="center"/>
    </xf>
    <xf numFmtId="0" fontId="130" fillId="57" borderId="11" applyBorder="0" applyProtection="0">
      <alignment horizontal="centerContinuous" vertical="center"/>
    </xf>
    <xf numFmtId="0" fontId="131" fillId="0" borderId="0"/>
    <xf numFmtId="0" fontId="100" fillId="0" borderId="0"/>
    <xf numFmtId="0" fontId="132" fillId="0" borderId="0" applyFill="0" applyBorder="0" applyProtection="0">
      <alignment horizontal="left"/>
    </xf>
    <xf numFmtId="0" fontId="84" fillId="0" borderId="13" applyFill="0" applyBorder="0" applyProtection="0">
      <alignment horizontal="left" vertical="top"/>
    </xf>
    <xf numFmtId="0" fontId="133" fillId="0" borderId="0">
      <alignment horizontal="centerContinuous"/>
    </xf>
    <xf numFmtId="0" fontId="134" fillId="0" borderId="0" applyNumberFormat="0" applyFill="0" applyBorder="0" applyAlignment="0" applyProtection="0"/>
    <xf numFmtId="0" fontId="135" fillId="0" borderId="0" applyNumberFormat="0" applyFill="0" applyBorder="0" applyAlignment="0" applyProtection="0"/>
    <xf numFmtId="0" fontId="136" fillId="0" borderId="0"/>
    <xf numFmtId="0" fontId="137" fillId="0" borderId="0"/>
    <xf numFmtId="0" fontId="10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173" fontId="61" fillId="0" borderId="0" applyNumberFormat="0" applyFill="0" applyBorder="0" applyAlignment="0" applyProtection="0"/>
    <xf numFmtId="173" fontId="61" fillId="0" borderId="0" applyNumberFormat="0" applyFill="0" applyBorder="0" applyAlignment="0" applyProtection="0"/>
    <xf numFmtId="173" fontId="55" fillId="0" borderId="0"/>
    <xf numFmtId="173" fontId="55" fillId="0" borderId="0"/>
    <xf numFmtId="0" fontId="138" fillId="0" borderId="0" applyNumberFormat="0" applyFill="0" applyBorder="0" applyAlignment="0" applyProtection="0"/>
    <xf numFmtId="0" fontId="139" fillId="0" borderId="33" applyNumberFormat="0" applyFill="0" applyAlignment="0" applyProtection="0"/>
    <xf numFmtId="0" fontId="140" fillId="0" borderId="34" applyNumberFormat="0" applyFill="0" applyAlignment="0" applyProtection="0"/>
    <xf numFmtId="0" fontId="141" fillId="0" borderId="35" applyNumberFormat="0" applyFill="0" applyAlignment="0" applyProtection="0"/>
    <xf numFmtId="0" fontId="141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173" fontId="115" fillId="0" borderId="0" applyNumberFormat="0" applyFill="0" applyBorder="0" applyAlignment="0" applyProtection="0"/>
    <xf numFmtId="173" fontId="115" fillId="0" borderId="0" applyNumberFormat="0" applyFill="0" applyBorder="0" applyAlignment="0" applyProtection="0"/>
    <xf numFmtId="0" fontId="142" fillId="0" borderId="36" applyNumberFormat="0" applyFill="0" applyAlignment="0" applyProtection="0"/>
    <xf numFmtId="0" fontId="143" fillId="0" borderId="0"/>
    <xf numFmtId="0" fontId="144" fillId="10" borderId="0" applyNumberFormat="0" applyBorder="0" applyAlignment="0" applyProtection="0"/>
    <xf numFmtId="0" fontId="145" fillId="11" borderId="0" applyNumberFormat="0" applyBorder="0" applyAlignment="0" applyProtection="0"/>
    <xf numFmtId="212" fontId="7" fillId="0" borderId="0" applyFont="0" applyFill="0" applyBorder="0" applyAlignment="0" applyProtection="0"/>
    <xf numFmtId="213" fontId="7" fillId="0" borderId="0" applyFont="0" applyFill="0" applyBorder="0" applyAlignment="0" applyProtection="0"/>
    <xf numFmtId="0" fontId="143" fillId="0" borderId="0"/>
    <xf numFmtId="42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6" fontId="78" fillId="0" borderId="0" applyFont="0" applyFill="0" applyBorder="0" applyAlignment="0" applyProtection="0"/>
    <xf numFmtId="8" fontId="78" fillId="0" borderId="0" applyFont="0" applyFill="0" applyBorder="0" applyAlignment="0" applyProtection="0"/>
    <xf numFmtId="0" fontId="7" fillId="17" borderId="0" applyNumberFormat="0" applyBorder="0" applyAlignment="0" applyProtection="0"/>
    <xf numFmtId="173" fontId="7" fillId="17" borderId="0" applyNumberFormat="0" applyBorder="0" applyAlignment="0" applyProtection="0"/>
    <xf numFmtId="173" fontId="7" fillId="17" borderId="0" applyNumberFormat="0" applyBorder="0" applyAlignment="0" applyProtection="0"/>
    <xf numFmtId="0" fontId="146" fillId="0" borderId="11" applyBorder="0" applyProtection="0">
      <alignment horizontal="right"/>
    </xf>
    <xf numFmtId="214" fontId="67" fillId="0" borderId="0" applyFont="0" applyFill="0" applyBorder="0" applyAlignment="0" applyProtection="0"/>
    <xf numFmtId="214" fontId="67" fillId="0" borderId="0" applyFont="0" applyFill="0" applyBorder="0" applyAlignment="0" applyProtection="0"/>
    <xf numFmtId="214" fontId="67" fillId="0" borderId="0" applyFont="0" applyFill="0" applyBorder="0" applyAlignment="0" applyProtection="0"/>
    <xf numFmtId="215" fontId="7" fillId="0" borderId="0" applyFont="0" applyFill="0" applyBorder="0" applyAlignment="0" applyProtection="0"/>
    <xf numFmtId="215" fontId="7" fillId="0" borderId="0" applyFont="0" applyFill="0" applyBorder="0" applyAlignment="0" applyProtection="0"/>
    <xf numFmtId="215" fontId="7" fillId="0" borderId="0" applyFont="0" applyFill="0" applyBorder="0" applyAlignment="0" applyProtection="0"/>
    <xf numFmtId="0" fontId="147" fillId="14" borderId="19" applyNumberFormat="0" applyAlignment="0" applyProtection="0"/>
    <xf numFmtId="3" fontId="148" fillId="0" borderId="0">
      <alignment horizontal="center" vertical="center" textRotation="90" wrapText="1"/>
    </xf>
    <xf numFmtId="14" fontId="149" fillId="0" borderId="0"/>
    <xf numFmtId="216" fontId="150" fillId="0" borderId="0"/>
    <xf numFmtId="0" fontId="151" fillId="3" borderId="0" applyFill="0"/>
    <xf numFmtId="0" fontId="152" fillId="0" borderId="0"/>
    <xf numFmtId="0" fontId="99" fillId="0" borderId="0"/>
    <xf numFmtId="9" fontId="152" fillId="0" borderId="0" applyFont="0" applyFill="0" applyBorder="0" applyAlignment="0" applyProtection="0"/>
    <xf numFmtId="49" fontId="153" fillId="0" borderId="0"/>
    <xf numFmtId="49" fontId="154" fillId="0" borderId="0">
      <alignment vertical="top"/>
    </xf>
    <xf numFmtId="217" fontId="27" fillId="0" borderId="0"/>
    <xf numFmtId="38" fontId="155" fillId="0" borderId="0" applyFont="0" applyFill="0" applyBorder="0" applyAlignment="0" applyProtection="0"/>
    <xf numFmtId="40" fontId="155" fillId="0" borderId="0" applyFont="0" applyFill="0" applyBorder="0" applyAlignment="0" applyProtection="0"/>
    <xf numFmtId="0" fontId="152" fillId="0" borderId="0" applyFont="0" applyFill="0" applyBorder="0" applyAlignment="0" applyProtection="0"/>
    <xf numFmtId="218" fontId="99" fillId="0" borderId="0" applyFont="0" applyFill="0" applyBorder="0" applyAlignment="0" applyProtection="0"/>
    <xf numFmtId="219" fontId="48" fillId="0" borderId="0">
      <protection locked="0"/>
    </xf>
    <xf numFmtId="49" fontId="156" fillId="0" borderId="14" applyNumberFormat="0" applyFill="0" applyAlignment="0" applyProtection="0"/>
    <xf numFmtId="0" fontId="40" fillId="0" borderId="40" applyNumberFormat="0" applyFont="0" applyFill="0" applyAlignment="0" applyProtection="0"/>
    <xf numFmtId="221" fontId="162" fillId="0" borderId="41" applyNumberFormat="0" applyProtection="0">
      <alignment horizontal="right" vertical="center"/>
    </xf>
    <xf numFmtId="221" fontId="163" fillId="0" borderId="42" applyNumberFormat="0" applyProtection="0">
      <alignment horizontal="right" vertical="center"/>
    </xf>
    <xf numFmtId="0" fontId="163" fillId="58" borderId="40" applyNumberFormat="0" applyAlignment="0" applyProtection="0">
      <alignment horizontal="left" vertical="center" indent="1"/>
    </xf>
    <xf numFmtId="0" fontId="164" fillId="59" borderId="42" applyNumberFormat="0" applyAlignment="0" applyProtection="0">
      <alignment horizontal="left" vertical="center" indent="1"/>
    </xf>
    <xf numFmtId="0" fontId="164" fillId="59" borderId="42" applyNumberFormat="0" applyAlignment="0" applyProtection="0">
      <alignment horizontal="left" vertical="center" indent="1"/>
    </xf>
    <xf numFmtId="0" fontId="165" fillId="0" borderId="43" applyNumberFormat="0" applyFill="0" applyBorder="0" applyAlignment="0" applyProtection="0"/>
    <xf numFmtId="221" fontId="166" fillId="60" borderId="44" applyNumberFormat="0" applyBorder="0" applyAlignment="0" applyProtection="0">
      <alignment horizontal="right" vertical="center" indent="1"/>
    </xf>
    <xf numFmtId="221" fontId="167" fillId="61" borderId="44" applyNumberFormat="0" applyBorder="0" applyAlignment="0" applyProtection="0">
      <alignment horizontal="right" vertical="center" indent="1"/>
    </xf>
    <xf numFmtId="221" fontId="167" fillId="62" borderId="44" applyNumberFormat="0" applyBorder="0" applyAlignment="0" applyProtection="0">
      <alignment horizontal="right" vertical="center" indent="1"/>
    </xf>
    <xf numFmtId="221" fontId="168" fillId="63" borderId="44" applyNumberFormat="0" applyBorder="0" applyAlignment="0" applyProtection="0">
      <alignment horizontal="right" vertical="center" indent="1"/>
    </xf>
    <xf numFmtId="221" fontId="168" fillId="64" borderId="44" applyNumberFormat="0" applyBorder="0" applyAlignment="0" applyProtection="0">
      <alignment horizontal="right" vertical="center" indent="1"/>
    </xf>
    <xf numFmtId="221" fontId="168" fillId="65" borderId="44" applyNumberFormat="0" applyBorder="0" applyAlignment="0" applyProtection="0">
      <alignment horizontal="right" vertical="center" indent="1"/>
    </xf>
    <xf numFmtId="221" fontId="169" fillId="66" borderId="44" applyNumberFormat="0" applyBorder="0" applyAlignment="0" applyProtection="0">
      <alignment horizontal="right" vertical="center" indent="1"/>
    </xf>
    <xf numFmtId="221" fontId="169" fillId="67" borderId="44" applyNumberFormat="0" applyBorder="0" applyAlignment="0" applyProtection="0">
      <alignment horizontal="right" vertical="center" indent="1"/>
    </xf>
    <xf numFmtId="221" fontId="169" fillId="68" borderId="44" applyNumberFormat="0" applyBorder="0" applyAlignment="0" applyProtection="0">
      <alignment horizontal="right" vertical="center" indent="1"/>
    </xf>
    <xf numFmtId="0" fontId="164" fillId="69" borderId="40" applyNumberFormat="0" applyAlignment="0" applyProtection="0">
      <alignment horizontal="left" vertical="center" indent="1"/>
    </xf>
    <xf numFmtId="0" fontId="164" fillId="70" borderId="40" applyNumberFormat="0" applyAlignment="0" applyProtection="0">
      <alignment horizontal="left" vertical="center" indent="1"/>
    </xf>
    <xf numFmtId="0" fontId="164" fillId="71" borderId="40" applyNumberFormat="0" applyAlignment="0" applyProtection="0">
      <alignment horizontal="left" vertical="center" indent="1"/>
    </xf>
    <xf numFmtId="0" fontId="164" fillId="72" borderId="40" applyNumberFormat="0" applyAlignment="0" applyProtection="0">
      <alignment horizontal="left" vertical="center" indent="1"/>
    </xf>
    <xf numFmtId="0" fontId="164" fillId="73" borderId="42" applyNumberFormat="0" applyAlignment="0" applyProtection="0">
      <alignment horizontal="left" vertical="center" indent="1"/>
    </xf>
    <xf numFmtId="221" fontId="162" fillId="72" borderId="41" applyNumberFormat="0" applyBorder="0" applyProtection="0">
      <alignment horizontal="right" vertical="center"/>
    </xf>
    <xf numFmtId="221" fontId="163" fillId="72" borderId="42" applyNumberFormat="0" applyBorder="0" applyProtection="0">
      <alignment horizontal="right" vertical="center"/>
    </xf>
    <xf numFmtId="221" fontId="162" fillId="74" borderId="40" applyNumberFormat="0" applyAlignment="0" applyProtection="0">
      <alignment horizontal="left" vertical="center" indent="1"/>
    </xf>
    <xf numFmtId="0" fontId="163" fillId="58" borderId="42" applyNumberFormat="0" applyAlignment="0" applyProtection="0">
      <alignment horizontal="left" vertical="center" indent="1"/>
    </xf>
    <xf numFmtId="0" fontId="164" fillId="73" borderId="42" applyNumberFormat="0" applyAlignment="0" applyProtection="0">
      <alignment horizontal="left" vertical="center" indent="1"/>
    </xf>
    <xf numFmtId="221" fontId="163" fillId="73" borderId="42" applyNumberFormat="0" applyProtection="0">
      <alignment horizontal="right" vertical="center"/>
    </xf>
    <xf numFmtId="9" fontId="38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224" fontId="69" fillId="0" borderId="0" applyNumberFormat="0" applyFont="0" applyFill="0" applyBorder="0" applyAlignment="0" applyProtection="0"/>
    <xf numFmtId="0" fontId="69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102" fillId="0" borderId="0" applyAlignment="0"/>
    <xf numFmtId="0" fontId="174" fillId="0" borderId="0" applyAlignment="0"/>
    <xf numFmtId="0" fontId="174" fillId="0" borderId="0" applyAlignment="0"/>
    <xf numFmtId="0" fontId="174" fillId="0" borderId="0" applyAlignment="0"/>
    <xf numFmtId="0" fontId="174" fillId="0" borderId="0" applyAlignment="0"/>
    <xf numFmtId="0" fontId="159" fillId="78" borderId="0" applyAlignment="0"/>
    <xf numFmtId="0" fontId="175" fillId="0" borderId="0" applyAlignment="0"/>
    <xf numFmtId="0" fontId="176" fillId="79" borderId="0" applyAlignment="0"/>
    <xf numFmtId="0" fontId="104" fillId="4" borderId="0" applyAlignment="0"/>
    <xf numFmtId="0" fontId="177" fillId="0" borderId="0" applyAlignment="0"/>
    <xf numFmtId="0" fontId="178" fillId="75" borderId="0" applyAlignment="0"/>
    <xf numFmtId="0" fontId="179" fillId="0" borderId="0" applyAlignment="0"/>
    <xf numFmtId="0" fontId="180" fillId="0" borderId="0" applyAlignment="0"/>
    <xf numFmtId="0" fontId="21" fillId="0" borderId="0" applyAlignment="0"/>
    <xf numFmtId="0" fontId="157" fillId="0" borderId="0" applyAlignment="0"/>
    <xf numFmtId="0" fontId="22" fillId="0" borderId="0" applyAlignment="0"/>
    <xf numFmtId="0" fontId="181" fillId="0" borderId="0" applyAlignment="0"/>
    <xf numFmtId="0" fontId="7" fillId="0" borderId="0"/>
    <xf numFmtId="0" fontId="7" fillId="0" borderId="0"/>
    <xf numFmtId="228" fontId="7" fillId="0" borderId="0" applyFont="0" applyFill="0" applyBorder="0" applyAlignment="0" applyProtection="0"/>
    <xf numFmtId="229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1" fontId="7" fillId="0" borderId="0" applyFont="0" applyFill="0" applyBorder="0" applyAlignment="0" applyProtection="0"/>
    <xf numFmtId="232" fontId="7" fillId="0" borderId="0" applyFont="0" applyFill="0" applyBorder="0" applyAlignment="0" applyProtection="0"/>
    <xf numFmtId="233" fontId="7" fillId="0" borderId="0" applyFont="0" applyFill="0" applyBorder="0" applyAlignment="0" applyProtection="0"/>
    <xf numFmtId="0" fontId="184" fillId="0" borderId="0" applyNumberFormat="0" applyFill="0" applyBorder="0" applyAlignment="0" applyProtection="0"/>
    <xf numFmtId="0" fontId="7" fillId="37" borderId="0" applyNumberFormat="0" applyFont="0" applyAlignment="0" applyProtection="0"/>
    <xf numFmtId="234" fontId="7" fillId="0" borderId="0" applyFont="0" applyFill="0" applyBorder="0" applyAlignment="0" applyProtection="0"/>
    <xf numFmtId="235" fontId="7" fillId="0" borderId="0" applyFont="0" applyFill="0" applyBorder="0" applyProtection="0">
      <alignment horizontal="right"/>
    </xf>
    <xf numFmtId="0" fontId="185" fillId="0" borderId="0" applyNumberFormat="0" applyFill="0" applyBorder="0" applyProtection="0">
      <alignment vertical="top"/>
    </xf>
    <xf numFmtId="0" fontId="186" fillId="0" borderId="49" applyNumberFormat="0" applyFill="0" applyAlignment="0" applyProtection="0"/>
    <xf numFmtId="0" fontId="187" fillId="0" borderId="50" applyNumberFormat="0" applyFill="0" applyProtection="0">
      <alignment horizontal="center"/>
    </xf>
    <xf numFmtId="0" fontId="187" fillId="0" borderId="0" applyNumberFormat="0" applyFill="0" applyBorder="0" applyProtection="0">
      <alignment horizontal="left"/>
    </xf>
    <xf numFmtId="0" fontId="188" fillId="0" borderId="0" applyNumberFormat="0" applyFill="0" applyBorder="0" applyProtection="0">
      <alignment horizontal="centerContinuous"/>
    </xf>
    <xf numFmtId="236" fontId="61" fillId="0" borderId="0" applyFont="0" applyFill="0" applyBorder="0" applyAlignment="0" applyProtection="0"/>
    <xf numFmtId="237" fontId="61" fillId="0" borderId="0" applyFont="0" applyFill="0" applyBorder="0" applyAlignment="0" applyProtection="0"/>
    <xf numFmtId="0" fontId="7" fillId="0" borderId="0"/>
    <xf numFmtId="1" fontId="78" fillId="0" borderId="0"/>
    <xf numFmtId="1" fontId="78" fillId="0" borderId="0"/>
    <xf numFmtId="0" fontId="7" fillId="0" borderId="0" applyProtection="0"/>
    <xf numFmtId="0" fontId="10" fillId="0" borderId="14" applyNumberFormat="0" applyAlignment="0"/>
    <xf numFmtId="0" fontId="189" fillId="0" borderId="0">
      <alignment horizontal="center" wrapText="1"/>
      <protection locked="0"/>
    </xf>
    <xf numFmtId="0" fontId="8" fillId="0" borderId="51" applyNumberFormat="0" applyFill="0" applyAlignment="0" applyProtection="0"/>
    <xf numFmtId="0" fontId="190" fillId="0" borderId="0" applyNumberFormat="0" applyFill="0" applyBorder="0" applyAlignment="0" applyProtection="0"/>
    <xf numFmtId="0" fontId="22" fillId="3" borderId="0" applyNumberFormat="0" applyFill="0" applyBorder="0" applyAlignment="0" applyProtection="0">
      <protection locked="0"/>
    </xf>
    <xf numFmtId="37" fontId="191" fillId="0" borderId="0" applyNumberFormat="0" applyFill="0" applyBorder="0" applyAlignment="0" applyProtection="0">
      <protection locked="0"/>
    </xf>
    <xf numFmtId="0" fontId="192" fillId="0" borderId="0" applyNumberFormat="0"/>
    <xf numFmtId="0" fontId="74" fillId="0" borderId="52" applyNumberFormat="0" applyFill="0" applyAlignment="0" applyProtection="0"/>
    <xf numFmtId="37" fontId="191" fillId="0" borderId="0" applyNumberFormat="0" applyFill="0" applyBorder="0" applyAlignment="0" applyProtection="0">
      <protection locked="0"/>
    </xf>
    <xf numFmtId="0" fontId="21" fillId="3" borderId="46" applyNumberFormat="0" applyFill="0" applyBorder="0" applyAlignment="0" applyProtection="0">
      <protection locked="0"/>
    </xf>
    <xf numFmtId="9" fontId="7" fillId="0" borderId="53" applyNumberFormat="0" applyFont="0" applyFill="0" applyAlignment="0" applyProtection="0"/>
    <xf numFmtId="0" fontId="189" fillId="0" borderId="45" applyNumberFormat="0" applyFont="0" applyFill="0" applyAlignment="0" applyProtection="0"/>
    <xf numFmtId="0" fontId="189" fillId="0" borderId="54" applyNumberFormat="0" applyFont="0" applyFill="0" applyAlignment="0" applyProtection="0"/>
    <xf numFmtId="38" fontId="193" fillId="80" borderId="0" applyNumberFormat="0" applyFont="0" applyBorder="0" applyAlignment="0" applyProtection="0">
      <alignment horizontal="center"/>
    </xf>
    <xf numFmtId="238" fontId="61" fillId="0" borderId="0" applyFont="0" applyFill="0" applyBorder="0" applyAlignment="0" applyProtection="0"/>
    <xf numFmtId="239" fontId="7" fillId="0" borderId="0" applyFill="0" applyBorder="0" applyAlignment="0"/>
    <xf numFmtId="240" fontId="7" fillId="0" borderId="0" applyFill="0" applyBorder="0" applyAlignment="0"/>
    <xf numFmtId="241" fontId="7" fillId="0" borderId="0" applyFill="0" applyBorder="0" applyAlignment="0"/>
    <xf numFmtId="242" fontId="7" fillId="0" borderId="0" applyFill="0" applyBorder="0" applyAlignment="0"/>
    <xf numFmtId="243" fontId="7" fillId="0" borderId="0" applyFill="0" applyBorder="0" applyAlignment="0"/>
    <xf numFmtId="244" fontId="7" fillId="0" borderId="0" applyFill="0" applyBorder="0" applyAlignment="0"/>
    <xf numFmtId="239" fontId="7" fillId="0" borderId="0" applyFill="0" applyBorder="0" applyAlignment="0"/>
    <xf numFmtId="195" fontId="191" fillId="0" borderId="0" applyFont="0" applyFill="0" applyBorder="0" applyAlignment="0">
      <alignment horizontal="center"/>
    </xf>
    <xf numFmtId="0" fontId="80" fillId="0" borderId="0" applyFill="0" applyBorder="0" applyProtection="0">
      <alignment horizontal="center"/>
      <protection locked="0"/>
    </xf>
    <xf numFmtId="1" fontId="194" fillId="0" borderId="0"/>
    <xf numFmtId="38" fontId="195" fillId="0" borderId="37"/>
    <xf numFmtId="37" fontId="8" fillId="0" borderId="0" applyFont="0" applyFill="0" applyBorder="0" applyAlignment="0" applyProtection="0"/>
    <xf numFmtId="245" fontId="7" fillId="0" borderId="0"/>
    <xf numFmtId="245" fontId="7" fillId="0" borderId="0"/>
    <xf numFmtId="245" fontId="7" fillId="0" borderId="0"/>
    <xf numFmtId="245" fontId="7" fillId="0" borderId="0"/>
    <xf numFmtId="245" fontId="7" fillId="0" borderId="0"/>
    <xf numFmtId="245" fontId="7" fillId="0" borderId="0"/>
    <xf numFmtId="245" fontId="7" fillId="0" borderId="0"/>
    <xf numFmtId="245" fontId="7" fillId="0" borderId="0"/>
    <xf numFmtId="243" fontId="7" fillId="0" borderId="0" applyFont="0" applyFill="0" applyBorder="0" applyAlignment="0" applyProtection="0"/>
    <xf numFmtId="40" fontId="191" fillId="0" borderId="0" applyFont="0" applyFill="0" applyBorder="0" applyAlignment="0" applyProtection="0">
      <alignment horizontal="center"/>
    </xf>
    <xf numFmtId="246" fontId="191" fillId="0" borderId="0" applyFont="0" applyFill="0" applyBorder="0" applyAlignment="0" applyProtection="0">
      <alignment horizontal="center"/>
    </xf>
    <xf numFmtId="247" fontId="10" fillId="0" borderId="0" applyFont="0" applyFill="0" applyBorder="0" applyAlignment="0" applyProtection="0"/>
    <xf numFmtId="248" fontId="196" fillId="0" borderId="0" applyFont="0" applyFill="0" applyBorder="0" applyAlignment="0" applyProtection="0"/>
    <xf numFmtId="249" fontId="196" fillId="0" borderId="0" applyFont="0" applyFill="0" applyBorder="0" applyAlignment="0" applyProtection="0"/>
    <xf numFmtId="250" fontId="133" fillId="0" borderId="0">
      <alignment vertical="center"/>
    </xf>
    <xf numFmtId="251" fontId="10" fillId="0" borderId="0">
      <alignment vertical="center"/>
    </xf>
    <xf numFmtId="195" fontId="197" fillId="0" borderId="0" applyFont="0" applyFill="0" applyBorder="0" applyAlignment="0" applyProtection="0"/>
    <xf numFmtId="252" fontId="77" fillId="0" borderId="0" applyFont="0" applyFill="0" applyBorder="0" applyAlignment="0" applyProtection="0"/>
    <xf numFmtId="0" fontId="45" fillId="0" borderId="0"/>
    <xf numFmtId="3" fontId="198" fillId="0" borderId="0" applyFont="0" applyFill="0" applyBorder="0" applyAlignment="0" applyProtection="0"/>
    <xf numFmtId="0" fontId="199" fillId="0" borderId="0" applyFill="0" applyBorder="0" applyAlignment="0" applyProtection="0">
      <protection locked="0"/>
    </xf>
    <xf numFmtId="210" fontId="200" fillId="0" borderId="0" applyFill="0" applyBorder="0">
      <alignment horizontal="left"/>
    </xf>
    <xf numFmtId="0" fontId="201" fillId="0" borderId="0" applyNumberFormat="0" applyAlignment="0">
      <alignment horizontal="left"/>
    </xf>
    <xf numFmtId="0" fontId="45" fillId="0" borderId="0"/>
    <xf numFmtId="239" fontId="7" fillId="0" borderId="0" applyFont="0" applyFill="0" applyBorder="0" applyAlignment="0" applyProtection="0"/>
    <xf numFmtId="8" fontId="189" fillId="0" borderId="0" applyFont="0" applyFill="0" applyBorder="0" applyAlignment="0" applyProtection="0"/>
    <xf numFmtId="253" fontId="189" fillId="0" borderId="0" applyFont="0" applyFill="0" applyBorder="0" applyAlignment="0" applyProtection="0"/>
    <xf numFmtId="254" fontId="196" fillId="0" borderId="0" applyFont="0" applyFill="0" applyBorder="0" applyAlignment="0" applyProtection="0"/>
    <xf numFmtId="255" fontId="196" fillId="0" borderId="0" applyFont="0" applyFill="0" applyBorder="0" applyAlignment="0" applyProtection="0"/>
    <xf numFmtId="256" fontId="196" fillId="0" borderId="0" applyFont="0" applyFill="0" applyBorder="0" applyAlignment="0" applyProtection="0"/>
    <xf numFmtId="257" fontId="10" fillId="0" borderId="55">
      <alignment vertical="center"/>
    </xf>
    <xf numFmtId="258" fontId="10" fillId="0" borderId="0">
      <alignment vertical="center"/>
    </xf>
    <xf numFmtId="259" fontId="202" fillId="0" borderId="0" applyFont="0" applyFill="0" applyBorder="0" applyAlignment="0" applyProtection="0"/>
    <xf numFmtId="201" fontId="76" fillId="0" borderId="0"/>
    <xf numFmtId="7" fontId="203" fillId="0" borderId="0" applyFill="0" applyBorder="0" applyProtection="0"/>
    <xf numFmtId="260" fontId="10" fillId="34" borderId="0" applyFont="0" applyBorder="0"/>
    <xf numFmtId="261" fontId="61" fillId="0" borderId="0" applyFont="0" applyFill="0" applyBorder="0" applyAlignment="0" applyProtection="0"/>
    <xf numFmtId="8" fontId="204" fillId="0" borderId="0" applyNumberFormat="0" applyFill="0" applyBorder="0" applyAlignment="0"/>
    <xf numFmtId="15" fontId="12" fillId="0" borderId="0" applyFill="0" applyBorder="0" applyAlignment="0"/>
    <xf numFmtId="0" fontId="12" fillId="35" borderId="0" applyFont="0" applyFill="0" applyBorder="0" applyAlignment="0" applyProtection="0"/>
    <xf numFmtId="0" fontId="205" fillId="35" borderId="56" applyFont="0" applyFill="0" applyBorder="0" applyAlignment="0" applyProtection="0"/>
    <xf numFmtId="17" fontId="12" fillId="0" borderId="0" applyFill="0" applyBorder="0">
      <alignment horizontal="right"/>
    </xf>
    <xf numFmtId="14" fontId="102" fillId="0" borderId="0" applyFill="0" applyBorder="0" applyAlignment="0"/>
    <xf numFmtId="14" fontId="206" fillId="0" borderId="0">
      <alignment horizontal="right"/>
      <protection locked="0"/>
    </xf>
    <xf numFmtId="0" fontId="207" fillId="0" borderId="0">
      <protection locked="0"/>
    </xf>
    <xf numFmtId="263" fontId="9" fillId="0" borderId="0"/>
    <xf numFmtId="0" fontId="189" fillId="0" borderId="0"/>
    <xf numFmtId="0" fontId="76" fillId="0" borderId="0">
      <protection locked="0"/>
    </xf>
    <xf numFmtId="7" fontId="189" fillId="0" borderId="0"/>
    <xf numFmtId="243" fontId="7" fillId="0" borderId="0" applyFill="0" applyBorder="0" applyAlignment="0"/>
    <xf numFmtId="239" fontId="7" fillId="0" borderId="0" applyFill="0" applyBorder="0" applyAlignment="0"/>
    <xf numFmtId="243" fontId="7" fillId="0" borderId="0" applyFill="0" applyBorder="0" applyAlignment="0"/>
    <xf numFmtId="244" fontId="7" fillId="0" borderId="0" applyFill="0" applyBorder="0" applyAlignment="0"/>
    <xf numFmtId="239" fontId="7" fillId="0" borderId="0" applyFill="0" applyBorder="0" applyAlignment="0"/>
    <xf numFmtId="0" fontId="208" fillId="0" borderId="0" applyNumberFormat="0" applyAlignment="0">
      <alignment horizontal="left"/>
    </xf>
    <xf numFmtId="264" fontId="209" fillId="0" borderId="0"/>
    <xf numFmtId="3" fontId="210" fillId="0" borderId="0" applyNumberFormat="0" applyFont="0" applyFill="0" applyBorder="0" applyAlignment="0" applyProtection="0">
      <alignment horizontal="left"/>
    </xf>
    <xf numFmtId="0" fontId="7" fillId="35" borderId="0" applyFont="0" applyFill="0" applyBorder="0" applyAlignment="0"/>
    <xf numFmtId="265" fontId="203" fillId="0" borderId="0" applyFill="0" applyBorder="0" applyProtection="0"/>
    <xf numFmtId="195" fontId="8" fillId="3" borderId="14" applyFont="0" applyBorder="0" applyAlignment="0" applyProtection="0">
      <alignment vertical="top"/>
    </xf>
    <xf numFmtId="266" fontId="61" fillId="0" borderId="0" applyBorder="0" applyProtection="0"/>
    <xf numFmtId="0" fontId="211" fillId="0" borderId="0" applyNumberFormat="0" applyFill="0" applyBorder="0" applyAlignment="0" applyProtection="0"/>
    <xf numFmtId="210" fontId="212" fillId="0" borderId="0">
      <alignment horizontal="right"/>
    </xf>
    <xf numFmtId="0" fontId="80" fillId="0" borderId="0" applyFill="0" applyAlignment="0" applyProtection="0">
      <protection locked="0"/>
    </xf>
    <xf numFmtId="210" fontId="212" fillId="0" borderId="0">
      <alignment horizontal="left"/>
    </xf>
    <xf numFmtId="0" fontId="80" fillId="0" borderId="52" applyFill="0" applyAlignment="0" applyProtection="0">
      <protection locked="0"/>
    </xf>
    <xf numFmtId="37" fontId="74" fillId="0" borderId="0">
      <alignment horizontal="left"/>
    </xf>
    <xf numFmtId="0" fontId="213" fillId="0" borderId="0">
      <alignment horizontal="center"/>
    </xf>
    <xf numFmtId="0" fontId="10" fillId="0" borderId="0"/>
    <xf numFmtId="267" fontId="7" fillId="81" borderId="0" applyNumberFormat="0" applyFont="0" applyBorder="0" applyAlignment="0"/>
    <xf numFmtId="8" fontId="8" fillId="35" borderId="0" applyFont="0" applyBorder="0" applyAlignment="0" applyProtection="0">
      <protection locked="0"/>
    </xf>
    <xf numFmtId="15" fontId="8" fillId="35" borderId="0" applyFont="0" applyBorder="0" applyAlignment="0" applyProtection="0">
      <protection locked="0"/>
    </xf>
    <xf numFmtId="0" fontId="8" fillId="35" borderId="0" applyFont="0" applyBorder="0" applyAlignment="0">
      <protection locked="0"/>
    </xf>
    <xf numFmtId="38" fontId="8" fillId="35" borderId="0">
      <protection locked="0"/>
    </xf>
    <xf numFmtId="0" fontId="8" fillId="35" borderId="0" applyFont="0" applyBorder="0" applyAlignment="0">
      <protection locked="0"/>
    </xf>
    <xf numFmtId="10" fontId="8" fillId="35" borderId="0">
      <protection locked="0"/>
    </xf>
    <xf numFmtId="0" fontId="36" fillId="35" borderId="0" applyNumberFormat="0" applyBorder="0" applyAlignment="0">
      <protection locked="0"/>
    </xf>
    <xf numFmtId="268" fontId="8" fillId="35" borderId="0" applyNumberFormat="0" applyFont="0" applyBorder="0" applyAlignment="0" applyProtection="0">
      <alignment horizontal="center"/>
      <protection locked="0"/>
    </xf>
    <xf numFmtId="206" fontId="8" fillId="35" borderId="52" applyNumberFormat="0" applyFont="0" applyAlignment="0" applyProtection="0">
      <alignment horizontal="center"/>
      <protection locked="0"/>
    </xf>
    <xf numFmtId="269" fontId="9" fillId="0" borderId="0"/>
    <xf numFmtId="195" fontId="214" fillId="0" borderId="0">
      <alignment horizontal="center"/>
    </xf>
    <xf numFmtId="1" fontId="215" fillId="1" borderId="57">
      <protection locked="0"/>
    </xf>
    <xf numFmtId="270" fontId="189" fillId="47" borderId="0" applyFill="0" applyProtection="0">
      <alignment horizontal="left"/>
    </xf>
    <xf numFmtId="271" fontId="189" fillId="0" borderId="0">
      <alignment horizontal="left"/>
    </xf>
    <xf numFmtId="243" fontId="7" fillId="0" borderId="0" applyFill="0" applyBorder="0" applyAlignment="0"/>
    <xf numFmtId="239" fontId="7" fillId="0" borderId="0" applyFill="0" applyBorder="0" applyAlignment="0"/>
    <xf numFmtId="243" fontId="7" fillId="0" borderId="0" applyFill="0" applyBorder="0" applyAlignment="0"/>
    <xf numFmtId="244" fontId="7" fillId="0" borderId="0" applyFill="0" applyBorder="0" applyAlignment="0"/>
    <xf numFmtId="239" fontId="7" fillId="0" borderId="0" applyFill="0" applyBorder="0" applyAlignment="0"/>
    <xf numFmtId="37" fontId="216" fillId="0" borderId="0" applyNumberFormat="0" applyFill="0" applyBorder="0" applyAlignment="0" applyProtection="0">
      <alignment horizontal="right"/>
    </xf>
    <xf numFmtId="272" fontId="7" fillId="0" borderId="0" applyFont="0">
      <alignment horizontal="right"/>
    </xf>
    <xf numFmtId="273" fontId="7" fillId="0" borderId="0">
      <alignment horizontal="right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2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274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8" fillId="0" borderId="0" applyNumberFormat="0">
      <alignment horizontal="left"/>
    </xf>
    <xf numFmtId="0" fontId="205" fillId="34" borderId="0" applyFont="0" applyBorder="0" applyAlignment="0" applyProtection="0">
      <alignment horizontal="right"/>
      <protection hidden="1"/>
    </xf>
    <xf numFmtId="37" fontId="217" fillId="0" borderId="58" applyNumberFormat="0" applyFont="0" applyFill="0" applyBorder="0" applyAlignment="0" applyProtection="0">
      <alignment horizontal="left"/>
    </xf>
    <xf numFmtId="38" fontId="8" fillId="0" borderId="0" applyFont="0" applyFill="0" applyBorder="0" applyAlignment="0"/>
    <xf numFmtId="0" fontId="7" fillId="0" borderId="0" applyFont="0" applyFill="0" applyBorder="0" applyAlignment="0"/>
    <xf numFmtId="40" fontId="8" fillId="0" borderId="0" applyFont="0" applyFill="0" applyBorder="0" applyAlignment="0"/>
    <xf numFmtId="0" fontId="8" fillId="0" borderId="0" applyFont="0" applyFill="0" applyBorder="0" applyAlignment="0"/>
    <xf numFmtId="0" fontId="12" fillId="0" borderId="0" applyNumberFormat="0" applyFill="0" applyBorder="0" applyAlignment="0" applyProtection="0"/>
    <xf numFmtId="0" fontId="8" fillId="0" borderId="0" applyFont="0" applyFill="0" applyBorder="0" applyAlignment="0" applyProtection="0"/>
    <xf numFmtId="267" fontId="218" fillId="0" borderId="0">
      <alignment horizontal="left"/>
      <protection locked="0"/>
    </xf>
    <xf numFmtId="267" fontId="74" fillId="0" borderId="0">
      <alignment horizontal="left"/>
      <protection locked="0"/>
    </xf>
    <xf numFmtId="0" fontId="219" fillId="0" borderId="0" applyFill="0" applyBorder="0" applyAlignment="0" applyProtection="0"/>
    <xf numFmtId="37" fontId="220" fillId="0" borderId="0" applyNumberFormat="0" applyFont="0" applyFill="0" applyBorder="0" applyAlignment="0" applyProtection="0"/>
    <xf numFmtId="0" fontId="205" fillId="0" borderId="0" applyFont="0" applyFill="0" applyBorder="0" applyAlignment="0" applyProtection="0"/>
    <xf numFmtId="1" fontId="76" fillId="0" borderId="0">
      <alignment horizontal="right"/>
      <protection locked="0"/>
    </xf>
    <xf numFmtId="275" fontId="221" fillId="0" borderId="0">
      <alignment horizontal="right"/>
      <protection locked="0"/>
    </xf>
    <xf numFmtId="267" fontId="20" fillId="0" borderId="0">
      <protection locked="0"/>
    </xf>
    <xf numFmtId="2" fontId="221" fillId="0" borderId="0">
      <alignment horizontal="right"/>
      <protection locked="0"/>
    </xf>
    <xf numFmtId="2" fontId="76" fillId="0" borderId="0">
      <alignment horizontal="right"/>
      <protection locked="0"/>
    </xf>
    <xf numFmtId="276" fontId="222" fillId="0" borderId="0" applyFill="0" applyBorder="0" applyAlignment="0" applyProtection="0"/>
    <xf numFmtId="0" fontId="205" fillId="0" borderId="0" applyFont="0" applyFill="0" applyBorder="0" applyAlignment="0" applyProtection="0"/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223" fillId="0" borderId="0" applyProtection="0">
      <alignment horizontal="left"/>
    </xf>
    <xf numFmtId="0" fontId="223" fillId="0" borderId="0" applyFill="0" applyBorder="0" applyProtection="0">
      <alignment horizontal="left"/>
    </xf>
    <xf numFmtId="0" fontId="128" fillId="0" borderId="0" applyFill="0" applyBorder="0" applyProtection="0">
      <alignment horizontal="left"/>
    </xf>
    <xf numFmtId="0" fontId="8" fillId="0" borderId="0"/>
    <xf numFmtId="14" fontId="189" fillId="0" borderId="0">
      <alignment horizontal="center" wrapText="1"/>
      <protection locked="0"/>
    </xf>
    <xf numFmtId="206" fontId="189" fillId="0" borderId="0">
      <alignment horizontal="right"/>
    </xf>
    <xf numFmtId="277" fontId="196" fillId="0" borderId="0" applyFont="0" applyFill="0" applyBorder="0" applyAlignment="0" applyProtection="0"/>
    <xf numFmtId="278" fontId="10" fillId="0" borderId="0" applyFont="0" applyFill="0" applyBorder="0" applyAlignment="0" applyProtection="0"/>
    <xf numFmtId="279" fontId="224" fillId="0" borderId="0" applyFont="0" applyFill="0" applyBorder="0" applyAlignment="0" applyProtection="0"/>
    <xf numFmtId="280" fontId="7" fillId="0" borderId="0" applyFont="0" applyFill="0" applyBorder="0" applyAlignment="0" applyProtection="0"/>
    <xf numFmtId="281" fontId="7" fillId="0" borderId="0" applyFont="0" applyFill="0" applyBorder="0" applyAlignment="0" applyProtection="0"/>
    <xf numFmtId="282" fontId="191" fillId="0" borderId="0" applyFont="0" applyFill="0" applyBorder="0" applyAlignment="0" applyProtection="0">
      <alignment horizontal="center"/>
    </xf>
    <xf numFmtId="206" fontId="78" fillId="0" borderId="0"/>
    <xf numFmtId="283" fontId="196" fillId="0" borderId="0" applyFont="0" applyFill="0" applyBorder="0" applyAlignment="0" applyProtection="0"/>
    <xf numFmtId="284" fontId="10" fillId="0" borderId="0" applyFont="0" applyFill="0" applyBorder="0" applyAlignment="0" applyProtection="0"/>
    <xf numFmtId="285" fontId="224" fillId="0" borderId="0" applyFont="0" applyFill="0" applyBorder="0" applyAlignment="0" applyProtection="0"/>
    <xf numFmtId="206" fontId="78" fillId="0" borderId="0"/>
    <xf numFmtId="286" fontId="196" fillId="0" borderId="0" applyFont="0" applyFill="0" applyBorder="0" applyAlignment="0" applyProtection="0"/>
    <xf numFmtId="287" fontId="10" fillId="0" borderId="0" applyFont="0" applyFill="0" applyBorder="0" applyAlignment="0" applyProtection="0"/>
    <xf numFmtId="288" fontId="224" fillId="0" borderId="0" applyFont="0" applyFill="0" applyBorder="0" applyAlignment="0" applyProtection="0"/>
    <xf numFmtId="289" fontId="196" fillId="0" borderId="0" applyFont="0" applyFill="0" applyBorder="0" applyAlignment="0" applyProtection="0"/>
    <xf numFmtId="290" fontId="10" fillId="0" borderId="0" applyFont="0" applyFill="0" applyBorder="0" applyAlignment="0" applyProtection="0"/>
    <xf numFmtId="291" fontId="224" fillId="0" borderId="0" applyFont="0" applyFill="0" applyBorder="0" applyAlignment="0" applyProtection="0"/>
    <xf numFmtId="292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49" fontId="222" fillId="0" borderId="0">
      <alignment vertical="center"/>
    </xf>
    <xf numFmtId="294" fontId="222" fillId="0" borderId="0">
      <alignment vertical="center"/>
    </xf>
    <xf numFmtId="295" fontId="197" fillId="0" borderId="0" applyFont="0" applyFill="0" applyBorder="0" applyAlignment="0" applyProtection="0"/>
    <xf numFmtId="296" fontId="189" fillId="0" borderId="0" applyFont="0" applyFill="0" applyBorder="0" applyProtection="0">
      <alignment horizontal="right"/>
    </xf>
    <xf numFmtId="9" fontId="10" fillId="0" borderId="0" applyFill="0" applyBorder="0" applyAlignment="0" applyProtection="0"/>
    <xf numFmtId="206" fontId="189" fillId="0" borderId="0"/>
    <xf numFmtId="206" fontId="76" fillId="0" borderId="0"/>
    <xf numFmtId="10" fontId="189" fillId="0" borderId="0"/>
    <xf numFmtId="10" fontId="76" fillId="0" borderId="0">
      <protection locked="0"/>
    </xf>
    <xf numFmtId="0" fontId="205" fillId="0" borderId="0" applyFont="0" applyFill="0" applyBorder="0" applyAlignment="0" applyProtection="0"/>
    <xf numFmtId="282" fontId="203" fillId="0" borderId="0" applyFill="0" applyBorder="0" applyProtection="0"/>
    <xf numFmtId="243" fontId="7" fillId="0" borderId="0" applyFill="0" applyBorder="0" applyAlignment="0"/>
    <xf numFmtId="239" fontId="7" fillId="0" borderId="0" applyFill="0" applyBorder="0" applyAlignment="0"/>
    <xf numFmtId="243" fontId="7" fillId="0" borderId="0" applyFill="0" applyBorder="0" applyAlignment="0"/>
    <xf numFmtId="244" fontId="7" fillId="0" borderId="0" applyFill="0" applyBorder="0" applyAlignment="0"/>
    <xf numFmtId="239" fontId="7" fillId="0" borderId="0" applyFill="0" applyBorder="0" applyAlignment="0"/>
    <xf numFmtId="297" fontId="189" fillId="0" borderId="0" applyProtection="0">
      <alignment horizontal="right"/>
    </xf>
    <xf numFmtId="297" fontId="76" fillId="0" borderId="0">
      <alignment horizontal="right"/>
      <protection locked="0"/>
    </xf>
    <xf numFmtId="0" fontId="225" fillId="0" borderId="0"/>
    <xf numFmtId="37" fontId="26" fillId="39" borderId="0" applyNumberFormat="0" applyFont="0" applyFill="0" applyBorder="0" applyAlignment="0" applyProtection="0"/>
    <xf numFmtId="0" fontId="12" fillId="34" borderId="14" applyNumberFormat="0" applyFont="0" applyAlignment="0" applyProtection="0"/>
    <xf numFmtId="268" fontId="8" fillId="34" borderId="0" applyNumberFormat="0" applyFont="0" applyBorder="0" applyAlignment="0" applyProtection="0">
      <alignment horizontal="center"/>
      <protection locked="0"/>
    </xf>
    <xf numFmtId="9" fontId="69" fillId="0" borderId="0" applyFont="0" applyFill="0" applyProtection="0"/>
    <xf numFmtId="44" fontId="10" fillId="0" borderId="0">
      <alignment horizontal="center"/>
    </xf>
    <xf numFmtId="0" fontId="78" fillId="0" borderId="0" applyNumberFormat="0" applyFont="0" applyFill="0" applyBorder="0" applyAlignment="0" applyProtection="0">
      <alignment horizontal="left"/>
    </xf>
    <xf numFmtId="15" fontId="78" fillId="0" borderId="0" applyFont="0" applyFill="0" applyBorder="0" applyAlignment="0" applyProtection="0"/>
    <xf numFmtId="4" fontId="78" fillId="0" borderId="0" applyFont="0" applyFill="0" applyBorder="0" applyAlignment="0" applyProtection="0"/>
    <xf numFmtId="0" fontId="226" fillId="0" borderId="45">
      <alignment horizontal="center"/>
    </xf>
    <xf numFmtId="3" fontId="78" fillId="0" borderId="0" applyFont="0" applyFill="0" applyBorder="0" applyAlignment="0" applyProtection="0"/>
    <xf numFmtId="0" fontId="78" fillId="82" borderId="0" applyNumberFormat="0" applyFont="0" applyBorder="0" applyAlignment="0" applyProtection="0"/>
    <xf numFmtId="38" fontId="78" fillId="0" borderId="0"/>
    <xf numFmtId="0" fontId="33" fillId="0" borderId="0" applyNumberFormat="0" applyFill="0" applyBorder="0" applyAlignment="0" applyProtection="0">
      <alignment horizontal="left"/>
    </xf>
    <xf numFmtId="0" fontId="227" fillId="83" borderId="0" applyNumberFormat="0" applyFont="0" applyBorder="0" applyAlignment="0">
      <alignment horizontal="center"/>
    </xf>
    <xf numFmtId="14" fontId="203" fillId="0" borderId="0" applyNumberFormat="0" applyFill="0" applyBorder="0" applyAlignment="0" applyProtection="0">
      <alignment horizontal="left"/>
    </xf>
    <xf numFmtId="0" fontId="10" fillId="0" borderId="14" applyNumberFormat="0" applyAlignment="0"/>
    <xf numFmtId="298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4" borderId="0" applyNumberFormat="0" applyFont="0" applyBorder="0" applyAlignment="0" applyProtection="0"/>
    <xf numFmtId="0" fontId="227" fillId="1" borderId="53" applyNumberFormat="0" applyFont="0" applyAlignment="0">
      <alignment horizontal="center"/>
    </xf>
    <xf numFmtId="0" fontId="228" fillId="0" borderId="0" applyNumberFormat="0" applyFill="0" applyBorder="0" applyAlignment="0">
      <alignment horizontal="center"/>
    </xf>
    <xf numFmtId="0" fontId="69" fillId="0" borderId="0"/>
    <xf numFmtId="0" fontId="8" fillId="84" borderId="0" applyNumberFormat="0" applyFont="0" applyBorder="0" applyAlignment="0">
      <protection hidden="1"/>
    </xf>
    <xf numFmtId="0" fontId="229" fillId="0" borderId="59"/>
    <xf numFmtId="0" fontId="229" fillId="0" borderId="59"/>
    <xf numFmtId="0" fontId="12" fillId="0" borderId="24" applyNumberFormat="0" applyFill="0" applyProtection="0"/>
    <xf numFmtId="0" fontId="80" fillId="0" borderId="0" applyNumberFormat="0" applyFill="0" applyBorder="0" applyProtection="0"/>
    <xf numFmtId="0" fontId="12" fillId="0" borderId="24" applyNumberFormat="0" applyFill="0" applyProtection="0">
      <alignment horizontal="center" wrapText="1"/>
    </xf>
    <xf numFmtId="0" fontId="12" fillId="0" borderId="0" applyNumberFormat="0" applyFill="0" applyBorder="0" applyProtection="0">
      <alignment horizontal="center"/>
    </xf>
    <xf numFmtId="0" fontId="12" fillId="0" borderId="0" applyNumberFormat="0" applyFill="0" applyBorder="0" applyProtection="0"/>
    <xf numFmtId="4" fontId="8" fillId="0" borderId="0" applyFill="0" applyBorder="0" applyProtection="0">
      <alignment horizontal="right"/>
    </xf>
    <xf numFmtId="0" fontId="8" fillId="0" borderId="0" applyNumberFormat="0" applyFill="0" applyBorder="0" applyProtection="0">
      <alignment horizontal="left"/>
    </xf>
    <xf numFmtId="299" fontId="8" fillId="0" borderId="0" applyFill="0" applyBorder="0" applyProtection="0">
      <alignment horizontal="left" vertical="top" wrapText="1"/>
    </xf>
    <xf numFmtId="0" fontId="8" fillId="0" borderId="0" applyNumberFormat="0" applyFill="0" applyBorder="0" applyProtection="0">
      <alignment horizontal="left" vertical="top" wrapText="1"/>
    </xf>
    <xf numFmtId="0" fontId="8" fillId="0" borderId="0" applyNumberFormat="0" applyFill="0" applyBorder="0" applyProtection="0">
      <alignment horizontal="left" vertical="top" wrapText="1"/>
    </xf>
    <xf numFmtId="299" fontId="171" fillId="79" borderId="0" applyBorder="0" applyProtection="0">
      <alignment horizontal="left" vertical="top" wrapText="1"/>
    </xf>
    <xf numFmtId="299" fontId="18" fillId="0" borderId="0" applyFill="0" applyBorder="0" applyProtection="0">
      <alignment horizontal="left" vertical="top" wrapText="1"/>
    </xf>
    <xf numFmtId="0" fontId="170" fillId="79" borderId="0" applyNumberFormat="0" applyBorder="0" applyProtection="0">
      <alignment vertical="top" wrapText="1"/>
    </xf>
    <xf numFmtId="0" fontId="21" fillId="4" borderId="0" applyNumberFormat="0" applyBorder="0" applyProtection="0">
      <alignment vertical="top" wrapText="1"/>
    </xf>
    <xf numFmtId="299" fontId="34" fillId="0" borderId="0" applyFill="0" applyBorder="0" applyProtection="0">
      <alignment horizontal="left" wrapText="1"/>
    </xf>
    <xf numFmtId="3" fontId="12" fillId="0" borderId="0" applyFill="0" applyBorder="0" applyProtection="0">
      <alignment horizontal="left" wrapText="1"/>
    </xf>
    <xf numFmtId="0" fontId="230" fillId="0" borderId="24" applyNumberFormat="0" applyFill="0" applyProtection="0">
      <alignment horizontal="left" vertical="top" wrapText="1"/>
    </xf>
    <xf numFmtId="262" fontId="8" fillId="0" borderId="0" applyFill="0" applyBorder="0" applyProtection="0">
      <alignment horizontal="left" wrapText="1"/>
    </xf>
    <xf numFmtId="299" fontId="12" fillId="0" borderId="0" applyFill="0" applyBorder="0" applyProtection="0">
      <alignment horizontal="center" wrapText="1"/>
    </xf>
    <xf numFmtId="299" fontId="34" fillId="0" borderId="0" applyFill="0" applyBorder="0" applyProtection="0">
      <alignment horizontal="center" wrapText="1"/>
    </xf>
    <xf numFmtId="299" fontId="157" fillId="4" borderId="0" applyBorder="0" applyProtection="0">
      <alignment horizontal="left" wrapText="1"/>
    </xf>
    <xf numFmtId="0" fontId="12" fillId="0" borderId="0" applyNumberFormat="0" applyFill="0" applyBorder="0" applyProtection="0">
      <alignment horizontal="center" wrapText="1"/>
    </xf>
    <xf numFmtId="0" fontId="34" fillId="0" borderId="0" applyNumberFormat="0" applyFill="0" applyBorder="0" applyProtection="0">
      <alignment horizontal="left" vertical="top" wrapText="1"/>
    </xf>
    <xf numFmtId="4" fontId="34" fillId="0" borderId="0" applyFill="0" applyBorder="0" applyProtection="0">
      <alignment horizontal="left" vertical="top" wrapText="1"/>
    </xf>
    <xf numFmtId="0" fontId="34" fillId="0" borderId="0" applyNumberFormat="0" applyFill="0" applyBorder="0" applyProtection="0">
      <alignment horizontal="left" wrapText="1"/>
    </xf>
    <xf numFmtId="0" fontId="34" fillId="0" borderId="0" applyNumberFormat="0" applyFill="0" applyBorder="0" applyProtection="0">
      <alignment horizontal="right" vertical="top" wrapText="1"/>
    </xf>
    <xf numFmtId="0" fontId="34" fillId="0" borderId="0" applyNumberFormat="0" applyFill="0" applyBorder="0" applyProtection="0">
      <alignment horizontal="right" wrapText="1"/>
    </xf>
    <xf numFmtId="0" fontId="34" fillId="0" borderId="0" applyNumberFormat="0" applyFill="0" applyBorder="0" applyProtection="0">
      <alignment horizontal="center" vertical="top" wrapText="1"/>
    </xf>
    <xf numFmtId="0" fontId="34" fillId="0" borderId="0" applyNumberFormat="0" applyFill="0" applyBorder="0" applyProtection="0">
      <alignment horizontal="center" wrapText="1"/>
    </xf>
    <xf numFmtId="0" fontId="18" fillId="0" borderId="0" applyNumberFormat="0" applyFill="0" applyBorder="0" applyProtection="0">
      <alignment horizontal="left" vertical="top" wrapText="1"/>
    </xf>
    <xf numFmtId="0" fontId="18" fillId="0" borderId="0" applyNumberFormat="0" applyFill="0" applyBorder="0" applyProtection="0">
      <alignment horizontal="left" wrapText="1"/>
    </xf>
    <xf numFmtId="0" fontId="18" fillId="0" borderId="0" applyNumberFormat="0" applyFill="0" applyBorder="0" applyProtection="0">
      <alignment horizontal="right" vertical="top" wrapText="1"/>
    </xf>
    <xf numFmtId="0" fontId="18" fillId="0" borderId="0" applyNumberFormat="0" applyFill="0" applyBorder="0" applyProtection="0">
      <alignment horizontal="right" wrapText="1"/>
    </xf>
    <xf numFmtId="0" fontId="18" fillId="0" borderId="0" applyNumberFormat="0" applyFill="0" applyBorder="0" applyProtection="0">
      <alignment horizontal="center" vertical="top" wrapText="1"/>
    </xf>
    <xf numFmtId="0" fontId="18" fillId="0" borderId="0" applyNumberFormat="0" applyFill="0" applyBorder="0" applyProtection="0">
      <alignment horizontal="center" wrapText="1"/>
    </xf>
    <xf numFmtId="0" fontId="170" fillId="79" borderId="0" applyNumberFormat="0" applyBorder="0" applyProtection="0">
      <alignment horizontal="left" wrapText="1"/>
    </xf>
    <xf numFmtId="0" fontId="170" fillId="79" borderId="0" applyNumberFormat="0" applyBorder="0" applyProtection="0">
      <alignment horizontal="left"/>
    </xf>
    <xf numFmtId="0" fontId="21" fillId="4" borderId="0" applyNumberFormat="0" applyBorder="0" applyProtection="0">
      <alignment vertical="top" wrapText="1"/>
    </xf>
    <xf numFmtId="4" fontId="8" fillId="0" borderId="0" applyFill="0" applyBorder="0" applyProtection="0">
      <alignment horizontal="right"/>
    </xf>
    <xf numFmtId="299" fontId="8" fillId="0" borderId="0" applyFill="0" applyBorder="0" applyProtection="0">
      <alignment horizontal="right"/>
    </xf>
    <xf numFmtId="4" fontId="12" fillId="0" borderId="0" applyFill="0" applyBorder="0" applyProtection="0">
      <alignment horizontal="right"/>
    </xf>
    <xf numFmtId="4" fontId="18" fillId="0" borderId="0" applyFill="0" applyBorder="0" applyProtection="0">
      <alignment horizontal="right"/>
    </xf>
    <xf numFmtId="14" fontId="8" fillId="0" borderId="0" applyFill="0" applyBorder="0" applyProtection="0">
      <alignment horizontal="right" vertical="top" wrapText="1"/>
    </xf>
    <xf numFmtId="0" fontId="57" fillId="0" borderId="24" applyNumberFormat="0" applyFill="0" applyProtection="0">
      <alignment horizontal="left" vertical="top"/>
    </xf>
    <xf numFmtId="0" fontId="170" fillId="79" borderId="0" applyNumberFormat="0" applyBorder="0" applyProtection="0">
      <alignment horizontal="right"/>
    </xf>
    <xf numFmtId="0" fontId="21" fillId="4" borderId="0" applyNumberFormat="0" applyBorder="0" applyProtection="0">
      <alignment vertical="top" wrapText="1"/>
    </xf>
    <xf numFmtId="300" fontId="21" fillId="4" borderId="0" applyBorder="0" applyProtection="0">
      <alignment vertical="top" wrapText="1"/>
    </xf>
    <xf numFmtId="4" fontId="8" fillId="0" borderId="0" applyFill="0" applyBorder="0" applyProtection="0">
      <alignment horizontal="right"/>
    </xf>
    <xf numFmtId="300" fontId="8" fillId="0" borderId="0" applyFill="0" applyBorder="0" applyProtection="0">
      <alignment horizontal="right"/>
    </xf>
    <xf numFmtId="3" fontId="8" fillId="0" borderId="0" applyFill="0" applyBorder="0" applyProtection="0">
      <alignment horizontal="right"/>
    </xf>
    <xf numFmtId="299" fontId="8" fillId="0" borderId="0" applyFill="0" applyBorder="0" applyProtection="0">
      <alignment horizontal="right"/>
    </xf>
    <xf numFmtId="4" fontId="12" fillId="0" borderId="0" applyFill="0" applyBorder="0" applyProtection="0">
      <alignment horizontal="right"/>
    </xf>
    <xf numFmtId="4" fontId="18" fillId="0" borderId="0" applyFill="0" applyBorder="0" applyProtection="0">
      <alignment horizontal="right"/>
    </xf>
    <xf numFmtId="301" fontId="8" fillId="0" borderId="0" applyFill="0" applyBorder="0" applyProtection="0">
      <alignment horizontal="right" vertical="top" wrapText="1"/>
    </xf>
    <xf numFmtId="0" fontId="57" fillId="0" borderId="24" applyNumberFormat="0" applyFill="0" applyProtection="0">
      <alignment horizontal="left" vertical="top"/>
    </xf>
    <xf numFmtId="4" fontId="8" fillId="0" borderId="0" applyFill="0" applyBorder="0" applyProtection="0">
      <alignment horizontal="left"/>
    </xf>
    <xf numFmtId="4" fontId="8" fillId="0" borderId="0" applyFill="0" applyBorder="0" applyProtection="0">
      <alignment horizontal="center"/>
    </xf>
    <xf numFmtId="302" fontId="8" fillId="0" borderId="0" applyFill="0" applyBorder="0" applyProtection="0">
      <alignment horizontal="right"/>
    </xf>
    <xf numFmtId="303" fontId="8" fillId="0" borderId="0" applyFill="0" applyBorder="0" applyProtection="0">
      <alignment horizontal="right"/>
    </xf>
    <xf numFmtId="304" fontId="8" fillId="0" borderId="0" applyFill="0" applyBorder="0" applyProtection="0">
      <alignment horizontal="right"/>
    </xf>
    <xf numFmtId="262" fontId="8" fillId="0" borderId="0" applyFill="0" applyBorder="0" applyProtection="0">
      <alignment horizontal="right"/>
    </xf>
    <xf numFmtId="188" fontId="8" fillId="0" borderId="0" applyFill="0" applyBorder="0" applyProtection="0">
      <alignment horizontal="right"/>
    </xf>
    <xf numFmtId="4" fontId="8" fillId="0" borderId="0" applyFill="0" applyBorder="0" applyProtection="0">
      <alignment horizontal="center"/>
    </xf>
    <xf numFmtId="299" fontId="8" fillId="0" borderId="0" applyFill="0" applyBorder="0" applyProtection="0">
      <alignment horizontal="center"/>
    </xf>
    <xf numFmtId="0" fontId="8" fillId="0" borderId="0" applyNumberFormat="0" applyFill="0" applyBorder="0" applyProtection="0">
      <alignment horizontal="left" vertical="top" wrapText="1"/>
    </xf>
    <xf numFmtId="303" fontId="36" fillId="0" borderId="0" applyFill="0" applyBorder="0" applyProtection="0">
      <alignment horizontal="right"/>
    </xf>
    <xf numFmtId="302" fontId="36" fillId="0" borderId="0" applyFill="0" applyBorder="0" applyProtection="0">
      <alignment horizontal="right"/>
    </xf>
    <xf numFmtId="304" fontId="36" fillId="0" borderId="0" applyFill="0" applyBorder="0" applyProtection="0">
      <alignment horizontal="right"/>
    </xf>
    <xf numFmtId="14" fontId="36" fillId="0" borderId="0" applyFill="0" applyBorder="0" applyProtection="0">
      <alignment horizontal="right"/>
    </xf>
    <xf numFmtId="0" fontId="231" fillId="0" borderId="0" applyNumberFormat="0" applyFill="0" applyBorder="0" applyProtection="0">
      <alignment horizontal="left"/>
    </xf>
    <xf numFmtId="305" fontId="8" fillId="0" borderId="0" applyFill="0" applyBorder="0" applyProtection="0">
      <alignment horizontal="right"/>
    </xf>
    <xf numFmtId="306" fontId="8" fillId="0" borderId="0" applyFill="0" applyBorder="0" applyProtection="0">
      <alignment horizontal="right"/>
    </xf>
    <xf numFmtId="304" fontId="8" fillId="0" borderId="0" applyFill="0" applyBorder="0" applyProtection="0">
      <alignment horizontal="right"/>
    </xf>
    <xf numFmtId="0" fontId="12" fillId="0" borderId="0" applyNumberFormat="0" applyFill="0" applyBorder="0" applyProtection="0">
      <alignment horizontal="center"/>
    </xf>
    <xf numFmtId="188" fontId="8" fillId="0" borderId="0" applyFill="0" applyBorder="0" applyProtection="0">
      <alignment horizontal="right"/>
    </xf>
    <xf numFmtId="14" fontId="36" fillId="0" borderId="0" applyFill="0" applyBorder="0" applyProtection="0">
      <alignment horizontal="right"/>
    </xf>
    <xf numFmtId="0" fontId="231" fillId="0" borderId="0" applyNumberFormat="0" applyFill="0" applyBorder="0" applyProtection="0">
      <alignment horizontal="left"/>
    </xf>
    <xf numFmtId="0" fontId="8" fillId="0" borderId="0" applyNumberFormat="0" applyFill="0" applyBorder="0" applyProtection="0">
      <alignment horizontal="left" vertical="top" wrapText="1"/>
    </xf>
    <xf numFmtId="0" fontId="80" fillId="0" borderId="0" applyNumberFormat="0" applyFill="0" applyBorder="0" applyProtection="0"/>
    <xf numFmtId="0" fontId="12" fillId="0" borderId="24" applyNumberFormat="0" applyFill="0" applyProtection="0">
      <alignment horizontal="center" wrapText="1"/>
    </xf>
    <xf numFmtId="0" fontId="12" fillId="0" borderId="0" applyNumberFormat="0" applyFill="0" applyBorder="0" applyProtection="0">
      <alignment horizontal="center"/>
    </xf>
    <xf numFmtId="0" fontId="12" fillId="0" borderId="0" applyNumberFormat="0" applyFill="0" applyBorder="0" applyProtection="0"/>
    <xf numFmtId="14" fontId="36" fillId="0" borderId="0" applyFill="0" applyBorder="0" applyProtection="0">
      <alignment horizontal="right"/>
    </xf>
    <xf numFmtId="0" fontId="12" fillId="0" borderId="0" applyNumberFormat="0" applyFill="0" applyBorder="0" applyProtection="0">
      <alignment horizontal="left"/>
    </xf>
    <xf numFmtId="0" fontId="102" fillId="0" borderId="0" applyNumberFormat="0" applyBorder="0" applyAlignment="0"/>
    <xf numFmtId="0" fontId="232" fillId="0" borderId="0" applyNumberFormat="0" applyBorder="0" applyAlignment="0"/>
    <xf numFmtId="0" fontId="233" fillId="0" borderId="0" applyNumberFormat="0" applyBorder="0" applyAlignment="0"/>
    <xf numFmtId="0" fontId="103" fillId="0" borderId="0" applyNumberFormat="0" applyBorder="0" applyAlignment="0"/>
    <xf numFmtId="0" fontId="186" fillId="0" borderId="0" applyNumberFormat="0" applyBorder="0" applyAlignment="0"/>
    <xf numFmtId="0" fontId="234" fillId="0" borderId="0" applyNumberFormat="0" applyBorder="0" applyAlignment="0"/>
    <xf numFmtId="0" fontId="112" fillId="0" borderId="0" applyNumberFormat="0" applyBorder="0" applyAlignment="0"/>
    <xf numFmtId="0" fontId="63" fillId="0" borderId="0" applyNumberFormat="0" applyBorder="0" applyAlignment="0"/>
    <xf numFmtId="0" fontId="102" fillId="0" borderId="0" applyNumberFormat="0" applyBorder="0" applyAlignment="0"/>
    <xf numFmtId="0" fontId="235" fillId="0" borderId="0" applyNumberFormat="0" applyBorder="0" applyAlignment="0"/>
    <xf numFmtId="0" fontId="103" fillId="0" borderId="0" applyNumberFormat="0" applyBorder="0" applyAlignment="0"/>
    <xf numFmtId="0" fontId="236" fillId="85" borderId="0"/>
    <xf numFmtId="0" fontId="236" fillId="85" borderId="0"/>
    <xf numFmtId="0" fontId="236" fillId="85" borderId="0"/>
    <xf numFmtId="0" fontId="236" fillId="85" borderId="0"/>
    <xf numFmtId="0" fontId="236" fillId="85" borderId="0"/>
    <xf numFmtId="0" fontId="236" fillId="85" borderId="0"/>
    <xf numFmtId="0" fontId="236" fillId="85" borderId="0"/>
    <xf numFmtId="0" fontId="236" fillId="85" borderId="0"/>
    <xf numFmtId="0" fontId="7" fillId="0" borderId="0">
      <alignment horizontal="left"/>
    </xf>
    <xf numFmtId="40" fontId="237" fillId="0" borderId="0" applyBorder="0">
      <alignment horizontal="right"/>
    </xf>
    <xf numFmtId="38" fontId="238" fillId="0" borderId="0"/>
    <xf numFmtId="246" fontId="238" fillId="0" borderId="0" applyFill="0" applyBorder="0" applyProtection="0"/>
    <xf numFmtId="295" fontId="238" fillId="0" borderId="0" applyFill="0" applyBorder="0" applyProtection="0"/>
    <xf numFmtId="295" fontId="193" fillId="0" borderId="0" applyFill="0" applyBorder="0" applyProtection="0"/>
    <xf numFmtId="195" fontId="238" fillId="0" borderId="0" applyFill="0" applyBorder="0" applyProtection="0"/>
    <xf numFmtId="38" fontId="239" fillId="0" borderId="0" applyNumberFormat="0" applyFill="0" applyBorder="0" applyProtection="0">
      <alignment horizontal="center"/>
    </xf>
    <xf numFmtId="38" fontId="240" fillId="0" borderId="0" applyNumberFormat="0" applyFill="0" applyBorder="0" applyProtection="0">
      <alignment horizontal="center"/>
    </xf>
    <xf numFmtId="38" fontId="193" fillId="0" borderId="0" applyNumberFormat="0" applyFill="0" applyBorder="0" applyProtection="0">
      <alignment horizontal="center"/>
    </xf>
    <xf numFmtId="307" fontId="238" fillId="0" borderId="48" applyNumberFormat="0" applyBorder="0">
      <alignment horizontal="center"/>
    </xf>
    <xf numFmtId="0" fontId="12" fillId="34" borderId="0" applyNumberFormat="0" applyFont="0" applyBorder="0" applyAlignment="0" applyProtection="0"/>
    <xf numFmtId="206" fontId="102" fillId="42" borderId="0" applyNumberFormat="0" applyFont="0" applyBorder="0" applyAlignment="0"/>
    <xf numFmtId="0" fontId="241" fillId="0" borderId="60" applyNumberFormat="0" applyFont="0"/>
    <xf numFmtId="0" fontId="242" fillId="0" borderId="0" applyFill="0" applyBorder="0" applyProtection="0">
      <alignment horizontal="center" vertical="center"/>
    </xf>
    <xf numFmtId="0" fontId="242" fillId="0" borderId="0" applyFill="0" applyBorder="0" applyProtection="0"/>
    <xf numFmtId="0" fontId="22" fillId="3" borderId="39" applyNumberFormat="0" applyFont="0" applyFill="0" applyAlignment="0" applyProtection="0">
      <protection locked="0"/>
    </xf>
    <xf numFmtId="308" fontId="243" fillId="0" borderId="24" applyNumberFormat="0" applyFill="0" applyBorder="0">
      <alignment horizontal="left"/>
    </xf>
    <xf numFmtId="308" fontId="243" fillId="0" borderId="24" applyNumberFormat="0" applyFill="0" applyBorder="0">
      <alignment horizontal="right"/>
    </xf>
    <xf numFmtId="308" fontId="244" fillId="0" borderId="24" applyNumberFormat="0" applyFill="0" applyBorder="0">
      <alignment horizontal="right"/>
    </xf>
    <xf numFmtId="0" fontId="22" fillId="3" borderId="61" applyNumberFormat="0" applyFont="0" applyFill="0" applyAlignment="0" applyProtection="0">
      <protection locked="0"/>
    </xf>
    <xf numFmtId="0" fontId="7" fillId="86" borderId="0" applyNumberFormat="0" applyFont="0" applyBorder="0" applyAlignment="0" applyProtection="0"/>
    <xf numFmtId="0" fontId="12" fillId="0" borderId="0" applyNumberFormat="0" applyFill="0" applyBorder="0" applyAlignment="0" applyProtection="0"/>
    <xf numFmtId="210" fontId="76" fillId="0" borderId="0">
      <alignment horizontal="left"/>
      <protection locked="0"/>
    </xf>
    <xf numFmtId="49" fontId="102" fillId="0" borderId="0" applyFill="0" applyBorder="0" applyAlignment="0"/>
    <xf numFmtId="0" fontId="102" fillId="0" borderId="0" applyFill="0" applyBorder="0" applyAlignment="0"/>
    <xf numFmtId="309" fontId="7" fillId="0" borderId="0" applyFill="0" applyBorder="0" applyAlignment="0"/>
    <xf numFmtId="49" fontId="7" fillId="0" borderId="0" applyFont="0" applyFill="0" applyBorder="0" applyAlignment="0" applyProtection="0"/>
    <xf numFmtId="0" fontId="231" fillId="0" borderId="0" applyFill="0" applyBorder="0" applyAlignment="0" applyProtection="0">
      <alignment horizontal="right"/>
    </xf>
    <xf numFmtId="0" fontId="7" fillId="0" borderId="0"/>
    <xf numFmtId="310" fontId="61" fillId="0" borderId="0" applyBorder="0" applyProtection="0">
      <alignment horizontal="right"/>
    </xf>
    <xf numFmtId="0" fontId="245" fillId="0" borderId="0" applyFill="0" applyBorder="0" applyProtection="0">
      <alignment horizontal="left" vertical="top"/>
    </xf>
    <xf numFmtId="18" fontId="22" fillId="3" borderId="0" applyFont="0" applyFill="0" applyBorder="0" applyAlignment="0" applyProtection="0">
      <protection locked="0"/>
    </xf>
    <xf numFmtId="0" fontId="246" fillId="0" borderId="0" applyNumberFormat="0" applyBorder="0" applyAlignment="0"/>
    <xf numFmtId="271" fontId="133" fillId="0" borderId="0">
      <alignment horizontal="centerContinuous"/>
    </xf>
    <xf numFmtId="271" fontId="247" fillId="0" borderId="59">
      <alignment horizontal="centerContinuous"/>
    </xf>
    <xf numFmtId="271" fontId="191" fillId="0" borderId="0">
      <alignment horizontal="centerContinuous"/>
      <protection locked="0"/>
    </xf>
    <xf numFmtId="271" fontId="191" fillId="0" borderId="0">
      <alignment horizontal="left"/>
    </xf>
    <xf numFmtId="210" fontId="248" fillId="0" borderId="0">
      <alignment horizontal="center"/>
    </xf>
    <xf numFmtId="210" fontId="248" fillId="0" borderId="0">
      <alignment horizontal="left"/>
    </xf>
    <xf numFmtId="0" fontId="249" fillId="0" borderId="0"/>
    <xf numFmtId="311" fontId="189" fillId="0" borderId="0">
      <alignment horizontal="right"/>
    </xf>
    <xf numFmtId="312" fontId="61" fillId="0" borderId="0" applyBorder="0" applyProtection="0">
      <alignment horizontal="right"/>
    </xf>
    <xf numFmtId="10" fontId="197" fillId="0" borderId="52" applyNumberFormat="0" applyFont="0" applyFill="0" applyAlignment="0" applyProtection="0"/>
    <xf numFmtId="38" fontId="204" fillId="0" borderId="0" applyNumberFormat="0" applyBorder="0" applyAlignment="0">
      <protection locked="0"/>
    </xf>
    <xf numFmtId="206" fontId="102" fillId="36" borderId="0" applyNumberFormat="0" applyFont="0" applyBorder="0" applyAlignment="0">
      <protection locked="0"/>
    </xf>
    <xf numFmtId="0" fontId="171" fillId="0" borderId="0" applyNumberFormat="0" applyFill="0" applyBorder="0" applyAlignment="0" applyProtection="0"/>
    <xf numFmtId="0" fontId="12" fillId="3" borderId="0" applyNumberFormat="0" applyFont="0" applyAlignment="0" applyProtection="0"/>
    <xf numFmtId="0" fontId="12" fillId="3" borderId="39" applyNumberFormat="0" applyFont="0" applyAlignment="0" applyProtection="0">
      <protection locked="0"/>
    </xf>
    <xf numFmtId="0" fontId="171" fillId="0" borderId="0" applyNumberFormat="0" applyFill="0" applyBorder="0" applyAlignment="0" applyProtection="0"/>
    <xf numFmtId="313" fontId="10" fillId="0" borderId="0" applyFont="0" applyFill="0" applyBorder="0" applyAlignment="0" applyProtection="0"/>
    <xf numFmtId="314" fontId="10" fillId="0" borderId="0" applyFont="0" applyFill="0" applyBorder="0" applyAlignment="0" applyProtection="0"/>
    <xf numFmtId="315" fontId="10" fillId="0" borderId="0" applyFont="0" applyFill="0" applyBorder="0" applyAlignment="0" applyProtection="0"/>
    <xf numFmtId="316" fontId="10" fillId="0" borderId="0" applyFont="0" applyFill="0" applyBorder="0" applyAlignment="0" applyProtection="0"/>
    <xf numFmtId="317" fontId="10" fillId="0" borderId="0" applyFont="0" applyFill="0" applyBorder="0" applyAlignment="0" applyProtection="0"/>
    <xf numFmtId="318" fontId="10" fillId="0" borderId="0" applyFont="0" applyFill="0" applyBorder="0" applyAlignment="0" applyProtection="0"/>
    <xf numFmtId="319" fontId="10" fillId="0" borderId="0" applyFont="0" applyFill="0" applyBorder="0" applyAlignment="0" applyProtection="0"/>
    <xf numFmtId="320" fontId="10" fillId="0" borderId="0" applyFont="0" applyFill="0" applyBorder="0" applyAlignment="0" applyProtection="0"/>
    <xf numFmtId="321" fontId="189" fillId="0" borderId="0" applyFont="0" applyFill="0" applyBorder="0" applyProtection="0">
      <alignment horizontal="right"/>
    </xf>
    <xf numFmtId="0" fontId="250" fillId="0" borderId="0">
      <alignment horizontal="right"/>
      <protection locked="0"/>
    </xf>
    <xf numFmtId="322" fontId="251" fillId="0" borderId="55" applyFont="0" applyBorder="0">
      <alignment vertical="center"/>
    </xf>
    <xf numFmtId="323" fontId="252" fillId="0" borderId="0"/>
    <xf numFmtId="170" fontId="253" fillId="0" borderId="0" applyFont="0" applyFill="0" applyBorder="0" applyAlignment="0" applyProtection="0"/>
    <xf numFmtId="218" fontId="253" fillId="0" borderId="0" applyFont="0" applyFill="0" applyBorder="0" applyAlignment="0" applyProtection="0"/>
    <xf numFmtId="324" fontId="253" fillId="0" borderId="0" applyFont="0" applyFill="0" applyBorder="0" applyAlignment="0" applyProtection="0"/>
    <xf numFmtId="325" fontId="253" fillId="0" borderId="0" applyFont="0" applyFill="0" applyBorder="0" applyAlignment="0" applyProtection="0"/>
    <xf numFmtId="0" fontId="222" fillId="0" borderId="0"/>
    <xf numFmtId="43" fontId="7" fillId="0" borderId="0" applyFont="0" applyFill="0" applyBorder="0" applyAlignment="0" applyProtection="0"/>
    <xf numFmtId="0" fontId="7" fillId="0" borderId="0"/>
    <xf numFmtId="44" fontId="7" fillId="0" borderId="0" applyFont="0" applyFill="0" applyBorder="0" applyAlignment="0" applyProtection="0"/>
    <xf numFmtId="0" fontId="7" fillId="0" borderId="0"/>
    <xf numFmtId="0" fontId="4" fillId="0" borderId="0"/>
    <xf numFmtId="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9" fontId="20" fillId="0" borderId="0">
      <alignment horizontal="right"/>
    </xf>
    <xf numFmtId="0" fontId="7" fillId="0" borderId="0"/>
    <xf numFmtId="37" fontId="8" fillId="0" borderId="0">
      <alignment horizontal="right" vertical="top" wrapText="1"/>
    </xf>
    <xf numFmtId="311" fontId="255" fillId="0" borderId="0">
      <alignment horizontal="right"/>
    </xf>
    <xf numFmtId="330" fontId="7" fillId="0" borderId="0" applyFont="0" applyFill="0" applyBorder="0" applyAlignment="0" applyProtection="0"/>
    <xf numFmtId="331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256" fillId="0" borderId="0" applyFont="0" applyFill="0" applyBorder="0" applyAlignment="0" applyProtection="0"/>
    <xf numFmtId="230" fontId="256" fillId="0" borderId="0" applyFont="0" applyFill="0" applyBorder="0" applyAlignment="0" applyProtection="0"/>
    <xf numFmtId="230" fontId="256" fillId="0" borderId="0" applyFont="0" applyFill="0" applyBorder="0" applyAlignment="0" applyProtection="0"/>
    <xf numFmtId="230" fontId="25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67" fontId="7" fillId="0" borderId="0" applyFont="0" applyFill="0" applyBorder="0" applyAlignment="0" applyProtection="0"/>
    <xf numFmtId="267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226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256" fillId="0" borderId="0" applyFont="0" applyFill="0" applyBorder="0" applyAlignment="0" applyProtection="0"/>
    <xf numFmtId="267" fontId="7" fillId="0" borderId="0" applyFont="0" applyFill="0" applyBorder="0" applyAlignment="0" applyProtection="0"/>
    <xf numFmtId="267" fontId="7" fillId="0" borderId="0" applyFont="0" applyFill="0" applyBorder="0" applyAlignment="0" applyProtection="0"/>
    <xf numFmtId="267" fontId="7" fillId="0" borderId="0" applyFont="0" applyFill="0" applyBorder="0" applyAlignment="0" applyProtection="0"/>
    <xf numFmtId="230" fontId="256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256" fillId="0" borderId="0" applyFont="0" applyFill="0" applyBorder="0" applyAlignment="0" applyProtection="0"/>
    <xf numFmtId="267" fontId="7" fillId="0" borderId="0" applyFont="0" applyFill="0" applyBorder="0" applyAlignment="0" applyProtection="0"/>
    <xf numFmtId="267" fontId="7" fillId="0" borderId="0" applyFont="0" applyFill="0" applyBorder="0" applyAlignment="0" applyProtection="0"/>
    <xf numFmtId="267" fontId="7" fillId="0" borderId="0" applyFont="0" applyFill="0" applyBorder="0" applyAlignment="0" applyProtection="0"/>
    <xf numFmtId="230" fontId="256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1" fontId="7" fillId="0" borderId="0" applyFont="0" applyFill="0" applyBorder="0" applyAlignment="0" applyProtection="0"/>
    <xf numFmtId="231" fontId="7" fillId="0" borderId="0" applyFont="0" applyFill="0" applyBorder="0" applyAlignment="0" applyProtection="0"/>
    <xf numFmtId="332" fontId="7" fillId="0" borderId="0" applyFont="0" applyFill="0" applyBorder="0" applyAlignment="0" applyProtection="0"/>
    <xf numFmtId="332" fontId="7" fillId="0" borderId="0" applyFont="0" applyFill="0" applyBorder="0" applyAlignment="0" applyProtection="0"/>
    <xf numFmtId="231" fontId="257" fillId="0" borderId="0" applyFont="0" applyFill="0" applyBorder="0" applyAlignment="0" applyProtection="0"/>
    <xf numFmtId="332" fontId="7" fillId="0" borderId="0" applyFont="0" applyFill="0" applyBorder="0" applyAlignment="0" applyProtection="0"/>
    <xf numFmtId="231" fontId="7" fillId="0" borderId="0" applyFont="0" applyFill="0" applyBorder="0" applyAlignment="0" applyProtection="0"/>
    <xf numFmtId="332" fontId="7" fillId="0" borderId="0" applyFont="0" applyFill="0" applyBorder="0" applyAlignment="0" applyProtection="0"/>
    <xf numFmtId="231" fontId="7" fillId="0" borderId="0" applyFont="0" applyFill="0" applyBorder="0" applyAlignment="0" applyProtection="0"/>
    <xf numFmtId="332" fontId="7" fillId="0" borderId="0" applyFont="0" applyFill="0" applyBorder="0" applyAlignment="0" applyProtection="0"/>
    <xf numFmtId="332" fontId="7" fillId="0" borderId="0" applyFont="0" applyFill="0" applyBorder="0" applyAlignment="0" applyProtection="0"/>
    <xf numFmtId="231" fontId="7" fillId="0" borderId="0" applyFont="0" applyFill="0" applyBorder="0" applyAlignment="0" applyProtection="0"/>
    <xf numFmtId="231" fontId="226" fillId="0" borderId="0" applyFont="0" applyFill="0" applyBorder="0" applyAlignment="0" applyProtection="0"/>
    <xf numFmtId="231" fontId="7" fillId="0" borderId="0" applyFont="0" applyFill="0" applyBorder="0" applyAlignment="0" applyProtection="0"/>
    <xf numFmtId="231" fontId="7" fillId="0" borderId="0" applyFont="0" applyFill="0" applyBorder="0" applyAlignment="0" applyProtection="0"/>
    <xf numFmtId="231" fontId="7" fillId="0" borderId="0" applyFont="0" applyFill="0" applyBorder="0" applyAlignment="0" applyProtection="0"/>
    <xf numFmtId="332" fontId="7" fillId="0" borderId="0" applyFont="0" applyFill="0" applyBorder="0" applyAlignment="0" applyProtection="0"/>
    <xf numFmtId="332" fontId="7" fillId="0" borderId="0" applyFont="0" applyFill="0" applyBorder="0" applyAlignment="0" applyProtection="0"/>
    <xf numFmtId="332" fontId="7" fillId="0" borderId="0" applyFont="0" applyFill="0" applyBorder="0" applyAlignment="0" applyProtection="0"/>
    <xf numFmtId="332" fontId="7" fillId="0" borderId="0" applyFont="0" applyFill="0" applyBorder="0" applyAlignment="0" applyProtection="0"/>
    <xf numFmtId="332" fontId="7" fillId="0" borderId="0" applyFont="0" applyFill="0" applyBorder="0" applyAlignment="0" applyProtection="0"/>
    <xf numFmtId="231" fontId="256" fillId="0" borderId="0" applyFont="0" applyFill="0" applyBorder="0" applyAlignment="0" applyProtection="0"/>
    <xf numFmtId="332" fontId="7" fillId="0" borderId="0" applyFont="0" applyFill="0" applyBorder="0" applyAlignment="0" applyProtection="0"/>
    <xf numFmtId="231" fontId="7" fillId="0" borderId="0" applyFont="0" applyFill="0" applyBorder="0" applyAlignment="0" applyProtection="0"/>
    <xf numFmtId="231" fontId="7" fillId="0" borderId="0" applyFont="0" applyFill="0" applyBorder="0" applyAlignment="0" applyProtection="0"/>
    <xf numFmtId="231" fontId="256" fillId="0" borderId="0" applyFont="0" applyFill="0" applyBorder="0" applyAlignment="0" applyProtection="0"/>
    <xf numFmtId="231" fontId="256" fillId="0" borderId="0" applyFont="0" applyFill="0" applyBorder="0" applyAlignment="0" applyProtection="0"/>
    <xf numFmtId="231" fontId="256" fillId="0" borderId="0" applyFont="0" applyFill="0" applyBorder="0" applyAlignment="0" applyProtection="0"/>
    <xf numFmtId="332" fontId="7" fillId="0" borderId="0" applyFont="0" applyFill="0" applyBorder="0" applyAlignment="0" applyProtection="0"/>
    <xf numFmtId="231" fontId="256" fillId="0" borderId="0" applyFont="0" applyFill="0" applyBorder="0" applyAlignment="0" applyProtection="0"/>
    <xf numFmtId="332" fontId="7" fillId="0" borderId="0" applyFont="0" applyFill="0" applyBorder="0" applyAlignment="0" applyProtection="0"/>
    <xf numFmtId="231" fontId="256" fillId="0" borderId="0" applyFont="0" applyFill="0" applyBorder="0" applyAlignment="0" applyProtection="0"/>
    <xf numFmtId="332" fontId="7" fillId="0" borderId="0" applyFont="0" applyFill="0" applyBorder="0" applyAlignment="0" applyProtection="0"/>
    <xf numFmtId="231" fontId="7" fillId="0" borderId="0" applyFont="0" applyFill="0" applyBorder="0" applyAlignment="0" applyProtection="0"/>
    <xf numFmtId="231" fontId="7" fillId="0" borderId="0" applyFont="0" applyFill="0" applyBorder="0" applyAlignment="0" applyProtection="0"/>
    <xf numFmtId="231" fontId="7" fillId="0" borderId="0" applyFont="0" applyFill="0" applyBorder="0" applyAlignment="0" applyProtection="0"/>
    <xf numFmtId="232" fontId="7" fillId="0" borderId="0" applyFont="0" applyFill="0" applyBorder="0" applyAlignment="0" applyProtection="0"/>
    <xf numFmtId="232" fontId="7" fillId="0" borderId="0" applyFont="0" applyFill="0" applyBorder="0" applyAlignment="0" applyProtection="0"/>
    <xf numFmtId="39" fontId="7" fillId="0" borderId="0" applyFont="0" applyFill="0" applyBorder="0" applyAlignment="0" applyProtection="0"/>
    <xf numFmtId="39" fontId="7" fillId="0" borderId="0" applyFont="0" applyFill="0" applyBorder="0" applyAlignment="0" applyProtection="0"/>
    <xf numFmtId="232" fontId="257" fillId="0" borderId="0" applyFont="0" applyFill="0" applyBorder="0" applyAlignment="0" applyProtection="0"/>
    <xf numFmtId="39" fontId="7" fillId="0" borderId="0" applyFont="0" applyFill="0" applyBorder="0" applyAlignment="0" applyProtection="0"/>
    <xf numFmtId="232" fontId="7" fillId="0" borderId="0" applyFont="0" applyFill="0" applyBorder="0" applyAlignment="0" applyProtection="0"/>
    <xf numFmtId="39" fontId="7" fillId="0" borderId="0" applyFont="0" applyFill="0" applyBorder="0" applyAlignment="0" applyProtection="0"/>
    <xf numFmtId="232" fontId="7" fillId="0" borderId="0" applyFont="0" applyFill="0" applyBorder="0" applyAlignment="0" applyProtection="0"/>
    <xf numFmtId="39" fontId="7" fillId="0" borderId="0" applyFont="0" applyFill="0" applyBorder="0" applyAlignment="0" applyProtection="0"/>
    <xf numFmtId="39" fontId="7" fillId="0" borderId="0" applyFont="0" applyFill="0" applyBorder="0" applyAlignment="0" applyProtection="0"/>
    <xf numFmtId="232" fontId="7" fillId="0" borderId="0" applyFont="0" applyFill="0" applyBorder="0" applyAlignment="0" applyProtection="0"/>
    <xf numFmtId="232" fontId="226" fillId="0" borderId="0" applyFont="0" applyFill="0" applyBorder="0" applyAlignment="0" applyProtection="0"/>
    <xf numFmtId="232" fontId="7" fillId="0" borderId="0" applyFont="0" applyFill="0" applyBorder="0" applyAlignment="0" applyProtection="0"/>
    <xf numFmtId="232" fontId="7" fillId="0" borderId="0" applyFont="0" applyFill="0" applyBorder="0" applyAlignment="0" applyProtection="0"/>
    <xf numFmtId="232" fontId="7" fillId="0" borderId="0" applyFont="0" applyFill="0" applyBorder="0" applyAlignment="0" applyProtection="0"/>
    <xf numFmtId="39" fontId="7" fillId="0" borderId="0" applyFont="0" applyFill="0" applyBorder="0" applyAlignment="0" applyProtection="0"/>
    <xf numFmtId="39" fontId="7" fillId="0" borderId="0" applyFont="0" applyFill="0" applyBorder="0" applyAlignment="0" applyProtection="0"/>
    <xf numFmtId="39" fontId="7" fillId="0" borderId="0" applyFont="0" applyFill="0" applyBorder="0" applyAlignment="0" applyProtection="0"/>
    <xf numFmtId="39" fontId="7" fillId="0" borderId="0" applyFont="0" applyFill="0" applyBorder="0" applyAlignment="0" applyProtection="0"/>
    <xf numFmtId="39" fontId="7" fillId="0" borderId="0" applyFont="0" applyFill="0" applyBorder="0" applyAlignment="0" applyProtection="0"/>
    <xf numFmtId="232" fontId="256" fillId="0" borderId="0" applyFont="0" applyFill="0" applyBorder="0" applyAlignment="0" applyProtection="0"/>
    <xf numFmtId="39" fontId="7" fillId="0" borderId="0" applyFont="0" applyFill="0" applyBorder="0" applyAlignment="0" applyProtection="0"/>
    <xf numFmtId="232" fontId="7" fillId="0" borderId="0" applyFont="0" applyFill="0" applyBorder="0" applyAlignment="0" applyProtection="0"/>
    <xf numFmtId="232" fontId="7" fillId="0" borderId="0" applyFont="0" applyFill="0" applyBorder="0" applyAlignment="0" applyProtection="0"/>
    <xf numFmtId="232" fontId="256" fillId="0" borderId="0" applyFont="0" applyFill="0" applyBorder="0" applyAlignment="0" applyProtection="0"/>
    <xf numFmtId="232" fontId="256" fillId="0" borderId="0" applyFont="0" applyFill="0" applyBorder="0" applyAlignment="0" applyProtection="0"/>
    <xf numFmtId="232" fontId="256" fillId="0" borderId="0" applyFont="0" applyFill="0" applyBorder="0" applyAlignment="0" applyProtection="0"/>
    <xf numFmtId="39" fontId="7" fillId="0" borderId="0" applyFont="0" applyFill="0" applyBorder="0" applyAlignment="0" applyProtection="0"/>
    <xf numFmtId="232" fontId="256" fillId="0" borderId="0" applyFont="0" applyFill="0" applyBorder="0" applyAlignment="0" applyProtection="0"/>
    <xf numFmtId="39" fontId="7" fillId="0" borderId="0" applyFont="0" applyFill="0" applyBorder="0" applyAlignment="0" applyProtection="0"/>
    <xf numFmtId="232" fontId="256" fillId="0" borderId="0" applyFont="0" applyFill="0" applyBorder="0" applyAlignment="0" applyProtection="0"/>
    <xf numFmtId="39" fontId="7" fillId="0" borderId="0" applyFont="0" applyFill="0" applyBorder="0" applyAlignment="0" applyProtection="0"/>
    <xf numFmtId="232" fontId="7" fillId="0" borderId="0" applyFont="0" applyFill="0" applyBorder="0" applyAlignment="0" applyProtection="0"/>
    <xf numFmtId="232" fontId="7" fillId="0" borderId="0" applyFont="0" applyFill="0" applyBorder="0" applyAlignment="0" applyProtection="0"/>
    <xf numFmtId="232" fontId="7" fillId="0" borderId="0" applyFont="0" applyFill="0" applyBorder="0" applyAlignment="0" applyProtection="0"/>
    <xf numFmtId="332" fontId="7" fillId="0" borderId="0" applyFont="0" applyFill="0" applyBorder="0" applyAlignment="0" applyProtection="0"/>
    <xf numFmtId="0" fontId="184" fillId="0" borderId="0" applyNumberFormat="0" applyFill="0" applyBorder="0" applyAlignment="0" applyProtection="0"/>
    <xf numFmtId="234" fontId="7" fillId="0" borderId="0" applyFont="0" applyFill="0" applyBorder="0" applyAlignment="0" applyProtection="0"/>
    <xf numFmtId="234" fontId="7" fillId="0" borderId="0" applyFont="0" applyFill="0" applyBorder="0" applyAlignment="0" applyProtection="0"/>
    <xf numFmtId="333" fontId="7" fillId="0" borderId="0" applyFont="0" applyFill="0" applyBorder="0" applyAlignment="0" applyProtection="0"/>
    <xf numFmtId="333" fontId="7" fillId="0" borderId="0" applyFont="0" applyFill="0" applyBorder="0" applyAlignment="0" applyProtection="0"/>
    <xf numFmtId="234" fontId="257" fillId="0" borderId="0" applyFont="0" applyFill="0" applyBorder="0" applyAlignment="0" applyProtection="0"/>
    <xf numFmtId="333" fontId="7" fillId="0" borderId="0" applyFont="0" applyFill="0" applyBorder="0" applyAlignment="0" applyProtection="0"/>
    <xf numFmtId="234" fontId="7" fillId="0" borderId="0" applyFont="0" applyFill="0" applyBorder="0" applyAlignment="0" applyProtection="0"/>
    <xf numFmtId="333" fontId="7" fillId="0" borderId="0" applyFont="0" applyFill="0" applyBorder="0" applyAlignment="0" applyProtection="0"/>
    <xf numFmtId="234" fontId="7" fillId="0" borderId="0" applyFont="0" applyFill="0" applyBorder="0" applyAlignment="0" applyProtection="0"/>
    <xf numFmtId="333" fontId="7" fillId="0" borderId="0" applyFont="0" applyFill="0" applyBorder="0" applyAlignment="0" applyProtection="0"/>
    <xf numFmtId="333" fontId="7" fillId="0" borderId="0" applyFont="0" applyFill="0" applyBorder="0" applyAlignment="0" applyProtection="0"/>
    <xf numFmtId="234" fontId="7" fillId="0" borderId="0" applyFont="0" applyFill="0" applyBorder="0" applyAlignment="0" applyProtection="0"/>
    <xf numFmtId="234" fontId="226" fillId="0" borderId="0" applyFont="0" applyFill="0" applyBorder="0" applyAlignment="0" applyProtection="0"/>
    <xf numFmtId="334" fontId="7" fillId="0" borderId="0" applyFont="0" applyFill="0" applyBorder="0" applyAlignment="0" applyProtection="0"/>
    <xf numFmtId="334" fontId="7" fillId="0" borderId="0" applyFont="0" applyFill="0" applyBorder="0" applyAlignment="0" applyProtection="0"/>
    <xf numFmtId="334" fontId="7" fillId="0" borderId="0" applyFont="0" applyFill="0" applyBorder="0" applyAlignment="0" applyProtection="0"/>
    <xf numFmtId="333" fontId="7" fillId="0" borderId="0" applyFont="0" applyFill="0" applyBorder="0" applyAlignment="0" applyProtection="0"/>
    <xf numFmtId="333" fontId="7" fillId="0" borderId="0" applyFont="0" applyFill="0" applyBorder="0" applyAlignment="0" applyProtection="0"/>
    <xf numFmtId="333" fontId="7" fillId="0" borderId="0" applyFont="0" applyFill="0" applyBorder="0" applyAlignment="0" applyProtection="0"/>
    <xf numFmtId="333" fontId="7" fillId="0" borderId="0" applyFont="0" applyFill="0" applyBorder="0" applyAlignment="0" applyProtection="0"/>
    <xf numFmtId="333" fontId="7" fillId="0" borderId="0" applyFont="0" applyFill="0" applyBorder="0" applyAlignment="0" applyProtection="0"/>
    <xf numFmtId="234" fontId="256" fillId="0" borderId="0" applyFont="0" applyFill="0" applyBorder="0" applyAlignment="0" applyProtection="0"/>
    <xf numFmtId="333" fontId="7" fillId="0" borderId="0" applyFont="0" applyFill="0" applyBorder="0" applyAlignment="0" applyProtection="0"/>
    <xf numFmtId="234" fontId="7" fillId="0" borderId="0" applyFont="0" applyFill="0" applyBorder="0" applyAlignment="0" applyProtection="0"/>
    <xf numFmtId="234" fontId="7" fillId="0" borderId="0" applyFont="0" applyFill="0" applyBorder="0" applyAlignment="0" applyProtection="0"/>
    <xf numFmtId="234" fontId="256" fillId="0" borderId="0" applyFont="0" applyFill="0" applyBorder="0" applyAlignment="0" applyProtection="0"/>
    <xf numFmtId="234" fontId="256" fillId="0" borderId="0" applyFont="0" applyFill="0" applyBorder="0" applyAlignment="0" applyProtection="0"/>
    <xf numFmtId="234" fontId="256" fillId="0" borderId="0" applyFont="0" applyFill="0" applyBorder="0" applyAlignment="0" applyProtection="0"/>
    <xf numFmtId="333" fontId="7" fillId="0" borderId="0" applyFont="0" applyFill="0" applyBorder="0" applyAlignment="0" applyProtection="0"/>
    <xf numFmtId="234" fontId="256" fillId="0" borderId="0" applyFont="0" applyFill="0" applyBorder="0" applyAlignment="0" applyProtection="0"/>
    <xf numFmtId="333" fontId="7" fillId="0" borderId="0" applyFont="0" applyFill="0" applyBorder="0" applyAlignment="0" applyProtection="0"/>
    <xf numFmtId="234" fontId="256" fillId="0" borderId="0" applyFont="0" applyFill="0" applyBorder="0" applyAlignment="0" applyProtection="0"/>
    <xf numFmtId="333" fontId="7" fillId="0" borderId="0" applyFont="0" applyFill="0" applyBorder="0" applyAlignment="0" applyProtection="0"/>
    <xf numFmtId="234" fontId="7" fillId="0" borderId="0" applyFont="0" applyFill="0" applyBorder="0" applyAlignment="0" applyProtection="0"/>
    <xf numFmtId="234" fontId="7" fillId="0" borderId="0" applyFont="0" applyFill="0" applyBorder="0" applyAlignment="0" applyProtection="0"/>
    <xf numFmtId="234" fontId="7" fillId="0" borderId="0" applyFont="0" applyFill="0" applyBorder="0" applyAlignment="0" applyProtection="0"/>
    <xf numFmtId="235" fontId="7" fillId="0" borderId="0" applyFont="0" applyFill="0" applyBorder="0" applyProtection="0">
      <alignment horizontal="right"/>
    </xf>
    <xf numFmtId="235" fontId="7" fillId="0" borderId="0" applyFont="0" applyFill="0" applyBorder="0" applyProtection="0">
      <alignment horizontal="right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235" fontId="257" fillId="0" borderId="0" applyFont="0" applyFill="0" applyBorder="0" applyProtection="0">
      <alignment horizontal="right"/>
    </xf>
    <xf numFmtId="0" fontId="7" fillId="0" borderId="0" applyFont="0" applyFill="0" applyBorder="0" applyAlignment="0" applyProtection="0"/>
    <xf numFmtId="235" fontId="7" fillId="0" borderId="0" applyFont="0" applyFill="0" applyBorder="0" applyProtection="0">
      <alignment horizontal="right"/>
    </xf>
    <xf numFmtId="0" fontId="7" fillId="0" borderId="0" applyFont="0" applyFill="0" applyBorder="0" applyAlignment="0" applyProtection="0"/>
    <xf numFmtId="235" fontId="7" fillId="0" borderId="0" applyFont="0" applyFill="0" applyBorder="0" applyProtection="0">
      <alignment horizontal="right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235" fontId="7" fillId="0" borderId="0" applyFont="0" applyFill="0" applyBorder="0" applyProtection="0">
      <alignment horizontal="right"/>
    </xf>
    <xf numFmtId="235" fontId="226" fillId="0" borderId="0" applyFont="0" applyFill="0" applyBorder="0" applyProtection="0">
      <alignment horizontal="right"/>
    </xf>
    <xf numFmtId="335" fontId="7" fillId="0" borderId="0" applyFont="0" applyFill="0" applyBorder="0" applyAlignment="0" applyProtection="0"/>
    <xf numFmtId="335" fontId="7" fillId="0" borderId="0" applyFont="0" applyFill="0" applyBorder="0" applyAlignment="0" applyProtection="0"/>
    <xf numFmtId="335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235" fontId="256" fillId="0" borderId="0" applyFont="0" applyFill="0" applyBorder="0" applyProtection="0">
      <alignment horizontal="right"/>
    </xf>
    <xf numFmtId="0" fontId="7" fillId="0" borderId="0" applyFont="0" applyFill="0" applyBorder="0" applyAlignment="0" applyProtection="0"/>
    <xf numFmtId="235" fontId="7" fillId="0" borderId="0" applyFont="0" applyFill="0" applyBorder="0" applyProtection="0">
      <alignment horizontal="right"/>
    </xf>
    <xf numFmtId="235" fontId="7" fillId="0" borderId="0" applyFont="0" applyFill="0" applyBorder="0" applyProtection="0">
      <alignment horizontal="right"/>
    </xf>
    <xf numFmtId="235" fontId="256" fillId="0" borderId="0" applyFont="0" applyFill="0" applyBorder="0" applyProtection="0">
      <alignment horizontal="right"/>
    </xf>
    <xf numFmtId="235" fontId="256" fillId="0" borderId="0" applyFont="0" applyFill="0" applyBorder="0" applyProtection="0">
      <alignment horizontal="right"/>
    </xf>
    <xf numFmtId="235" fontId="256" fillId="0" borderId="0" applyFont="0" applyFill="0" applyBorder="0" applyProtection="0">
      <alignment horizontal="right"/>
    </xf>
    <xf numFmtId="0" fontId="7" fillId="0" borderId="0" applyFont="0" applyFill="0" applyBorder="0" applyAlignment="0" applyProtection="0"/>
    <xf numFmtId="235" fontId="256" fillId="0" borderId="0" applyFont="0" applyFill="0" applyBorder="0" applyProtection="0">
      <alignment horizontal="right"/>
    </xf>
    <xf numFmtId="0" fontId="7" fillId="0" borderId="0" applyFont="0" applyFill="0" applyBorder="0" applyAlignment="0" applyProtection="0"/>
    <xf numFmtId="235" fontId="256" fillId="0" borderId="0" applyFont="0" applyFill="0" applyBorder="0" applyProtection="0">
      <alignment horizontal="right"/>
    </xf>
    <xf numFmtId="0" fontId="7" fillId="0" borderId="0" applyFont="0" applyFill="0" applyBorder="0" applyAlignment="0" applyProtection="0"/>
    <xf numFmtId="235" fontId="7" fillId="0" borderId="0" applyFont="0" applyFill="0" applyBorder="0" applyProtection="0">
      <alignment horizontal="right"/>
    </xf>
    <xf numFmtId="235" fontId="7" fillId="0" borderId="0" applyFont="0" applyFill="0" applyBorder="0" applyProtection="0">
      <alignment horizontal="right"/>
    </xf>
    <xf numFmtId="235" fontId="7" fillId="0" borderId="0" applyFont="0" applyFill="0" applyBorder="0" applyProtection="0">
      <alignment horizontal="right"/>
    </xf>
    <xf numFmtId="336" fontId="7" fillId="0" borderId="0" applyFont="0" applyFill="0" applyBorder="0" applyAlignment="0" applyProtection="0"/>
    <xf numFmtId="228" fontId="7" fillId="0" borderId="0" applyFont="0" applyFill="0" applyBorder="0" applyProtection="0">
      <alignment horizontal="right"/>
    </xf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228" fontId="7" fillId="0" borderId="0" applyFont="0" applyFill="0" applyBorder="0" applyAlignment="0" applyProtection="0"/>
    <xf numFmtId="337" fontId="7" fillId="0" borderId="0" applyFont="0" applyFill="0" applyBorder="0" applyAlignment="0" applyProtection="0"/>
    <xf numFmtId="229" fontId="7" fillId="0" borderId="0" applyFont="0" applyFill="0" applyBorder="0" applyProtection="0">
      <alignment horizontal="right"/>
    </xf>
    <xf numFmtId="229" fontId="7" fillId="0" borderId="0" applyFont="0" applyFill="0" applyBorder="0" applyProtection="0">
      <alignment horizontal="right"/>
    </xf>
    <xf numFmtId="229" fontId="7" fillId="0" borderId="0" applyFont="0" applyFill="0" applyBorder="0" applyAlignment="0" applyProtection="0"/>
    <xf numFmtId="229" fontId="7" fillId="0" borderId="0" applyFont="0" applyFill="0" applyBorder="0" applyAlignment="0" applyProtection="0"/>
    <xf numFmtId="229" fontId="7" fillId="0" borderId="0" applyFont="0" applyFill="0" applyBorder="0" applyAlignment="0" applyProtection="0"/>
    <xf numFmtId="0" fontId="185" fillId="0" borderId="0" applyNumberFormat="0" applyFill="0" applyBorder="0" applyProtection="0">
      <alignment vertical="top"/>
    </xf>
    <xf numFmtId="0" fontId="185" fillId="0" borderId="0" applyNumberFormat="0" applyFill="0" applyBorder="0" applyAlignment="0" applyProtection="0">
      <alignment vertical="top"/>
    </xf>
    <xf numFmtId="0" fontId="185" fillId="0" borderId="0" applyNumberFormat="0" applyFill="0" applyBorder="0" applyProtection="0">
      <alignment vertical="top"/>
    </xf>
    <xf numFmtId="0" fontId="185" fillId="0" borderId="0" applyNumberFormat="0" applyFill="0" applyBorder="0" applyProtection="0">
      <alignment vertical="top"/>
    </xf>
    <xf numFmtId="0" fontId="185" fillId="0" borderId="0" applyNumberFormat="0" applyFill="0" applyBorder="0" applyProtection="0">
      <alignment vertical="top"/>
    </xf>
    <xf numFmtId="0" fontId="185" fillId="0" borderId="0" applyNumberFormat="0" applyFill="0" applyBorder="0" applyProtection="0">
      <alignment vertical="top"/>
    </xf>
    <xf numFmtId="0" fontId="185" fillId="0" borderId="0" applyNumberFormat="0" applyFill="0" applyBorder="0" applyProtection="0">
      <alignment vertical="top"/>
    </xf>
    <xf numFmtId="0" fontId="185" fillId="0" borderId="0" applyNumberFormat="0" applyFill="0" applyBorder="0" applyProtection="0">
      <alignment vertical="top"/>
    </xf>
    <xf numFmtId="0" fontId="185" fillId="0" borderId="0" applyNumberFormat="0" applyFill="0" applyBorder="0" applyProtection="0">
      <alignment vertical="top"/>
    </xf>
    <xf numFmtId="0" fontId="185" fillId="0" borderId="0" applyNumberFormat="0" applyFill="0" applyBorder="0" applyProtection="0">
      <alignment vertical="top"/>
    </xf>
    <xf numFmtId="0" fontId="185" fillId="0" borderId="0" applyNumberFormat="0" applyFill="0" applyBorder="0" applyProtection="0">
      <alignment vertical="top"/>
    </xf>
    <xf numFmtId="0" fontId="7" fillId="0" borderId="0"/>
    <xf numFmtId="0" fontId="186" fillId="0" borderId="62" applyNumberFormat="0" applyFill="0" applyAlignment="0" applyProtection="0"/>
    <xf numFmtId="0" fontId="186" fillId="0" borderId="63" applyNumberFormat="0" applyFill="0" applyAlignment="0" applyProtection="0"/>
    <xf numFmtId="0" fontId="186" fillId="0" borderId="62" applyNumberFormat="0" applyFill="0" applyAlignment="0" applyProtection="0"/>
    <xf numFmtId="0" fontId="186" fillId="0" borderId="62" applyNumberFormat="0" applyFill="0" applyAlignment="0" applyProtection="0"/>
    <xf numFmtId="0" fontId="188" fillId="0" borderId="0" applyNumberFormat="0" applyFill="0" applyBorder="0" applyProtection="0">
      <alignment horizontal="centerContinuous"/>
    </xf>
    <xf numFmtId="0" fontId="188" fillId="0" borderId="0" applyNumberFormat="0" applyFill="0" applyProtection="0">
      <alignment horizontal="centerContinuous"/>
    </xf>
    <xf numFmtId="0" fontId="188" fillId="0" borderId="0" applyNumberFormat="0" applyFill="0" applyBorder="0" applyProtection="0">
      <alignment horizontal="centerContinuous"/>
    </xf>
    <xf numFmtId="0" fontId="188" fillId="0" borderId="0" applyNumberFormat="0" applyFill="0" applyBorder="0" applyProtection="0">
      <alignment horizontal="centerContinuous"/>
    </xf>
    <xf numFmtId="0" fontId="7" fillId="0" borderId="0" applyFont="0" applyFill="0" applyBorder="0" applyAlignment="0" applyProtection="0"/>
    <xf numFmtId="44" fontId="10" fillId="0" borderId="0" applyFont="0" applyFill="0" applyBorder="0" applyAlignment="0" applyProtection="0"/>
    <xf numFmtId="42" fontId="10" fillId="0" borderId="0" applyFont="0" applyFill="0" applyBorder="0" applyAlignment="0" applyProtection="0"/>
    <xf numFmtId="0" fontId="78" fillId="0" borderId="0"/>
    <xf numFmtId="0" fontId="258" fillId="0" borderId="0"/>
    <xf numFmtId="0" fontId="10" fillId="0" borderId="0"/>
    <xf numFmtId="9" fontId="7" fillId="0" borderId="0"/>
    <xf numFmtId="275" fontId="78" fillId="0" borderId="0"/>
    <xf numFmtId="206" fontId="78" fillId="0" borderId="0"/>
    <xf numFmtId="275" fontId="78" fillId="0" borderId="0"/>
    <xf numFmtId="2" fontId="78" fillId="0" borderId="0"/>
    <xf numFmtId="10" fontId="78" fillId="0" borderId="0"/>
    <xf numFmtId="208" fontId="78" fillId="0" borderId="0"/>
    <xf numFmtId="208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208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267" fontId="78" fillId="0" borderId="0"/>
    <xf numFmtId="0" fontId="78" fillId="0" borderId="0"/>
    <xf numFmtId="208" fontId="78" fillId="0" borderId="0"/>
    <xf numFmtId="0" fontId="78" fillId="0" borderId="0"/>
    <xf numFmtId="0" fontId="78" fillId="0" borderId="0"/>
    <xf numFmtId="267" fontId="7" fillId="0" borderId="0"/>
    <xf numFmtId="299" fontId="259" fillId="0" borderId="0" applyFont="0" applyAlignment="0"/>
    <xf numFmtId="37" fontId="260" fillId="0" borderId="0">
      <alignment horizontal="center"/>
    </xf>
    <xf numFmtId="267" fontId="261" fillId="0" borderId="9">
      <alignment horizontal="right"/>
    </xf>
    <xf numFmtId="0" fontId="3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342" fontId="264" fillId="0" borderId="0" applyFont="0" applyFill="0" applyBorder="0" applyAlignment="0" applyProtection="0"/>
    <xf numFmtId="343" fontId="265" fillId="87" borderId="0" applyNumberFormat="0" applyFont="0" applyBorder="0" applyAlignment="0">
      <alignment horizontal="right"/>
    </xf>
    <xf numFmtId="344" fontId="266" fillId="87" borderId="53" applyFont="0">
      <alignment horizontal="right"/>
    </xf>
    <xf numFmtId="0" fontId="8" fillId="0" borderId="0" applyNumberFormat="0" applyFill="0" applyBorder="0" applyAlignment="0" applyProtection="0"/>
    <xf numFmtId="2" fontId="219" fillId="0" borderId="0" applyNumberFormat="0" applyBorder="0" applyAlignment="0"/>
    <xf numFmtId="299" fontId="267" fillId="0" borderId="0"/>
    <xf numFmtId="1" fontId="268" fillId="88" borderId="13" applyNumberFormat="0" applyBorder="0" applyAlignment="0">
      <alignment horizontal="center" vertical="top" wrapText="1"/>
      <protection hidden="1"/>
    </xf>
    <xf numFmtId="0" fontId="269" fillId="0" borderId="0" applyNumberFormat="0" applyFill="0" applyBorder="0" applyAlignment="0"/>
    <xf numFmtId="0" fontId="73" fillId="89" borderId="0"/>
    <xf numFmtId="0" fontId="270" fillId="0" borderId="0" applyNumberFormat="0" applyFill="0" applyBorder="0" applyAlignment="0" applyProtection="0"/>
    <xf numFmtId="0" fontId="104" fillId="90" borderId="71">
      <alignment horizontal="center"/>
    </xf>
    <xf numFmtId="345" fontId="7" fillId="0" borderId="0" applyFont="0" applyFill="0" applyBorder="0" applyAlignment="0" applyProtection="0"/>
    <xf numFmtId="0" fontId="266" fillId="0" borderId="0"/>
    <xf numFmtId="0" fontId="8" fillId="0" borderId="0"/>
    <xf numFmtId="2" fontId="8" fillId="91" borderId="0" applyNumberFormat="0" applyFont="0" applyBorder="0" applyAlignment="0" applyProtection="0"/>
    <xf numFmtId="0" fontId="255" fillId="0" borderId="0">
      <alignment horizontal="right"/>
    </xf>
    <xf numFmtId="297" fontId="255" fillId="0" borderId="0"/>
    <xf numFmtId="0" fontId="8" fillId="0" borderId="0">
      <alignment vertical="top" wrapText="1"/>
    </xf>
    <xf numFmtId="0" fontId="8" fillId="0" borderId="0" applyNumberFormat="0" applyFill="0" applyBorder="0" applyAlignment="0" applyProtection="0"/>
    <xf numFmtId="0" fontId="271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271" fontId="272" fillId="0" borderId="0" applyNumberFormat="0" applyFill="0" applyBorder="0" applyProtection="0">
      <alignment horizontal="right"/>
    </xf>
    <xf numFmtId="0" fontId="8" fillId="0" borderId="0">
      <alignment vertical="top" wrapText="1"/>
    </xf>
    <xf numFmtId="275" fontId="12" fillId="0" borderId="0" applyBorder="0">
      <alignment horizontal="right"/>
    </xf>
    <xf numFmtId="275" fontId="12" fillId="0" borderId="45" applyAlignment="0">
      <alignment horizontal="right"/>
    </xf>
    <xf numFmtId="345" fontId="273" fillId="0" borderId="72" applyFill="0" applyBorder="0" applyProtection="0"/>
    <xf numFmtId="346" fontId="274" fillId="0" borderId="0" applyFont="0" applyBorder="0">
      <alignment horizontal="right"/>
    </xf>
    <xf numFmtId="0" fontId="275" fillId="0" borderId="0"/>
    <xf numFmtId="38" fontId="276" fillId="0" borderId="0" applyNumberFormat="0" applyFill="0" applyBorder="0">
      <alignment vertical="center"/>
    </xf>
    <xf numFmtId="0" fontId="10" fillId="0" borderId="0"/>
    <xf numFmtId="0" fontId="8" fillId="0" borderId="0">
      <alignment vertical="top" wrapText="1"/>
    </xf>
    <xf numFmtId="0" fontId="189" fillId="0" borderId="0"/>
    <xf numFmtId="347" fontId="255" fillId="0" borderId="0">
      <alignment horizontal="right"/>
    </xf>
    <xf numFmtId="0" fontId="255" fillId="0" borderId="0"/>
    <xf numFmtId="0" fontId="219" fillId="0" borderId="0" applyNumberFormat="0" applyAlignment="0"/>
    <xf numFmtId="348" fontId="8" fillId="92" borderId="73" applyNumberFormat="0" applyFont="0" applyBorder="0" applyAlignment="0" applyProtection="0">
      <alignment horizontal="right"/>
    </xf>
    <xf numFmtId="1" fontId="277" fillId="46" borderId="74" applyNumberFormat="0" applyBorder="0" applyAlignment="0">
      <alignment horizontal="centerContinuous" vertical="center"/>
      <protection locked="0"/>
    </xf>
    <xf numFmtId="206" fontId="43" fillId="0" borderId="0" applyNumberFormat="0" applyFont="0" applyAlignment="0">
      <alignment vertical="center"/>
    </xf>
    <xf numFmtId="0" fontId="255" fillId="0" borderId="0"/>
    <xf numFmtId="0" fontId="231" fillId="0" borderId="0" applyNumberFormat="0" applyFill="0" applyBorder="0" applyAlignment="0" applyProtection="0"/>
    <xf numFmtId="1" fontId="8" fillId="0" borderId="0" applyNumberFormat="0" applyBorder="0" applyAlignment="0" applyProtection="0"/>
    <xf numFmtId="49" fontId="8" fillId="0" borderId="0" applyFill="0" applyBorder="0"/>
    <xf numFmtId="49" fontId="7" fillId="0" borderId="0"/>
    <xf numFmtId="49" fontId="7" fillId="0" borderId="0" applyFill="0" applyBorder="0">
      <alignment horizontal="right" vertical="center"/>
    </xf>
    <xf numFmtId="49" fontId="7" fillId="0" borderId="0" applyFill="0" applyBorder="0">
      <alignment horizontal="right" vertical="center"/>
    </xf>
    <xf numFmtId="349" fontId="278" fillId="0" borderId="0">
      <alignment vertical="center"/>
    </xf>
    <xf numFmtId="49" fontId="231" fillId="0" borderId="0">
      <alignment horizontal="right"/>
    </xf>
    <xf numFmtId="49" fontId="279" fillId="0" borderId="0">
      <alignment horizontal="right"/>
    </xf>
    <xf numFmtId="349" fontId="280" fillId="0" borderId="0">
      <alignment vertical="center"/>
    </xf>
    <xf numFmtId="206" fontId="7" fillId="84" borderId="14" applyNumberFormat="0" applyFont="0" applyBorder="0" applyAlignment="0" applyProtection="0"/>
    <xf numFmtId="267" fontId="281" fillId="84" borderId="0" applyNumberFormat="0" applyFont="0" applyAlignment="0"/>
    <xf numFmtId="343" fontId="65" fillId="3" borderId="0" applyNumberFormat="0" applyAlignment="0"/>
    <xf numFmtId="0" fontId="78" fillId="93" borderId="0" applyNumberFormat="0" applyFont="0" applyBorder="0" applyAlignment="0" applyProtection="0"/>
    <xf numFmtId="0" fontId="65" fillId="0" borderId="0" applyNumberFormat="0" applyFill="0" applyBorder="0" applyAlignment="0">
      <protection locked="0"/>
    </xf>
    <xf numFmtId="350" fontId="282" fillId="0" borderId="55" applyBorder="0">
      <protection locked="0"/>
    </xf>
    <xf numFmtId="206" fontId="283" fillId="0" borderId="0">
      <alignment horizontal="right"/>
    </xf>
    <xf numFmtId="351" fontId="7" fillId="0" borderId="0" applyNumberFormat="0" applyFill="0" applyBorder="0" applyAlignment="0" applyProtection="0"/>
    <xf numFmtId="0" fontId="284" fillId="0" borderId="0" applyNumberFormat="0" applyFill="0" applyBorder="0" applyProtection="0">
      <alignment horizontal="left" vertical="center"/>
    </xf>
    <xf numFmtId="0" fontId="131" fillId="0" borderId="0"/>
    <xf numFmtId="5" fontId="8" fillId="0" borderId="0">
      <alignment vertical="top" wrapText="1"/>
    </xf>
    <xf numFmtId="0" fontId="57" fillId="0" borderId="0"/>
    <xf numFmtId="38" fontId="285" fillId="0" borderId="0" applyNumberFormat="0" applyFill="0" applyBorder="0">
      <alignment horizontal="left" vertical="center"/>
    </xf>
    <xf numFmtId="170" fontId="7" fillId="0" borderId="0" applyFont="0" applyFill="0" applyBorder="0" applyAlignment="0" applyProtection="0"/>
    <xf numFmtId="206" fontId="286" fillId="0" borderId="0" applyFill="0" applyBorder="0">
      <alignment vertical="center"/>
    </xf>
    <xf numFmtId="0" fontId="171" fillId="57" borderId="0"/>
    <xf numFmtId="352" fontId="8" fillId="35" borderId="0">
      <alignment horizontal="center"/>
    </xf>
    <xf numFmtId="0" fontId="105" fillId="0" borderId="0">
      <alignment horizontal="right"/>
    </xf>
    <xf numFmtId="0" fontId="282" fillId="0" borderId="75" applyNumberFormat="0" applyAlignment="0"/>
    <xf numFmtId="0" fontId="78" fillId="0" borderId="0"/>
    <xf numFmtId="267" fontId="78" fillId="0" borderId="9">
      <alignment horizontal="right"/>
    </xf>
    <xf numFmtId="271" fontId="287" fillId="0" borderId="0"/>
    <xf numFmtId="275" fontId="288" fillId="0" borderId="76" applyBorder="0"/>
    <xf numFmtId="0" fontId="289" fillId="0" borderId="0"/>
    <xf numFmtId="0" fontId="289" fillId="0" borderId="0"/>
    <xf numFmtId="0" fontId="289" fillId="0" borderId="0"/>
    <xf numFmtId="0" fontId="289" fillId="0" borderId="0"/>
    <xf numFmtId="0" fontId="289" fillId="0" borderId="0"/>
    <xf numFmtId="0" fontId="289" fillId="0" borderId="0"/>
    <xf numFmtId="0" fontId="289" fillId="0" borderId="0"/>
    <xf numFmtId="0" fontId="289" fillId="0" borderId="0"/>
    <xf numFmtId="0" fontId="289" fillId="0" borderId="0"/>
    <xf numFmtId="0" fontId="289" fillId="0" borderId="0"/>
    <xf numFmtId="0" fontId="289" fillId="0" borderId="0"/>
    <xf numFmtId="0" fontId="289" fillId="0" borderId="0"/>
    <xf numFmtId="0" fontId="289" fillId="0" borderId="0"/>
    <xf numFmtId="0" fontId="289" fillId="0" borderId="0"/>
    <xf numFmtId="0" fontId="289" fillId="0" borderId="0"/>
    <xf numFmtId="0" fontId="289" fillId="0" borderId="0"/>
    <xf numFmtId="0" fontId="289" fillId="0" borderId="0"/>
    <xf numFmtId="0" fontId="289" fillId="0" borderId="0"/>
    <xf numFmtId="0" fontId="289" fillId="0" borderId="0"/>
    <xf numFmtId="0" fontId="289" fillId="0" borderId="0"/>
    <xf numFmtId="0" fontId="7" fillId="0" borderId="0"/>
    <xf numFmtId="0" fontId="289" fillId="0" borderId="0"/>
    <xf numFmtId="0" fontId="3" fillId="0" borderId="0"/>
    <xf numFmtId="2" fontId="78" fillId="0" borderId="0" applyBorder="0" applyProtection="0"/>
    <xf numFmtId="0" fontId="225" fillId="0" borderId="0"/>
    <xf numFmtId="223" fontId="20" fillId="0" borderId="0" applyFont="0" applyFill="0" applyBorder="0" applyProtection="0">
      <alignment horizontal="right"/>
    </xf>
    <xf numFmtId="0" fontId="8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351" fontId="7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285" fillId="0" borderId="0" applyNumberFormat="0" applyFill="0" applyBorder="0" applyAlignment="0" applyProtection="0"/>
    <xf numFmtId="0" fontId="290" fillId="0" borderId="0">
      <alignment horizontal="left" vertical="top"/>
      <protection locked="0"/>
    </xf>
    <xf numFmtId="0" fontId="291" fillId="0" borderId="0">
      <alignment horizontal="left"/>
    </xf>
    <xf numFmtId="0" fontId="292" fillId="0" borderId="0">
      <alignment vertical="center"/>
    </xf>
    <xf numFmtId="246" fontId="7" fillId="0" borderId="0" applyFill="0">
      <alignment horizontal="center" vertical="center"/>
    </xf>
    <xf numFmtId="0" fontId="143" fillId="0" borderId="0" applyNumberFormat="0" applyFill="0" applyBorder="0">
      <alignment horizontal="left"/>
    </xf>
    <xf numFmtId="206" fontId="8" fillId="0" borderId="0">
      <alignment horizontal="right" vertical="top" wrapText="1"/>
    </xf>
    <xf numFmtId="206" fontId="273" fillId="0" borderId="72" applyFill="0" applyBorder="0" applyProtection="0"/>
    <xf numFmtId="353" fontId="7" fillId="0" borderId="0"/>
    <xf numFmtId="38" fontId="8" fillId="0" borderId="0" applyFill="0" applyBorder="0" applyAlignment="0" applyProtection="0">
      <alignment horizontal="right"/>
    </xf>
    <xf numFmtId="0" fontId="8" fillId="0" borderId="0">
      <alignment horizontal="center" vertical="top" wrapText="1"/>
    </xf>
    <xf numFmtId="0" fontId="293" fillId="0" borderId="0"/>
    <xf numFmtId="0" fontId="288" fillId="0" borderId="0" applyNumberFormat="0" applyAlignment="0"/>
    <xf numFmtId="1" fontId="294" fillId="34" borderId="0">
      <alignment horizontal="center"/>
    </xf>
    <xf numFmtId="299" fontId="7" fillId="0" borderId="0" applyFill="0" applyBorder="0" applyAlignment="0" applyProtection="0"/>
    <xf numFmtId="267" fontId="10" fillId="0" borderId="0">
      <alignment vertical="top"/>
    </xf>
    <xf numFmtId="0" fontId="295" fillId="0" borderId="0"/>
    <xf numFmtId="275" fontId="78" fillId="28" borderId="56" applyNumberFormat="0" applyFont="0" applyBorder="0" applyAlignment="0" applyProtection="0">
      <alignment horizontal="center"/>
    </xf>
    <xf numFmtId="0" fontId="284" fillId="0" borderId="0" applyNumberFormat="0" applyFill="0" applyBorder="0" applyProtection="0">
      <alignment horizontal="right" vertical="center"/>
    </xf>
    <xf numFmtId="0" fontId="7" fillId="36" borderId="0" applyNumberFormat="0" applyFont="0" applyBorder="0" applyAlignment="0" applyProtection="0"/>
    <xf numFmtId="0" fontId="11" fillId="0" borderId="0"/>
    <xf numFmtId="1" fontId="296" fillId="94" borderId="0" applyNumberFormat="0" applyFont="0" applyBorder="0" applyAlignment="0">
      <alignment horizontal="left"/>
    </xf>
    <xf numFmtId="2" fontId="297" fillId="0" borderId="0"/>
    <xf numFmtId="1" fontId="7" fillId="0" borderId="0"/>
    <xf numFmtId="166" fontId="8" fillId="0" borderId="0">
      <alignment horizontal="right" vertical="top" wrapText="1"/>
    </xf>
    <xf numFmtId="0" fontId="8" fillId="0" borderId="0">
      <alignment vertical="top" wrapText="1"/>
    </xf>
    <xf numFmtId="3" fontId="7" fillId="34" borderId="77" applyFont="0" applyFill="0" applyBorder="0" applyAlignment="0" applyProtection="0"/>
    <xf numFmtId="4" fontId="7" fillId="34" borderId="77" applyFont="0" applyFill="0" applyBorder="0" applyAlignment="0" applyProtection="0"/>
    <xf numFmtId="246" fontId="7" fillId="34" borderId="77" applyFont="0" applyFill="0" applyBorder="0" applyAlignment="0" applyProtection="0"/>
    <xf numFmtId="195" fontId="7" fillId="34" borderId="78" applyFont="0" applyFill="0" applyBorder="0" applyAlignment="0" applyProtection="0"/>
    <xf numFmtId="10" fontId="7" fillId="34" borderId="77" applyFont="0" applyFill="0" applyBorder="0" applyAlignment="0" applyProtection="0"/>
    <xf numFmtId="9" fontId="7" fillId="34" borderId="77" applyFont="0" applyFill="0" applyBorder="0" applyAlignment="0" applyProtection="0"/>
    <xf numFmtId="2" fontId="7" fillId="34" borderId="77" applyFont="0" applyFill="0" applyBorder="0" applyAlignment="0" applyProtection="0"/>
    <xf numFmtId="0" fontId="298" fillId="0" borderId="79"/>
    <xf numFmtId="0" fontId="8" fillId="0" borderId="0">
      <alignment vertical="top" wrapText="1"/>
    </xf>
    <xf numFmtId="0" fontId="7" fillId="0" borderId="0"/>
    <xf numFmtId="354" fontId="299" fillId="0" borderId="0" applyNumberFormat="0" applyFill="0" applyBorder="0" applyAlignment="0" applyProtection="0">
      <alignment horizontal="right" vertical="center" wrapText="1"/>
    </xf>
    <xf numFmtId="0" fontId="300" fillId="0" borderId="0" applyNumberFormat="0" applyFill="0" applyBorder="0" applyAlignment="0" applyProtection="0"/>
    <xf numFmtId="0" fontId="301" fillId="0" borderId="0" applyNumberFormat="0" applyFill="0" applyBorder="0" applyAlignment="0" applyProtection="0">
      <protection locked="0"/>
    </xf>
    <xf numFmtId="0" fontId="302" fillId="0" borderId="73" applyNumberFormat="0" applyFill="0" applyProtection="0">
      <alignment horizontal="right"/>
    </xf>
    <xf numFmtId="355" fontId="8" fillId="0" borderId="0"/>
    <xf numFmtId="39" fontId="80" fillId="0" borderId="53" applyNumberFormat="0" applyBorder="0">
      <alignment horizontal="right"/>
    </xf>
    <xf numFmtId="0" fontId="302" fillId="0" borderId="2" applyNumberFormat="0" applyProtection="0">
      <alignment horizontal="right"/>
    </xf>
    <xf numFmtId="0" fontId="303" fillId="0" borderId="0">
      <alignment vertical="center"/>
    </xf>
    <xf numFmtId="0" fontId="278" fillId="0" borderId="0">
      <alignment vertical="center"/>
    </xf>
    <xf numFmtId="0" fontId="280" fillId="0" borderId="0">
      <alignment vertical="center"/>
    </xf>
    <xf numFmtId="37" fontId="8" fillId="0" borderId="0">
      <alignment horizontal="right" vertical="top" wrapText="1"/>
    </xf>
    <xf numFmtId="0" fontId="266" fillId="0" borderId="0">
      <alignment vertical="center"/>
    </xf>
    <xf numFmtId="0" fontId="42" fillId="0" borderId="0" applyNumberFormat="0" applyFill="0" applyBorder="0" applyAlignment="0" applyProtection="0"/>
    <xf numFmtId="0" fontId="304" fillId="0" borderId="0" applyNumberFormat="0" applyFill="0" applyBorder="0" applyAlignment="0" applyProtection="0"/>
    <xf numFmtId="38" fontId="305" fillId="0" borderId="0" applyNumberFormat="0" applyFill="0" applyBorder="0">
      <alignment horizontal="left" vertical="center"/>
    </xf>
    <xf numFmtId="0" fontId="306" fillId="95" borderId="0" applyNumberFormat="0" applyBorder="0" applyProtection="0">
      <alignment horizontal="left" vertical="center"/>
    </xf>
    <xf numFmtId="0" fontId="307" fillId="1" borderId="0" applyNumberFormat="0" applyBorder="0" applyProtection="0">
      <alignment horizontal="left" vertical="center"/>
    </xf>
    <xf numFmtId="275" fontId="242" fillId="0" borderId="0"/>
    <xf numFmtId="0" fontId="308" fillId="0" borderId="0" applyNumberFormat="0" applyFill="0" applyBorder="0" applyAlignment="0" applyProtection="0"/>
    <xf numFmtId="0" fontId="242" fillId="0" borderId="0" applyNumberFormat="0" applyFill="0" applyBorder="0" applyAlignment="0" applyProtection="0"/>
    <xf numFmtId="0" fontId="8" fillId="0" borderId="0"/>
    <xf numFmtId="341" fontId="302" fillId="0" borderId="73" applyNumberFormat="0" applyFont="0" applyFill="0" applyAlignment="0" applyProtection="0"/>
    <xf numFmtId="275" fontId="12" fillId="0" borderId="2"/>
    <xf numFmtId="345" fontId="309" fillId="0" borderId="0">
      <alignment horizontal="right"/>
    </xf>
    <xf numFmtId="0" fontId="201" fillId="0" borderId="52" applyNumberFormat="0" applyFill="0" applyProtection="0"/>
    <xf numFmtId="275" fontId="219" fillId="0" borderId="0" applyNumberFormat="0" applyBorder="0" applyAlignment="0"/>
    <xf numFmtId="356" fontId="294" fillId="34" borderId="13" applyBorder="0">
      <alignment horizontal="right" vertical="center"/>
      <protection locked="0"/>
    </xf>
    <xf numFmtId="0" fontId="310" fillId="0" borderId="0" applyNumberFormat="0"/>
    <xf numFmtId="1" fontId="7" fillId="0" borderId="0">
      <alignment horizontal="center"/>
    </xf>
    <xf numFmtId="0" fontId="7" fillId="0" borderId="0"/>
    <xf numFmtId="10" fontId="7" fillId="0" borderId="0" applyFont="0" applyFill="0" applyBorder="0" applyAlignment="0" applyProtection="0"/>
    <xf numFmtId="0" fontId="2" fillId="0" borderId="0"/>
    <xf numFmtId="0" fontId="78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362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63" fontId="7" fillId="0" borderId="0" applyFont="0" applyFill="0" applyBorder="0" applyAlignment="0" applyProtection="0"/>
    <xf numFmtId="364" fontId="7" fillId="0" borderId="0" applyFont="0" applyFill="0" applyBorder="0" applyAlignment="0" applyProtection="0"/>
    <xf numFmtId="37" fontId="7" fillId="0" borderId="0" applyFont="0" applyFill="0" applyBorder="0" applyAlignment="0" applyProtection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365" fontId="273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365" fontId="273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365" fontId="273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365" fontId="273" fillId="0" borderId="0"/>
    <xf numFmtId="365" fontId="273" fillId="0" borderId="0"/>
    <xf numFmtId="365" fontId="273" fillId="0" borderId="0"/>
    <xf numFmtId="365" fontId="273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0" fontId="325" fillId="0" borderId="0"/>
    <xf numFmtId="366" fontId="203" fillId="0" borderId="0"/>
    <xf numFmtId="0" fontId="78" fillId="0" borderId="0">
      <alignment horizontal="right"/>
    </xf>
    <xf numFmtId="367" fontId="325" fillId="34" borderId="0"/>
    <xf numFmtId="368" fontId="325" fillId="34" borderId="0"/>
    <xf numFmtId="367" fontId="325" fillId="34" borderId="0"/>
    <xf numFmtId="369" fontId="325" fillId="34" borderId="0"/>
  </cellStyleXfs>
  <cellXfs count="995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17" fillId="0" borderId="0" xfId="0" applyFont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165" fontId="15" fillId="0" borderId="0" xfId="0" applyNumberFormat="1" applyFont="1" applyBorder="1" applyAlignment="1">
      <alignment vertical="center"/>
    </xf>
    <xf numFmtId="165" fontId="25" fillId="0" borderId="0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Border="1"/>
    <xf numFmtId="165" fontId="17" fillId="0" borderId="0" xfId="0" applyNumberFormat="1" applyFont="1" applyBorder="1" applyAlignment="1">
      <alignment vertical="center"/>
    </xf>
    <xf numFmtId="0" fontId="0" fillId="0" borderId="0" xfId="0" applyAlignment="1"/>
    <xf numFmtId="168" fontId="13" fillId="0" borderId="5" xfId="0" applyNumberFormat="1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0" fontId="0" fillId="0" borderId="0" xfId="0" applyFont="1"/>
    <xf numFmtId="168" fontId="13" fillId="0" borderId="0" xfId="0" applyNumberFormat="1" applyFont="1" applyBorder="1" applyAlignment="1">
      <alignment horizontal="center" vertical="center"/>
    </xf>
    <xf numFmtId="165" fontId="37" fillId="0" borderId="0" xfId="0" applyNumberFormat="1" applyFont="1" applyBorder="1" applyAlignment="1">
      <alignment vertical="center"/>
    </xf>
    <xf numFmtId="167" fontId="13" fillId="0" borderId="5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8" fillId="0" borderId="0" xfId="495" applyFont="1"/>
    <xf numFmtId="0" fontId="38" fillId="0" borderId="0" xfId="495" applyFont="1" applyFill="1"/>
    <xf numFmtId="0" fontId="38" fillId="76" borderId="0" xfId="495" applyFont="1" applyFill="1" applyBorder="1"/>
    <xf numFmtId="0" fontId="38" fillId="76" borderId="0" xfId="495" quotePrefix="1" applyFont="1" applyFill="1" applyBorder="1"/>
    <xf numFmtId="0" fontId="182" fillId="0" borderId="0" xfId="495" applyFont="1"/>
    <xf numFmtId="0" fontId="13" fillId="0" borderId="0" xfId="495" applyFont="1"/>
    <xf numFmtId="0" fontId="160" fillId="76" borderId="0" xfId="495" applyFont="1" applyFill="1" applyBorder="1"/>
    <xf numFmtId="0" fontId="19" fillId="0" borderId="15" xfId="0" quotePrefix="1" applyFont="1" applyBorder="1" applyAlignment="1">
      <alignment horizontal="centerContinuous" vertical="center"/>
    </xf>
    <xf numFmtId="0" fontId="19" fillId="0" borderId="47" xfId="0" quotePrefix="1" applyFont="1" applyBorder="1" applyAlignment="1">
      <alignment horizontal="centerContinuous" vertical="center"/>
    </xf>
    <xf numFmtId="225" fontId="13" fillId="0" borderId="48" xfId="0" quotePrefix="1" applyNumberFormat="1" applyFont="1" applyBorder="1" applyAlignment="1">
      <alignment horizontal="centerContinuous" vertical="center"/>
    </xf>
    <xf numFmtId="17" fontId="13" fillId="0" borderId="9" xfId="0" applyNumberFormat="1" applyFont="1" applyBorder="1" applyAlignment="1">
      <alignment horizontal="center" vertical="center"/>
    </xf>
    <xf numFmtId="220" fontId="13" fillId="2" borderId="0" xfId="0" applyNumberFormat="1" applyFont="1" applyFill="1" applyBorder="1" applyAlignment="1">
      <alignment vertical="center"/>
    </xf>
    <xf numFmtId="167" fontId="13" fillId="0" borderId="0" xfId="0" applyNumberFormat="1" applyFont="1" applyBorder="1" applyAlignment="1">
      <alignment horizontal="center" vertical="center"/>
    </xf>
    <xf numFmtId="206" fontId="14" fillId="0" borderId="0" xfId="494" applyNumberFormat="1" applyFont="1" applyAlignment="1">
      <alignment vertical="center"/>
    </xf>
    <xf numFmtId="206" fontId="0" fillId="0" borderId="0" xfId="0" applyNumberFormat="1" applyFont="1" applyAlignment="1">
      <alignment vertical="center"/>
    </xf>
    <xf numFmtId="206" fontId="0" fillId="0" borderId="0" xfId="0" applyNumberFormat="1" applyAlignment="1">
      <alignment vertical="center"/>
    </xf>
    <xf numFmtId="8" fontId="8" fillId="0" borderId="0" xfId="0" applyNumberFormat="1" applyFont="1" applyBorder="1" applyAlignment="1">
      <alignment vertical="center"/>
    </xf>
    <xf numFmtId="327" fontId="13" fillId="2" borderId="8" xfId="0" applyNumberFormat="1" applyFont="1" applyFill="1" applyBorder="1" applyAlignment="1">
      <alignment horizontal="left" vertical="center"/>
    </xf>
    <xf numFmtId="0" fontId="0" fillId="0" borderId="0" xfId="0" applyFont="1" applyAlignment="1">
      <alignment horizontal="center" vertical="center"/>
    </xf>
    <xf numFmtId="226" fontId="0" fillId="0" borderId="14" xfId="0" applyNumberFormat="1" applyFont="1" applyBorder="1" applyAlignment="1">
      <alignment horizontal="center" vertical="center"/>
    </xf>
    <xf numFmtId="8" fontId="0" fillId="0" borderId="0" xfId="0" applyNumberFormat="1" applyFont="1"/>
    <xf numFmtId="8" fontId="0" fillId="0" borderId="0" xfId="0" applyNumberFormat="1" applyFont="1" applyAlignment="1">
      <alignment vertical="center"/>
    </xf>
    <xf numFmtId="206" fontId="14" fillId="0" borderId="0" xfId="0" applyNumberFormat="1" applyFont="1" applyAlignment="1">
      <alignment horizontal="right" vertical="center"/>
    </xf>
    <xf numFmtId="206" fontId="14" fillId="0" borderId="0" xfId="0" applyNumberFormat="1" applyFont="1" applyBorder="1" applyAlignment="1">
      <alignment horizontal="right" vertical="center"/>
    </xf>
    <xf numFmtId="8" fontId="39" fillId="0" borderId="0" xfId="0" applyNumberFormat="1" applyFont="1" applyBorder="1" applyAlignment="1">
      <alignment vertical="center"/>
    </xf>
    <xf numFmtId="206" fontId="0" fillId="0" borderId="0" xfId="0" applyNumberFormat="1" applyFont="1"/>
    <xf numFmtId="327" fontId="0" fillId="0" borderId="0" xfId="0" applyNumberFormat="1" applyFont="1" applyAlignment="1">
      <alignment vertical="center"/>
    </xf>
    <xf numFmtId="299" fontId="0" fillId="0" borderId="0" xfId="0" applyNumberFormat="1" applyFont="1" applyAlignment="1">
      <alignment vertical="center"/>
    </xf>
    <xf numFmtId="3" fontId="0" fillId="0" borderId="0" xfId="0" applyNumberFormat="1" applyFont="1" applyAlignment="1">
      <alignment vertical="center"/>
    </xf>
    <xf numFmtId="3" fontId="0" fillId="0" borderId="0" xfId="0" applyNumberFormat="1" applyAlignment="1">
      <alignment vertical="center"/>
    </xf>
    <xf numFmtId="206" fontId="0" fillId="0" borderId="0" xfId="494" applyNumberFormat="1" applyFont="1" applyAlignment="1">
      <alignment vertical="center"/>
    </xf>
    <xf numFmtId="275" fontId="0" fillId="0" borderId="0" xfId="0" applyNumberFormat="1" applyFont="1" applyAlignment="1">
      <alignment vertical="center"/>
    </xf>
    <xf numFmtId="329" fontId="0" fillId="0" borderId="0" xfId="0" applyNumberFormat="1" applyAlignment="1">
      <alignment vertical="center"/>
    </xf>
    <xf numFmtId="327" fontId="0" fillId="2" borderId="8" xfId="0" applyNumberFormat="1" applyFont="1" applyFill="1" applyBorder="1" applyAlignment="1">
      <alignment horizontal="right" vertical="center"/>
    </xf>
    <xf numFmtId="206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8" fontId="0" fillId="0" borderId="0" xfId="0" applyNumberFormat="1" applyFont="1" applyBorder="1" applyAlignment="1">
      <alignment vertical="center"/>
    </xf>
    <xf numFmtId="327" fontId="0" fillId="2" borderId="8" xfId="0" applyNumberFormat="1" applyFont="1" applyFill="1" applyBorder="1" applyAlignment="1">
      <alignment vertical="center"/>
    </xf>
    <xf numFmtId="327" fontId="0" fillId="0" borderId="0" xfId="0" applyNumberFormat="1" applyFont="1" applyBorder="1" applyAlignment="1">
      <alignment vertical="center"/>
    </xf>
    <xf numFmtId="165" fontId="0" fillId="0" borderId="0" xfId="0" applyNumberFormat="1" applyFont="1" applyBorder="1" applyAlignment="1">
      <alignment vertical="center"/>
    </xf>
    <xf numFmtId="299" fontId="0" fillId="0" borderId="0" xfId="0" applyNumberFormat="1" applyFont="1" applyBorder="1" applyAlignment="1">
      <alignment vertical="center"/>
    </xf>
    <xf numFmtId="3" fontId="0" fillId="0" borderId="0" xfId="0" applyNumberFormat="1" applyFont="1" applyBorder="1" applyAlignment="1">
      <alignment vertical="center"/>
    </xf>
    <xf numFmtId="326" fontId="0" fillId="0" borderId="0" xfId="0" applyNumberFormat="1" applyFont="1" applyBorder="1" applyAlignment="1">
      <alignment vertical="center"/>
    </xf>
    <xf numFmtId="275" fontId="0" fillId="0" borderId="0" xfId="0" applyNumberFormat="1" applyFont="1"/>
    <xf numFmtId="329" fontId="0" fillId="0" borderId="0" xfId="0" applyNumberFormat="1" applyFont="1" applyAlignment="1">
      <alignment vertical="center"/>
    </xf>
    <xf numFmtId="0" fontId="0" fillId="0" borderId="5" xfId="0" applyFont="1" applyBorder="1" applyAlignment="1">
      <alignment vertical="center"/>
    </xf>
    <xf numFmtId="299" fontId="13" fillId="0" borderId="0" xfId="0" applyNumberFormat="1" applyFont="1" applyAlignment="1">
      <alignment vertical="center"/>
    </xf>
    <xf numFmtId="267" fontId="0" fillId="0" borderId="0" xfId="0" applyNumberFormat="1" applyAlignment="1"/>
    <xf numFmtId="299" fontId="13" fillId="0" borderId="0" xfId="0" applyNumberFormat="1" applyFont="1" applyBorder="1" applyAlignment="1">
      <alignment vertical="center"/>
    </xf>
    <xf numFmtId="299" fontId="0" fillId="2" borderId="8" xfId="0" applyNumberFormat="1" applyFont="1" applyFill="1" applyBorder="1" applyAlignment="1">
      <alignment vertical="center"/>
    </xf>
    <xf numFmtId="299" fontId="0" fillId="2" borderId="8" xfId="0" applyNumberFormat="1" applyFont="1" applyFill="1" applyBorder="1" applyAlignment="1">
      <alignment horizontal="right" vertical="center"/>
    </xf>
    <xf numFmtId="206" fontId="14" fillId="0" borderId="0" xfId="0" applyNumberFormat="1" applyFont="1" applyAlignment="1">
      <alignment vertical="center"/>
    </xf>
    <xf numFmtId="206" fontId="14" fillId="0" borderId="0" xfId="0" applyNumberFormat="1" applyFont="1" applyBorder="1" applyAlignment="1">
      <alignment vertical="center"/>
    </xf>
    <xf numFmtId="267" fontId="0" fillId="0" borderId="0" xfId="0" applyNumberFormat="1" applyFont="1" applyBorder="1" applyAlignment="1">
      <alignment vertical="center"/>
    </xf>
    <xf numFmtId="267" fontId="0" fillId="0" borderId="0" xfId="0" applyNumberFormat="1" applyFont="1" applyBorder="1" applyAlignment="1">
      <alignment horizontal="right" vertical="center"/>
    </xf>
    <xf numFmtId="329" fontId="0" fillId="0" borderId="0" xfId="0" applyNumberFormat="1" applyFont="1" applyBorder="1" applyAlignment="1">
      <alignment vertical="center"/>
    </xf>
    <xf numFmtId="275" fontId="0" fillId="0" borderId="0" xfId="0" applyNumberFormat="1" applyFont="1" applyBorder="1" applyAlignment="1">
      <alignment vertical="center"/>
    </xf>
    <xf numFmtId="0" fontId="22" fillId="0" borderId="0" xfId="0" applyFont="1" applyBorder="1" applyAlignment="1">
      <alignment horizontal="left" indent="1"/>
    </xf>
    <xf numFmtId="0" fontId="12" fillId="0" borderId="0" xfId="0" applyFont="1" applyBorder="1"/>
    <xf numFmtId="0" fontId="8" fillId="0" borderId="0" xfId="0" applyFont="1" applyBorder="1"/>
    <xf numFmtId="0" fontId="35" fillId="0" borderId="0" xfId="0" applyFont="1" applyBorder="1"/>
    <xf numFmtId="0" fontId="8" fillId="0" borderId="0" xfId="0" applyFont="1" applyBorder="1" applyAlignment="1">
      <alignment horizontal="left" indent="1"/>
    </xf>
    <xf numFmtId="165" fontId="22" fillId="0" borderId="0" xfId="0" applyNumberFormat="1" applyFont="1" applyBorder="1" applyAlignment="1">
      <alignment horizontal="center" vertical="center"/>
    </xf>
    <xf numFmtId="44" fontId="13" fillId="0" borderId="0" xfId="0" applyNumberFormat="1" applyFont="1" applyAlignment="1">
      <alignment vertical="center"/>
    </xf>
    <xf numFmtId="44" fontId="13" fillId="0" borderId="0" xfId="0" applyNumberFormat="1" applyFont="1" applyBorder="1" applyAlignment="1">
      <alignment vertical="center"/>
    </xf>
    <xf numFmtId="227" fontId="0" fillId="0" borderId="0" xfId="0" applyNumberFormat="1" applyFont="1" applyBorder="1" applyAlignment="1">
      <alignment vertical="center"/>
    </xf>
    <xf numFmtId="227" fontId="0" fillId="0" borderId="0" xfId="0" applyNumberFormat="1" applyFont="1" applyAlignment="1">
      <alignment vertical="center"/>
    </xf>
    <xf numFmtId="227" fontId="0" fillId="0" borderId="0" xfId="0" applyNumberFormat="1" applyAlignment="1">
      <alignment vertical="center"/>
    </xf>
    <xf numFmtId="267" fontId="0" fillId="0" borderId="0" xfId="0" applyNumberFormat="1" applyFont="1" applyAlignment="1">
      <alignment vertical="center"/>
    </xf>
    <xf numFmtId="267" fontId="0" fillId="0" borderId="0" xfId="0" applyNumberFormat="1"/>
    <xf numFmtId="267" fontId="8" fillId="0" borderId="0" xfId="0" applyNumberFormat="1" applyFont="1" applyBorder="1" applyAlignment="1">
      <alignment vertical="center"/>
    </xf>
    <xf numFmtId="267" fontId="0" fillId="0" borderId="0" xfId="0" applyNumberFormat="1" applyAlignment="1">
      <alignment vertical="center"/>
    </xf>
    <xf numFmtId="267" fontId="172" fillId="0" borderId="0" xfId="0" applyNumberFormat="1" applyFont="1" applyBorder="1" applyAlignment="1">
      <alignment vertical="center"/>
    </xf>
    <xf numFmtId="206" fontId="14" fillId="0" borderId="0" xfId="494" applyNumberFormat="1" applyFont="1" applyBorder="1" applyAlignment="1">
      <alignment horizontal="right" vertical="center"/>
    </xf>
    <xf numFmtId="227" fontId="13" fillId="0" borderId="0" xfId="0" applyNumberFormat="1" applyFont="1" applyAlignment="1">
      <alignment vertical="center"/>
    </xf>
    <xf numFmtId="206" fontId="0" fillId="0" borderId="0" xfId="0" applyNumberFormat="1" applyFont="1" applyAlignment="1">
      <alignment horizontal="left" vertical="center" indent="1"/>
    </xf>
    <xf numFmtId="206" fontId="0" fillId="0" borderId="0" xfId="0" applyNumberFormat="1" applyFont="1" applyBorder="1" applyAlignment="1">
      <alignment horizontal="right" vertical="center"/>
    </xf>
    <xf numFmtId="206" fontId="0" fillId="0" borderId="0" xfId="0" applyNumberFormat="1" applyFont="1" applyAlignment="1">
      <alignment horizontal="right" vertical="center"/>
    </xf>
    <xf numFmtId="267" fontId="8" fillId="0" borderId="0" xfId="0" applyNumberFormat="1" applyFont="1" applyBorder="1" applyAlignment="1">
      <alignment horizontal="right" vertical="center"/>
    </xf>
    <xf numFmtId="267" fontId="0" fillId="0" borderId="0" xfId="0" applyNumberFormat="1" applyFont="1" applyAlignment="1">
      <alignment horizontal="right" vertical="center"/>
    </xf>
    <xf numFmtId="267" fontId="0" fillId="0" borderId="0" xfId="495" applyNumberFormat="1" applyFont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0" fillId="0" borderId="0" xfId="0" applyFont="1" applyAlignment="1">
      <alignment horizontal="right" vertical="center"/>
    </xf>
    <xf numFmtId="267" fontId="39" fillId="0" borderId="0" xfId="0" applyNumberFormat="1" applyFont="1" applyBorder="1" applyAlignment="1">
      <alignment horizontal="right" vertical="center"/>
    </xf>
    <xf numFmtId="299" fontId="8" fillId="0" borderId="0" xfId="0" applyNumberFormat="1" applyFont="1" applyBorder="1" applyAlignment="1">
      <alignment horizontal="right" vertical="center"/>
    </xf>
    <xf numFmtId="206" fontId="18" fillId="0" borderId="0" xfId="0" applyNumberFormat="1" applyFont="1" applyBorder="1" applyAlignment="1">
      <alignment horizontal="right" vertical="center"/>
    </xf>
    <xf numFmtId="267" fontId="158" fillId="0" borderId="0" xfId="0" applyNumberFormat="1" applyFont="1" applyBorder="1" applyAlignment="1">
      <alignment horizontal="right" vertical="center"/>
    </xf>
    <xf numFmtId="267" fontId="0" fillId="0" borderId="0" xfId="0" applyNumberFormat="1" applyFont="1" applyAlignment="1">
      <alignment horizontal="left" vertical="center" indent="1"/>
    </xf>
    <xf numFmtId="44" fontId="13" fillId="0" borderId="0" xfId="0" applyNumberFormat="1" applyFont="1" applyBorder="1" applyAlignment="1">
      <alignment horizontal="right" vertical="center"/>
    </xf>
    <xf numFmtId="44" fontId="13" fillId="0" borderId="0" xfId="0" applyNumberFormat="1" applyFont="1" applyAlignment="1">
      <alignment horizontal="right" vertical="center"/>
    </xf>
    <xf numFmtId="267" fontId="35" fillId="0" borderId="0" xfId="0" applyNumberFormat="1" applyFont="1" applyBorder="1" applyAlignment="1">
      <alignment horizontal="right" vertical="center"/>
    </xf>
    <xf numFmtId="0" fontId="0" fillId="0" borderId="0" xfId="0" applyFont="1" applyBorder="1"/>
    <xf numFmtId="227" fontId="0" fillId="0" borderId="0" xfId="0" applyNumberFormat="1" applyFont="1"/>
    <xf numFmtId="267" fontId="13" fillId="0" borderId="0" xfId="0" applyNumberFormat="1" applyFont="1" applyAlignment="1"/>
    <xf numFmtId="267" fontId="0" fillId="0" borderId="0" xfId="0" applyNumberFormat="1" applyFont="1"/>
    <xf numFmtId="267" fontId="13" fillId="0" borderId="0" xfId="0" applyNumberFormat="1" applyFont="1"/>
    <xf numFmtId="165" fontId="15" fillId="0" borderId="0" xfId="0" applyNumberFormat="1" applyFont="1" applyBorder="1" applyAlignment="1">
      <alignment horizontal="right" vertical="center"/>
    </xf>
    <xf numFmtId="299" fontId="22" fillId="0" borderId="0" xfId="0" applyNumberFormat="1" applyFont="1" applyAlignment="1">
      <alignment horizontal="left" vertical="center" indent="1"/>
    </xf>
    <xf numFmtId="299" fontId="0" fillId="0" borderId="0" xfId="0" applyNumberFormat="1" applyFont="1" applyBorder="1" applyAlignment="1">
      <alignment horizontal="left" vertical="center" indent="1"/>
    </xf>
    <xf numFmtId="227" fontId="22" fillId="0" borderId="1" xfId="0" applyNumberFormat="1" applyFont="1" applyBorder="1" applyAlignment="1">
      <alignment vertical="center"/>
    </xf>
    <xf numFmtId="227" fontId="22" fillId="0" borderId="4" xfId="0" applyNumberFormat="1" applyFont="1" applyBorder="1" applyAlignment="1">
      <alignment vertical="center"/>
    </xf>
    <xf numFmtId="299" fontId="21" fillId="0" borderId="0" xfId="0" applyNumberFormat="1" applyFont="1" applyAlignment="1">
      <alignment vertical="center"/>
    </xf>
    <xf numFmtId="326" fontId="0" fillId="0" borderId="0" xfId="0" applyNumberFormat="1" applyFont="1"/>
    <xf numFmtId="326" fontId="0" fillId="0" borderId="0" xfId="0" applyNumberFormat="1" applyFont="1" applyAlignment="1">
      <alignment vertical="center"/>
    </xf>
    <xf numFmtId="326" fontId="21" fillId="0" borderId="0" xfId="0" applyNumberFormat="1" applyFont="1" applyBorder="1" applyAlignment="1">
      <alignment vertical="center"/>
    </xf>
    <xf numFmtId="326" fontId="13" fillId="0" borderId="0" xfId="0" applyNumberFormat="1" applyFont="1" applyAlignment="1">
      <alignment vertical="center"/>
    </xf>
    <xf numFmtId="267" fontId="158" fillId="0" borderId="0" xfId="0" applyNumberFormat="1" applyFont="1" applyBorder="1" applyAlignment="1">
      <alignment vertical="center"/>
    </xf>
    <xf numFmtId="326" fontId="158" fillId="0" borderId="0" xfId="0" applyNumberFormat="1" applyFont="1" applyBorder="1" applyAlignment="1">
      <alignment vertical="center"/>
    </xf>
    <xf numFmtId="275" fontId="8" fillId="0" borderId="0" xfId="0" applyNumberFormat="1" applyFont="1" applyBorder="1" applyAlignment="1">
      <alignment horizontal="left" indent="1"/>
    </xf>
    <xf numFmtId="275" fontId="22" fillId="0" borderId="0" xfId="0" applyNumberFormat="1" applyFont="1" applyBorder="1" applyAlignment="1">
      <alignment horizontal="center" vertical="center"/>
    </xf>
    <xf numFmtId="326" fontId="8" fillId="0" borderId="0" xfId="0" applyNumberFormat="1" applyFont="1" applyBorder="1" applyAlignment="1">
      <alignment horizontal="left" indent="1"/>
    </xf>
    <xf numFmtId="326" fontId="22" fillId="0" borderId="0" xfId="0" applyNumberFormat="1" applyFont="1" applyBorder="1" applyAlignment="1">
      <alignment horizontal="center" vertical="center"/>
    </xf>
    <xf numFmtId="267" fontId="0" fillId="0" borderId="6" xfId="0" applyNumberFormat="1" applyFont="1" applyBorder="1" applyAlignment="1">
      <alignment horizontal="right" vertical="center"/>
    </xf>
    <xf numFmtId="206" fontId="18" fillId="0" borderId="6" xfId="0" applyNumberFormat="1" applyFont="1" applyBorder="1" applyAlignment="1">
      <alignment horizontal="right" vertical="center"/>
    </xf>
    <xf numFmtId="267" fontId="0" fillId="0" borderId="7" xfId="0" applyNumberFormat="1" applyFont="1" applyBorder="1" applyAlignment="1">
      <alignment horizontal="right" vertical="center"/>
    </xf>
    <xf numFmtId="206" fontId="18" fillId="0" borderId="7" xfId="0" applyNumberFormat="1" applyFont="1" applyBorder="1" applyAlignment="1">
      <alignment horizontal="right" vertical="center"/>
    </xf>
    <xf numFmtId="206" fontId="14" fillId="0" borderId="7" xfId="494" applyNumberFormat="1" applyFont="1" applyBorder="1" applyAlignment="1">
      <alignment horizontal="right" vertical="center"/>
    </xf>
    <xf numFmtId="267" fontId="8" fillId="0" borderId="7" xfId="0" applyNumberFormat="1" applyFont="1" applyBorder="1" applyAlignment="1">
      <alignment horizontal="right" vertical="center"/>
    </xf>
    <xf numFmtId="0" fontId="8" fillId="0" borderId="0" xfId="9" applyFont="1"/>
    <xf numFmtId="0" fontId="0" fillId="76" borderId="0" xfId="0" applyFont="1" applyFill="1" applyAlignment="1">
      <alignment horizontal="right"/>
    </xf>
    <xf numFmtId="0" fontId="8" fillId="76" borderId="0" xfId="9" applyFont="1" applyFill="1"/>
    <xf numFmtId="0" fontId="178" fillId="76" borderId="0" xfId="9" applyFont="1" applyFill="1" applyBorder="1" applyAlignment="1"/>
    <xf numFmtId="0" fontId="175" fillId="76" borderId="0" xfId="507" applyFont="1" applyFill="1" applyAlignment="1"/>
    <xf numFmtId="0" fontId="0" fillId="76" borderId="0" xfId="0" applyFont="1" applyFill="1" applyAlignment="1">
      <alignment vertical="center"/>
    </xf>
    <xf numFmtId="0" fontId="13" fillId="0" borderId="0" xfId="0" applyFont="1" applyBorder="1"/>
    <xf numFmtId="0" fontId="311" fillId="76" borderId="0" xfId="0" applyFont="1" applyFill="1" applyBorder="1" applyAlignment="1">
      <alignment horizontal="right" vertical="center" wrapText="1"/>
    </xf>
    <xf numFmtId="206" fontId="14" fillId="76" borderId="0" xfId="1187" applyNumberFormat="1" applyFont="1" applyFill="1" applyBorder="1" applyAlignment="1">
      <alignment horizontal="right"/>
    </xf>
    <xf numFmtId="44" fontId="311" fillId="76" borderId="0" xfId="0" applyNumberFormat="1" applyFont="1" applyFill="1" applyBorder="1" applyAlignment="1">
      <alignment horizontal="right" vertical="center" wrapText="1"/>
    </xf>
    <xf numFmtId="206" fontId="311" fillId="76" borderId="0" xfId="1187" applyNumberFormat="1" applyFont="1" applyFill="1" applyBorder="1" applyAlignment="1">
      <alignment horizontal="right" vertical="center" wrapText="1"/>
    </xf>
    <xf numFmtId="0" fontId="13" fillId="76" borderId="0" xfId="0" applyFont="1" applyFill="1" applyBorder="1"/>
    <xf numFmtId="2" fontId="14" fillId="76" borderId="0" xfId="1187" applyNumberFormat="1" applyFont="1" applyFill="1" applyBorder="1" applyAlignment="1">
      <alignment horizontal="right"/>
    </xf>
    <xf numFmtId="0" fontId="313" fillId="76" borderId="0" xfId="1187" applyNumberFormat="1" applyFont="1" applyFill="1" applyBorder="1" applyAlignment="1">
      <alignment horizontal="right" vertical="center" wrapText="1"/>
    </xf>
    <xf numFmtId="0" fontId="315" fillId="76" borderId="0" xfId="1187" applyNumberFormat="1" applyFont="1" applyFill="1" applyBorder="1" applyAlignment="1">
      <alignment horizontal="right"/>
    </xf>
    <xf numFmtId="0" fontId="0" fillId="76" borderId="0" xfId="0" applyFont="1" applyFill="1"/>
    <xf numFmtId="0" fontId="0" fillId="76" borderId="0" xfId="0" applyFont="1" applyFill="1" applyBorder="1"/>
    <xf numFmtId="6" fontId="0" fillId="76" borderId="0" xfId="0" applyNumberFormat="1" applyFont="1" applyFill="1" applyBorder="1"/>
    <xf numFmtId="44" fontId="0" fillId="76" borderId="0" xfId="0" applyNumberFormat="1" applyFont="1" applyFill="1" applyBorder="1"/>
    <xf numFmtId="6" fontId="13" fillId="76" borderId="0" xfId="0" applyNumberFormat="1" applyFont="1" applyFill="1" applyBorder="1"/>
    <xf numFmtId="299" fontId="0" fillId="76" borderId="0" xfId="0" applyNumberFormat="1" applyFont="1" applyFill="1"/>
    <xf numFmtId="299" fontId="0" fillId="76" borderId="0" xfId="0" applyNumberFormat="1" applyFont="1" applyFill="1" applyBorder="1"/>
    <xf numFmtId="299" fontId="0" fillId="76" borderId="0" xfId="0" applyNumberFormat="1" applyFont="1" applyFill="1" applyBorder="1" applyAlignment="1">
      <alignment horizontal="right"/>
    </xf>
    <xf numFmtId="299" fontId="172" fillId="76" borderId="0" xfId="0" applyNumberFormat="1" applyFont="1" applyFill="1" applyBorder="1" applyAlignment="1">
      <alignment horizontal="right"/>
    </xf>
    <xf numFmtId="299" fontId="14" fillId="76" borderId="0" xfId="0" applyNumberFormat="1" applyFont="1" applyFill="1" applyBorder="1"/>
    <xf numFmtId="299" fontId="311" fillId="76" borderId="0" xfId="0" applyNumberFormat="1" applyFont="1" applyFill="1" applyBorder="1" applyAlignment="1">
      <alignment horizontal="right" vertical="center" wrapText="1"/>
    </xf>
    <xf numFmtId="299" fontId="14" fillId="76" borderId="0" xfId="1187" applyNumberFormat="1" applyFont="1" applyFill="1" applyBorder="1" applyAlignment="1">
      <alignment horizontal="right"/>
    </xf>
    <xf numFmtId="299" fontId="312" fillId="76" borderId="0" xfId="0" applyNumberFormat="1" applyFont="1" applyFill="1" applyBorder="1" applyAlignment="1">
      <alignment horizontal="right" vertical="center" wrapText="1"/>
    </xf>
    <xf numFmtId="299" fontId="39" fillId="76" borderId="0" xfId="0" applyNumberFormat="1" applyFont="1" applyFill="1" applyBorder="1" applyAlignment="1">
      <alignment horizontal="right" vertical="center" wrapText="1"/>
    </xf>
    <xf numFmtId="9" fontId="0" fillId="76" borderId="0" xfId="0" applyNumberFormat="1" applyFont="1" applyFill="1"/>
    <xf numFmtId="227" fontId="0" fillId="76" borderId="0" xfId="0" applyNumberFormat="1" applyFont="1" applyFill="1"/>
    <xf numFmtId="227" fontId="13" fillId="2" borderId="8" xfId="0" applyNumberFormat="1" applyFont="1" applyFill="1" applyBorder="1" applyAlignment="1">
      <alignment horizontal="center" vertical="center"/>
    </xf>
    <xf numFmtId="227" fontId="13" fillId="2" borderId="70" xfId="0" applyNumberFormat="1" applyFont="1" applyFill="1" applyBorder="1" applyAlignment="1">
      <alignment horizontal="center" vertical="center"/>
    </xf>
    <xf numFmtId="299" fontId="0" fillId="76" borderId="0" xfId="0" applyNumberFormat="1" applyFont="1" applyFill="1" applyBorder="1" applyAlignment="1">
      <alignment horizontal="left" indent="1"/>
    </xf>
    <xf numFmtId="267" fontId="158" fillId="0" borderId="6" xfId="0" applyNumberFormat="1" applyFont="1" applyBorder="1" applyAlignment="1">
      <alignment vertical="center"/>
    </xf>
    <xf numFmtId="267" fontId="172" fillId="0" borderId="6" xfId="0" applyNumberFormat="1" applyFont="1" applyBorder="1" applyAlignment="1">
      <alignment vertical="center"/>
    </xf>
    <xf numFmtId="165" fontId="25" fillId="0" borderId="6" xfId="0" applyNumberFormat="1" applyFont="1" applyBorder="1" applyAlignment="1">
      <alignment vertical="center"/>
    </xf>
    <xf numFmtId="0" fontId="0" fillId="0" borderId="6" xfId="0" applyFont="1" applyBorder="1" applyAlignment="1">
      <alignment vertical="center"/>
    </xf>
    <xf numFmtId="326" fontId="0" fillId="0" borderId="6" xfId="0" applyNumberFormat="1" applyFont="1" applyBorder="1" applyAlignment="1">
      <alignment vertical="center"/>
    </xf>
    <xf numFmtId="206" fontId="14" fillId="0" borderId="6" xfId="0" applyNumberFormat="1" applyFont="1" applyBorder="1" applyAlignment="1">
      <alignment vertical="center"/>
    </xf>
    <xf numFmtId="267" fontId="158" fillId="0" borderId="7" xfId="0" applyNumberFormat="1" applyFont="1" applyBorder="1" applyAlignment="1">
      <alignment vertical="center"/>
    </xf>
    <xf numFmtId="267" fontId="172" fillId="0" borderId="7" xfId="0" applyNumberFormat="1" applyFont="1" applyBorder="1" applyAlignment="1">
      <alignment vertical="center"/>
    </xf>
    <xf numFmtId="0" fontId="0" fillId="0" borderId="7" xfId="0" applyFont="1" applyBorder="1" applyAlignment="1">
      <alignment vertical="center"/>
    </xf>
    <xf numFmtId="8" fontId="8" fillId="0" borderId="7" xfId="0" applyNumberFormat="1" applyFont="1" applyBorder="1" applyAlignment="1">
      <alignment vertical="center"/>
    </xf>
    <xf numFmtId="326" fontId="0" fillId="0" borderId="7" xfId="0" applyNumberFormat="1" applyFont="1" applyBorder="1" applyAlignment="1">
      <alignment vertical="center"/>
    </xf>
    <xf numFmtId="327" fontId="0" fillId="0" borderId="7" xfId="0" applyNumberFormat="1" applyFont="1" applyBorder="1" applyAlignment="1">
      <alignment vertical="center"/>
    </xf>
    <xf numFmtId="206" fontId="14" fillId="0" borderId="7" xfId="0" applyNumberFormat="1" applyFont="1" applyBorder="1" applyAlignment="1">
      <alignment vertical="center"/>
    </xf>
    <xf numFmtId="206" fontId="14" fillId="0" borderId="5" xfId="0" applyNumberFormat="1" applyFont="1" applyBorder="1" applyAlignment="1">
      <alignment vertical="center"/>
    </xf>
    <xf numFmtId="206" fontId="14" fillId="0" borderId="68" xfId="0" applyNumberFormat="1" applyFont="1" applyBorder="1" applyAlignment="1">
      <alignment vertical="center"/>
    </xf>
    <xf numFmtId="299" fontId="12" fillId="0" borderId="64" xfId="0" applyNumberFormat="1" applyFont="1" applyBorder="1" applyAlignment="1">
      <alignment vertical="center"/>
    </xf>
    <xf numFmtId="299" fontId="12" fillId="0" borderId="65" xfId="0" applyNumberFormat="1" applyFont="1" applyBorder="1" applyAlignment="1">
      <alignment vertical="center"/>
    </xf>
    <xf numFmtId="299" fontId="12" fillId="0" borderId="66" xfId="0" applyNumberFormat="1" applyFont="1" applyBorder="1" applyAlignment="1">
      <alignment vertical="center"/>
    </xf>
    <xf numFmtId="326" fontId="12" fillId="0" borderId="69" xfId="0" applyNumberFormat="1" applyFont="1" applyBorder="1" applyAlignment="1">
      <alignment vertical="center"/>
    </xf>
    <xf numFmtId="326" fontId="12" fillId="0" borderId="8" xfId="0" applyNumberFormat="1" applyFont="1" applyBorder="1" applyAlignment="1">
      <alignment vertical="center"/>
    </xf>
    <xf numFmtId="326" fontId="12" fillId="0" borderId="70" xfId="0" applyNumberFormat="1" applyFont="1" applyBorder="1" applyAlignment="1">
      <alignment vertical="center"/>
    </xf>
    <xf numFmtId="206" fontId="14" fillId="0" borderId="67" xfId="0" applyNumberFormat="1" applyFont="1" applyBorder="1" applyAlignment="1">
      <alignment vertical="center"/>
    </xf>
    <xf numFmtId="165" fontId="0" fillId="0" borderId="6" xfId="0" applyNumberFormat="1" applyFont="1" applyBorder="1" applyAlignment="1">
      <alignment vertical="center"/>
    </xf>
    <xf numFmtId="165" fontId="17" fillId="0" borderId="6" xfId="0" applyNumberFormat="1" applyFont="1" applyBorder="1" applyAlignment="1">
      <alignment vertical="center"/>
    </xf>
    <xf numFmtId="326" fontId="158" fillId="0" borderId="7" xfId="0" applyNumberFormat="1" applyFont="1" applyBorder="1" applyAlignment="1">
      <alignment vertical="center"/>
    </xf>
    <xf numFmtId="165" fontId="0" fillId="0" borderId="7" xfId="0" applyNumberFormat="1" applyFont="1" applyBorder="1" applyAlignment="1">
      <alignment vertical="center"/>
    </xf>
    <xf numFmtId="165" fontId="17" fillId="0" borderId="7" xfId="0" applyNumberFormat="1" applyFont="1" applyBorder="1" applyAlignment="1">
      <alignment vertical="center"/>
    </xf>
    <xf numFmtId="275" fontId="0" fillId="0" borderId="7" xfId="0" applyNumberFormat="1" applyFont="1" applyBorder="1" applyAlignment="1">
      <alignment vertical="center"/>
    </xf>
    <xf numFmtId="299" fontId="313" fillId="76" borderId="0" xfId="0" applyNumberFormat="1" applyFont="1" applyFill="1" applyBorder="1" applyAlignment="1">
      <alignment horizontal="right" vertical="center" wrapText="1"/>
    </xf>
    <xf numFmtId="227" fontId="13" fillId="76" borderId="0" xfId="0" applyNumberFormat="1" applyFont="1" applyFill="1" applyBorder="1" applyAlignment="1">
      <alignment horizontal="right" vertical="center"/>
    </xf>
    <xf numFmtId="206" fontId="13" fillId="76" borderId="0" xfId="494" applyNumberFormat="1" applyFont="1" applyFill="1"/>
    <xf numFmtId="206" fontId="13" fillId="2" borderId="8" xfId="494" applyNumberFormat="1" applyFont="1" applyFill="1" applyBorder="1" applyAlignment="1">
      <alignment vertical="center"/>
    </xf>
    <xf numFmtId="206" fontId="13" fillId="2" borderId="8" xfId="494" applyNumberFormat="1" applyFont="1" applyFill="1" applyBorder="1" applyAlignment="1">
      <alignment horizontal="right" vertical="center"/>
    </xf>
    <xf numFmtId="206" fontId="13" fillId="2" borderId="70" xfId="494" applyNumberFormat="1" applyFont="1" applyFill="1" applyBorder="1" applyAlignment="1">
      <alignment horizontal="right" vertical="center"/>
    </xf>
    <xf numFmtId="6" fontId="0" fillId="76" borderId="0" xfId="0" applyNumberFormat="1" applyFont="1" applyFill="1" applyBorder="1" applyAlignment="1">
      <alignment horizontal="left" indent="1"/>
    </xf>
    <xf numFmtId="0" fontId="0" fillId="76" borderId="0" xfId="0" applyFont="1" applyFill="1" applyBorder="1" applyAlignment="1">
      <alignment horizontal="left" indent="1"/>
    </xf>
    <xf numFmtId="188" fontId="314" fillId="76" borderId="0" xfId="1187" applyNumberFormat="1" applyFont="1" applyFill="1" applyBorder="1" applyAlignment="1">
      <alignment horizontal="right" vertical="center" wrapText="1"/>
    </xf>
    <xf numFmtId="206" fontId="311" fillId="76" borderId="7" xfId="1187" applyNumberFormat="1" applyFont="1" applyFill="1" applyBorder="1" applyAlignment="1">
      <alignment horizontal="right" vertical="center" wrapText="1"/>
    </xf>
    <xf numFmtId="2" fontId="0" fillId="76" borderId="0" xfId="0" applyNumberFormat="1" applyFont="1" applyFill="1" applyBorder="1"/>
    <xf numFmtId="275" fontId="8" fillId="76" borderId="0" xfId="0" applyNumberFormat="1" applyFont="1" applyFill="1"/>
    <xf numFmtId="275" fontId="8" fillId="76" borderId="0" xfId="0" applyNumberFormat="1" applyFont="1" applyFill="1" applyBorder="1"/>
    <xf numFmtId="299" fontId="13" fillId="76" borderId="0" xfId="0" applyNumberFormat="1" applyFont="1" applyFill="1" applyBorder="1" applyAlignment="1">
      <alignment horizontal="right"/>
    </xf>
    <xf numFmtId="227" fontId="13" fillId="76" borderId="0" xfId="0" applyNumberFormat="1" applyFont="1" applyFill="1" applyBorder="1" applyAlignment="1">
      <alignment horizontal="right"/>
    </xf>
    <xf numFmtId="227" fontId="13" fillId="2" borderId="69" xfId="0" applyNumberFormat="1" applyFont="1" applyFill="1" applyBorder="1" applyAlignment="1">
      <alignment horizontal="left" vertical="center"/>
    </xf>
    <xf numFmtId="0" fontId="13" fillId="76" borderId="0" xfId="0" applyFont="1" applyFill="1" applyAlignment="1">
      <alignment vertical="center"/>
    </xf>
    <xf numFmtId="206" fontId="13" fillId="2" borderId="69" xfId="494" applyNumberFormat="1" applyFont="1" applyFill="1" applyBorder="1" applyAlignment="1">
      <alignment horizontal="left" indent="1"/>
    </xf>
    <xf numFmtId="0" fontId="13" fillId="76" borderId="6" xfId="0" applyFont="1" applyFill="1" applyBorder="1" applyAlignment="1">
      <alignment horizontal="left" indent="1"/>
    </xf>
    <xf numFmtId="0" fontId="316" fillId="0" borderId="0" xfId="495" applyFont="1"/>
    <xf numFmtId="0" fontId="178" fillId="76" borderId="0" xfId="9" applyFont="1" applyFill="1" applyAlignment="1"/>
    <xf numFmtId="227" fontId="13" fillId="96" borderId="8" xfId="0" applyNumberFormat="1" applyFont="1" applyFill="1" applyBorder="1" applyAlignment="1">
      <alignment horizontal="center" vertical="center"/>
    </xf>
    <xf numFmtId="0" fontId="171" fillId="76" borderId="0" xfId="507" applyFont="1" applyFill="1" applyAlignment="1"/>
    <xf numFmtId="0" fontId="12" fillId="76" borderId="69" xfId="507" applyNumberFormat="1" applyFont="1" applyFill="1" applyBorder="1" applyAlignment="1">
      <alignment horizontal="centerContinuous"/>
    </xf>
    <xf numFmtId="0" fontId="171" fillId="76" borderId="70" xfId="507" applyNumberFormat="1" applyFont="1" applyFill="1" applyBorder="1" applyAlignment="1">
      <alignment horizontal="centerContinuous"/>
    </xf>
    <xf numFmtId="0" fontId="170" fillId="76" borderId="70" xfId="507" applyFont="1" applyFill="1" applyBorder="1" applyAlignment="1">
      <alignment horizontal="centerContinuous"/>
    </xf>
    <xf numFmtId="227" fontId="13" fillId="96" borderId="69" xfId="0" applyNumberFormat="1" applyFont="1" applyFill="1" applyBorder="1" applyAlignment="1">
      <alignment horizontal="left" vertical="center"/>
    </xf>
    <xf numFmtId="0" fontId="8" fillId="76" borderId="0" xfId="9" applyFont="1" applyFill="1" applyAlignment="1">
      <alignment horizontal="center" vertical="center"/>
    </xf>
    <xf numFmtId="0" fontId="8" fillId="76" borderId="0" xfId="9" applyFont="1" applyFill="1" applyAlignment="1">
      <alignment vertical="center"/>
    </xf>
    <xf numFmtId="0" fontId="21" fillId="96" borderId="69" xfId="9" applyFont="1" applyFill="1" applyBorder="1" applyAlignment="1">
      <alignment horizontal="left" vertical="center"/>
    </xf>
    <xf numFmtId="8" fontId="22" fillId="96" borderId="8" xfId="9" applyNumberFormat="1" applyFont="1" applyFill="1" applyBorder="1" applyAlignment="1">
      <alignment horizontal="center" vertical="center" wrapText="1"/>
    </xf>
    <xf numFmtId="3" fontId="22" fillId="96" borderId="8" xfId="9" applyNumberFormat="1" applyFont="1" applyFill="1" applyBorder="1" applyAlignment="1">
      <alignment horizontal="center" vertical="center" wrapText="1"/>
    </xf>
    <xf numFmtId="339" fontId="22" fillId="96" borderId="8" xfId="9" applyNumberFormat="1" applyFont="1" applyFill="1" applyBorder="1" applyAlignment="1">
      <alignment horizontal="center" vertical="center" wrapText="1"/>
    </xf>
    <xf numFmtId="340" fontId="22" fillId="96" borderId="8" xfId="9" applyNumberFormat="1" applyFont="1" applyFill="1" applyBorder="1" applyAlignment="1">
      <alignment horizontal="center" vertical="center" wrapText="1"/>
    </xf>
    <xf numFmtId="0" fontId="8" fillId="0" borderId="0" xfId="9" applyFont="1" applyAlignment="1">
      <alignment horizontal="center" vertical="center"/>
    </xf>
    <xf numFmtId="0" fontId="8" fillId="0" borderId="0" xfId="9" applyFont="1" applyAlignment="1">
      <alignment vertical="center"/>
    </xf>
    <xf numFmtId="327" fontId="158" fillId="0" borderId="0" xfId="0" applyNumberFormat="1" applyFont="1" applyBorder="1" applyAlignment="1">
      <alignment horizontal="center"/>
    </xf>
    <xf numFmtId="0" fontId="0" fillId="0" borderId="0" xfId="0" applyFont="1" applyFill="1" applyBorder="1"/>
    <xf numFmtId="0" fontId="22" fillId="0" borderId="0" xfId="0" applyFont="1" applyAlignment="1">
      <alignment horizontal="left" vertical="top"/>
    </xf>
    <xf numFmtId="0" fontId="21" fillId="0" borderId="0" xfId="0" applyFont="1" applyAlignment="1">
      <alignment horizontal="left" vertical="top"/>
    </xf>
    <xf numFmtId="0" fontId="22" fillId="0" borderId="0" xfId="0" applyNumberFormat="1" applyFont="1" applyAlignment="1">
      <alignment horizontal="right" vertical="top" wrapText="1"/>
    </xf>
    <xf numFmtId="9" fontId="0" fillId="76" borderId="0" xfId="0" applyNumberFormat="1" applyFont="1" applyFill="1" applyBorder="1"/>
    <xf numFmtId="9" fontId="311" fillId="76" borderId="0" xfId="0" applyNumberFormat="1" applyFont="1" applyFill="1" applyBorder="1" applyAlignment="1">
      <alignment horizontal="right" vertical="center" wrapText="1"/>
    </xf>
    <xf numFmtId="0" fontId="0" fillId="0" borderId="0" xfId="0" applyFont="1" applyAlignment="1">
      <alignment horizontal="center"/>
    </xf>
    <xf numFmtId="0" fontId="0" fillId="0" borderId="0" xfId="0" applyFont="1" applyFill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7" fontId="0" fillId="0" borderId="0" xfId="0" applyNumberFormat="1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8" fillId="0" borderId="0" xfId="0" applyFont="1"/>
    <xf numFmtId="5" fontId="0" fillId="0" borderId="0" xfId="0" applyNumberFormat="1" applyFont="1" applyBorder="1" applyAlignment="1">
      <alignment horizontal="center"/>
    </xf>
    <xf numFmtId="8" fontId="0" fillId="0" borderId="0" xfId="0" applyNumberFormat="1" applyFont="1" applyBorder="1"/>
    <xf numFmtId="206" fontId="8" fillId="0" borderId="0" xfId="0" applyNumberFormat="1" applyFont="1"/>
    <xf numFmtId="299" fontId="13" fillId="2" borderId="75" xfId="0" applyNumberFormat="1" applyFont="1" applyFill="1" applyBorder="1" applyAlignment="1">
      <alignment horizontal="left" vertical="center"/>
    </xf>
    <xf numFmtId="299" fontId="13" fillId="2" borderId="75" xfId="0" applyNumberFormat="1" applyFont="1" applyFill="1" applyBorder="1" applyAlignment="1">
      <alignment vertical="center"/>
    </xf>
    <xf numFmtId="299" fontId="13" fillId="2" borderId="75" xfId="0" applyNumberFormat="1" applyFont="1" applyFill="1" applyBorder="1" applyAlignment="1">
      <alignment horizontal="right" vertical="center"/>
    </xf>
    <xf numFmtId="3" fontId="0" fillId="0" borderId="0" xfId="0" applyNumberFormat="1" applyFont="1" applyBorder="1"/>
    <xf numFmtId="0" fontId="22" fillId="0" borderId="0" xfId="0" applyNumberFormat="1" applyFont="1" applyBorder="1" applyAlignment="1">
      <alignment horizontal="right" vertical="top" wrapText="1"/>
    </xf>
    <xf numFmtId="188" fontId="20" fillId="0" borderId="0" xfId="0" applyNumberFormat="1" applyFont="1" applyBorder="1" applyAlignment="1">
      <alignment horizontal="center"/>
    </xf>
    <xf numFmtId="5" fontId="0" fillId="0" borderId="0" xfId="0" applyNumberFormat="1" applyFont="1" applyBorder="1"/>
    <xf numFmtId="299" fontId="158" fillId="0" borderId="0" xfId="0" applyNumberFormat="1" applyFont="1" applyBorder="1" applyAlignment="1">
      <alignment horizontal="center"/>
    </xf>
    <xf numFmtId="5" fontId="40" fillId="0" borderId="0" xfId="0" applyNumberFormat="1" applyFont="1" applyBorder="1" applyAlignment="1">
      <alignment horizontal="center"/>
    </xf>
    <xf numFmtId="0" fontId="21" fillId="0" borderId="0" xfId="0" applyFont="1" applyBorder="1" applyAlignment="1">
      <alignment horizontal="left" vertical="top"/>
    </xf>
    <xf numFmtId="0" fontId="22" fillId="0" borderId="0" xfId="0" applyFont="1" applyBorder="1" applyAlignment="1">
      <alignment horizontal="left" vertical="top"/>
    </xf>
    <xf numFmtId="0" fontId="21" fillId="0" borderId="0" xfId="0" applyNumberFormat="1" applyFont="1" applyBorder="1" applyAlignment="1">
      <alignment horizontal="right" vertical="top" wrapText="1"/>
    </xf>
    <xf numFmtId="9" fontId="0" fillId="0" borderId="0" xfId="0" applyNumberFormat="1" applyFont="1" applyBorder="1"/>
    <xf numFmtId="299" fontId="13" fillId="76" borderId="0" xfId="0" applyNumberFormat="1" applyFont="1" applyFill="1" applyBorder="1" applyAlignment="1">
      <alignment horizontal="left" vertical="center"/>
    </xf>
    <xf numFmtId="0" fontId="0" fillId="0" borderId="0" xfId="0" applyFont="1" applyBorder="1" applyAlignment="1">
      <alignment horizontal="right"/>
    </xf>
    <xf numFmtId="8" fontId="0" fillId="0" borderId="0" xfId="0" applyNumberFormat="1" applyFont="1" applyBorder="1" applyAlignment="1">
      <alignment horizontal="right"/>
    </xf>
    <xf numFmtId="0" fontId="0" fillId="0" borderId="0" xfId="0" applyFont="1" applyAlignment="1">
      <alignment horizontal="right"/>
    </xf>
    <xf numFmtId="0" fontId="0" fillId="76" borderId="0" xfId="0" applyFill="1" applyAlignment="1">
      <alignment vertical="center"/>
    </xf>
    <xf numFmtId="206" fontId="18" fillId="0" borderId="7" xfId="494" applyNumberFormat="1" applyFont="1" applyBorder="1" applyAlignment="1">
      <alignment horizontal="right" vertical="center"/>
    </xf>
    <xf numFmtId="206" fontId="18" fillId="0" borderId="0" xfId="494" applyNumberFormat="1" applyFont="1" applyBorder="1" applyAlignment="1">
      <alignment horizontal="right" vertical="center"/>
    </xf>
    <xf numFmtId="206" fontId="18" fillId="0" borderId="0" xfId="34" applyNumberFormat="1" applyFont="1" applyAlignment="1">
      <alignment horizontal="right" vertical="center"/>
    </xf>
    <xf numFmtId="0" fontId="14" fillId="76" borderId="0" xfId="0" applyFont="1" applyFill="1" applyBorder="1" applyAlignment="1">
      <alignment vertical="center"/>
    </xf>
    <xf numFmtId="8" fontId="0" fillId="76" borderId="0" xfId="0" applyNumberFormat="1" applyFont="1" applyFill="1" applyBorder="1" applyAlignment="1">
      <alignment horizontal="right" vertical="center"/>
    </xf>
    <xf numFmtId="206" fontId="39" fillId="0" borderId="0" xfId="497" applyNumberFormat="1" applyFont="1" applyBorder="1" applyAlignment="1">
      <alignment horizontal="right" vertical="center"/>
    </xf>
    <xf numFmtId="206" fontId="8" fillId="0" borderId="0" xfId="497" applyNumberFormat="1" applyFont="1" applyAlignment="1">
      <alignment horizontal="right" vertical="center"/>
    </xf>
    <xf numFmtId="299" fontId="13" fillId="76" borderId="0" xfId="0" applyNumberFormat="1" applyFont="1" applyFill="1" applyBorder="1" applyAlignment="1">
      <alignment vertical="center"/>
    </xf>
    <xf numFmtId="267" fontId="8" fillId="0" borderId="7" xfId="0" applyNumberFormat="1" applyFont="1" applyBorder="1" applyAlignment="1">
      <alignment vertical="center"/>
    </xf>
    <xf numFmtId="267" fontId="0" fillId="0" borderId="7" xfId="0" applyNumberFormat="1" applyFont="1" applyBorder="1" applyAlignment="1">
      <alignment vertical="center"/>
    </xf>
    <xf numFmtId="206" fontId="161" fillId="0" borderId="0" xfId="494" applyNumberFormat="1" applyFont="1" applyBorder="1" applyAlignment="1">
      <alignment vertical="center"/>
    </xf>
    <xf numFmtId="299" fontId="38" fillId="0" borderId="0" xfId="494" applyNumberFormat="1" applyFont="1" applyBorder="1" applyAlignment="1">
      <alignment horizontal="right" vertical="center"/>
    </xf>
    <xf numFmtId="299" fontId="8" fillId="0" borderId="0" xfId="494" applyNumberFormat="1" applyFont="1" applyBorder="1" applyAlignment="1">
      <alignment horizontal="right" vertical="center"/>
    </xf>
    <xf numFmtId="299" fontId="35" fillId="0" borderId="0" xfId="0" applyNumberFormat="1" applyFont="1" applyBorder="1" applyAlignment="1">
      <alignment horizontal="right" vertical="center"/>
    </xf>
    <xf numFmtId="206" fontId="161" fillId="0" borderId="1" xfId="494" applyNumberFormat="1" applyFont="1" applyBorder="1" applyAlignment="1">
      <alignment horizontal="right" vertical="center"/>
    </xf>
    <xf numFmtId="206" fontId="18" fillId="0" borderId="1" xfId="494" applyNumberFormat="1" applyFont="1" applyBorder="1" applyAlignment="1">
      <alignment horizontal="right" vertical="center"/>
    </xf>
    <xf numFmtId="206" fontId="18" fillId="0" borderId="81" xfId="494" applyNumberFormat="1" applyFont="1" applyBorder="1" applyAlignment="1">
      <alignment horizontal="right" vertical="center"/>
    </xf>
    <xf numFmtId="206" fontId="14" fillId="0" borderId="1" xfId="0" applyNumberFormat="1" applyFont="1" applyBorder="1" applyAlignment="1">
      <alignment horizontal="right" vertical="center"/>
    </xf>
    <xf numFmtId="206" fontId="8" fillId="0" borderId="0" xfId="34" applyNumberFormat="1" applyFont="1" applyBorder="1" applyAlignment="1">
      <alignment horizontal="right" vertical="center"/>
    </xf>
    <xf numFmtId="299" fontId="13" fillId="76" borderId="0" xfId="0" applyNumberFormat="1" applyFont="1" applyFill="1" applyBorder="1" applyAlignment="1">
      <alignment horizontal="right" vertical="center"/>
    </xf>
    <xf numFmtId="267" fontId="8" fillId="0" borderId="6" xfId="0" applyNumberFormat="1" applyFont="1" applyBorder="1" applyAlignment="1">
      <alignment horizontal="right" vertical="center"/>
    </xf>
    <xf numFmtId="206" fontId="14" fillId="0" borderId="6" xfId="0" applyNumberFormat="1" applyFont="1" applyBorder="1" applyAlignment="1">
      <alignment horizontal="right" vertical="center"/>
    </xf>
    <xf numFmtId="206" fontId="14" fillId="0" borderId="7" xfId="0" applyNumberFormat="1" applyFont="1" applyBorder="1" applyAlignment="1">
      <alignment horizontal="right" vertical="center"/>
    </xf>
    <xf numFmtId="0" fontId="8" fillId="0" borderId="0" xfId="1356" applyFont="1" applyAlignment="1">
      <alignment horizontal="left" vertical="center" indent="1"/>
    </xf>
    <xf numFmtId="206" fontId="8" fillId="0" borderId="0" xfId="497" applyNumberFormat="1" applyFont="1" applyAlignment="1">
      <alignment horizontal="left" vertical="center" indent="1"/>
    </xf>
    <xf numFmtId="206" fontId="8" fillId="0" borderId="52" xfId="497" applyNumberFormat="1" applyFont="1" applyBorder="1" applyAlignment="1">
      <alignment horizontal="left" vertical="center" indent="1"/>
    </xf>
    <xf numFmtId="206" fontId="8" fillId="0" borderId="0" xfId="497" applyNumberFormat="1" applyFont="1" applyBorder="1" applyAlignment="1">
      <alignment horizontal="left" vertical="center" indent="1"/>
    </xf>
    <xf numFmtId="328" fontId="13" fillId="2" borderId="8" xfId="0" applyNumberFormat="1" applyFont="1" applyFill="1" applyBorder="1" applyAlignment="1">
      <alignment horizontal="left" vertical="center"/>
    </xf>
    <xf numFmtId="206" fontId="0" fillId="0" borderId="0" xfId="0" applyNumberFormat="1" applyBorder="1" applyAlignment="1">
      <alignment vertical="center"/>
    </xf>
    <xf numFmtId="0" fontId="13" fillId="2" borderId="0" xfId="0" applyFont="1" applyFill="1" applyBorder="1" applyAlignment="1">
      <alignment horizontal="left" vertical="center"/>
    </xf>
    <xf numFmtId="201" fontId="0" fillId="0" borderId="6" xfId="0" applyNumberFormat="1" applyFont="1" applyBorder="1" applyAlignment="1">
      <alignment vertical="center"/>
    </xf>
    <xf numFmtId="165" fontId="25" fillId="0" borderId="80" xfId="0" applyNumberFormat="1" applyFont="1" applyBorder="1" applyAlignment="1">
      <alignment vertical="center"/>
    </xf>
    <xf numFmtId="165" fontId="25" fillId="0" borderId="1" xfId="0" applyNumberFormat="1" applyFont="1" applyBorder="1" applyAlignment="1">
      <alignment vertical="center"/>
    </xf>
    <xf numFmtId="165" fontId="25" fillId="0" borderId="81" xfId="0" applyNumberFormat="1" applyFont="1" applyBorder="1" applyAlignment="1">
      <alignment vertical="center"/>
    </xf>
    <xf numFmtId="299" fontId="0" fillId="76" borderId="7" xfId="0" applyNumberFormat="1" applyFont="1" applyFill="1" applyBorder="1" applyAlignment="1">
      <alignment horizontal="right"/>
    </xf>
    <xf numFmtId="206" fontId="13" fillId="2" borderId="70" xfId="494" applyNumberFormat="1" applyFont="1" applyFill="1" applyBorder="1" applyAlignment="1">
      <alignment vertical="center"/>
    </xf>
    <xf numFmtId="299" fontId="14" fillId="76" borderId="7" xfId="1187" applyNumberFormat="1" applyFont="1" applyFill="1" applyBorder="1" applyAlignment="1">
      <alignment horizontal="right"/>
    </xf>
    <xf numFmtId="299" fontId="313" fillId="76" borderId="7" xfId="0" applyNumberFormat="1" applyFont="1" applyFill="1" applyBorder="1" applyAlignment="1">
      <alignment horizontal="right" vertical="center" wrapText="1"/>
    </xf>
    <xf numFmtId="299" fontId="311" fillId="76" borderId="7" xfId="0" applyNumberFormat="1" applyFont="1" applyFill="1" applyBorder="1" applyAlignment="1">
      <alignment horizontal="right" vertical="center" wrapText="1"/>
    </xf>
    <xf numFmtId="9" fontId="311" fillId="76" borderId="7" xfId="0" applyNumberFormat="1" applyFont="1" applyFill="1" applyBorder="1" applyAlignment="1">
      <alignment horizontal="right" vertical="center" wrapText="1"/>
    </xf>
    <xf numFmtId="206" fontId="14" fillId="76" borderId="7" xfId="1187" applyNumberFormat="1" applyFont="1" applyFill="1" applyBorder="1" applyAlignment="1">
      <alignment horizontal="right"/>
    </xf>
    <xf numFmtId="299" fontId="312" fillId="76" borderId="7" xfId="0" applyNumberFormat="1" applyFont="1" applyFill="1" applyBorder="1" applyAlignment="1">
      <alignment horizontal="right" vertical="center" wrapText="1"/>
    </xf>
    <xf numFmtId="188" fontId="314" fillId="76" borderId="7" xfId="1187" applyNumberFormat="1" applyFont="1" applyFill="1" applyBorder="1" applyAlignment="1">
      <alignment horizontal="right" vertical="center" wrapText="1"/>
    </xf>
    <xf numFmtId="0" fontId="313" fillId="76" borderId="7" xfId="1187" applyNumberFormat="1" applyFont="1" applyFill="1" applyBorder="1" applyAlignment="1">
      <alignment horizontal="right" vertical="center" wrapText="1"/>
    </xf>
    <xf numFmtId="227" fontId="13" fillId="76" borderId="7" xfId="0" applyNumberFormat="1" applyFont="1" applyFill="1" applyBorder="1" applyAlignment="1">
      <alignment horizontal="right"/>
    </xf>
    <xf numFmtId="299" fontId="172" fillId="76" borderId="7" xfId="0" applyNumberFormat="1" applyFont="1" applyFill="1" applyBorder="1" applyAlignment="1">
      <alignment horizontal="right"/>
    </xf>
    <xf numFmtId="299" fontId="13" fillId="76" borderId="7" xfId="0" applyNumberFormat="1" applyFont="1" applyFill="1" applyBorder="1" applyAlignment="1">
      <alignment horizontal="right"/>
    </xf>
    <xf numFmtId="201" fontId="0" fillId="0" borderId="0" xfId="0" applyNumberFormat="1" applyFont="1"/>
    <xf numFmtId="0" fontId="8" fillId="76" borderId="0" xfId="0" applyFont="1" applyFill="1" applyAlignment="1">
      <alignment horizontal="centerContinuous" vertical="center"/>
    </xf>
    <xf numFmtId="0" fontId="0" fillId="0" borderId="0" xfId="0" applyBorder="1" applyAlignment="1"/>
    <xf numFmtId="226" fontId="0" fillId="0" borderId="82" xfId="0" applyNumberFormat="1" applyFont="1" applyBorder="1" applyAlignment="1">
      <alignment horizontal="center" vertical="center"/>
    </xf>
    <xf numFmtId="165" fontId="15" fillId="0" borderId="6" xfId="0" applyNumberFormat="1" applyFont="1" applyBorder="1" applyAlignment="1">
      <alignment horizontal="right" vertical="center"/>
    </xf>
    <xf numFmtId="165" fontId="15" fillId="0" borderId="7" xfId="0" applyNumberFormat="1" applyFont="1" applyBorder="1" applyAlignment="1">
      <alignment horizontal="right" vertical="center"/>
    </xf>
    <xf numFmtId="267" fontId="12" fillId="0" borderId="67" xfId="0" applyNumberFormat="1" applyFont="1" applyBorder="1" applyAlignment="1">
      <alignment horizontal="right" vertical="center"/>
    </xf>
    <xf numFmtId="0" fontId="0" fillId="0" borderId="7" xfId="0" applyFont="1" applyBorder="1" applyAlignment="1">
      <alignment horizontal="right" vertical="center"/>
    </xf>
    <xf numFmtId="267" fontId="8" fillId="0" borderId="80" xfId="0" applyNumberFormat="1" applyFont="1" applyBorder="1" applyAlignment="1">
      <alignment horizontal="right" vertical="center"/>
    </xf>
    <xf numFmtId="267" fontId="0" fillId="0" borderId="81" xfId="0" applyNumberFormat="1" applyFont="1" applyBorder="1" applyAlignment="1">
      <alignment horizontal="right" vertical="center"/>
    </xf>
    <xf numFmtId="267" fontId="0" fillId="0" borderId="80" xfId="0" applyNumberFormat="1" applyFont="1" applyBorder="1" applyAlignment="1">
      <alignment horizontal="right" vertical="center"/>
    </xf>
    <xf numFmtId="267" fontId="8" fillId="0" borderId="67" xfId="0" applyNumberFormat="1" applyFont="1" applyBorder="1" applyAlignment="1">
      <alignment horizontal="right" vertical="center"/>
    </xf>
    <xf numFmtId="227" fontId="158" fillId="0" borderId="1" xfId="0" applyNumberFormat="1" applyFont="1" applyBorder="1" applyAlignment="1">
      <alignment vertical="center"/>
    </xf>
    <xf numFmtId="227" fontId="158" fillId="0" borderId="38" xfId="0" applyNumberFormat="1" applyFont="1" applyBorder="1" applyAlignment="1">
      <alignment vertical="center"/>
    </xf>
    <xf numFmtId="299" fontId="8" fillId="0" borderId="6" xfId="0" applyNumberFormat="1" applyFont="1" applyBorder="1" applyAlignment="1">
      <alignment vertical="center"/>
    </xf>
    <xf numFmtId="227" fontId="21" fillId="0" borderId="1" xfId="0" applyNumberFormat="1" applyFont="1" applyBorder="1" applyAlignment="1">
      <alignment vertical="center"/>
    </xf>
    <xf numFmtId="326" fontId="0" fillId="0" borderId="5" xfId="0" quotePrefix="1" applyNumberFormat="1" applyFont="1" applyBorder="1" applyAlignment="1">
      <alignment vertical="center"/>
    </xf>
    <xf numFmtId="326" fontId="0" fillId="0" borderId="68" xfId="0" quotePrefix="1" applyNumberFormat="1" applyFont="1" applyBorder="1" applyAlignment="1">
      <alignment vertical="center"/>
    </xf>
    <xf numFmtId="275" fontId="0" fillId="0" borderId="67" xfId="0" applyNumberFormat="1" applyFont="1" applyBorder="1" applyAlignment="1">
      <alignment vertical="center"/>
    </xf>
    <xf numFmtId="275" fontId="0" fillId="0" borderId="5" xfId="0" applyNumberFormat="1" applyFont="1" applyBorder="1" applyAlignment="1">
      <alignment vertical="center"/>
    </xf>
    <xf numFmtId="275" fontId="0" fillId="0" borderId="68" xfId="0" applyNumberFormat="1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67" fontId="0" fillId="0" borderId="0" xfId="0" applyNumberFormat="1" applyBorder="1" applyAlignment="1">
      <alignment vertical="center"/>
    </xf>
    <xf numFmtId="299" fontId="0" fillId="0" borderId="7" xfId="0" applyNumberFormat="1" applyFont="1" applyBorder="1" applyAlignment="1">
      <alignment vertical="center"/>
    </xf>
    <xf numFmtId="227" fontId="158" fillId="0" borderId="81" xfId="0" applyNumberFormat="1" applyFont="1" applyBorder="1" applyAlignment="1">
      <alignment vertical="center"/>
    </xf>
    <xf numFmtId="227" fontId="158" fillId="0" borderId="83" xfId="0" applyNumberFormat="1" applyFont="1" applyBorder="1" applyAlignment="1">
      <alignment vertical="center"/>
    </xf>
    <xf numFmtId="0" fontId="316" fillId="0" borderId="0" xfId="495" applyFont="1" applyAlignment="1">
      <alignment vertical="center"/>
    </xf>
    <xf numFmtId="299" fontId="12" fillId="0" borderId="6" xfId="0" applyNumberFormat="1" applyFont="1" applyBorder="1" applyAlignment="1">
      <alignment vertical="center"/>
    </xf>
    <xf numFmtId="299" fontId="12" fillId="0" borderId="0" xfId="0" applyNumberFormat="1" applyFont="1" applyBorder="1" applyAlignment="1">
      <alignment vertical="center"/>
    </xf>
    <xf numFmtId="299" fontId="12" fillId="0" borderId="7" xfId="0" applyNumberFormat="1" applyFont="1" applyBorder="1" applyAlignment="1">
      <alignment vertical="center"/>
    </xf>
    <xf numFmtId="299" fontId="8" fillId="0" borderId="0" xfId="0" applyNumberFormat="1" applyFont="1" applyBorder="1" applyAlignment="1">
      <alignment vertical="center"/>
    </xf>
    <xf numFmtId="299" fontId="8" fillId="0" borderId="7" xfId="0" applyNumberFormat="1" applyFont="1" applyBorder="1" applyAlignment="1">
      <alignment vertical="center"/>
    </xf>
    <xf numFmtId="299" fontId="15" fillId="0" borderId="0" xfId="0" applyNumberFormat="1" applyFont="1" applyBorder="1" applyAlignment="1">
      <alignment vertical="center"/>
    </xf>
    <xf numFmtId="206" fontId="18" fillId="0" borderId="0" xfId="494" applyNumberFormat="1" applyFont="1" applyBorder="1" applyAlignment="1">
      <alignment vertical="center"/>
    </xf>
    <xf numFmtId="206" fontId="18" fillId="0" borderId="7" xfId="494" applyNumberFormat="1" applyFont="1" applyBorder="1" applyAlignment="1">
      <alignment vertical="center"/>
    </xf>
    <xf numFmtId="206" fontId="18" fillId="0" borderId="6" xfId="494" applyNumberFormat="1" applyFont="1" applyBorder="1" applyAlignment="1">
      <alignment vertical="center"/>
    </xf>
    <xf numFmtId="0" fontId="8" fillId="76" borderId="0" xfId="0" applyFont="1" applyFill="1" applyAlignment="1">
      <alignment vertical="center"/>
    </xf>
    <xf numFmtId="299" fontId="12" fillId="0" borderId="0" xfId="6" applyNumberFormat="1" applyFont="1" applyBorder="1" applyAlignment="1">
      <alignment horizontal="left" vertical="center"/>
    </xf>
    <xf numFmtId="267" fontId="22" fillId="0" borderId="0" xfId="6" applyNumberFormat="1" applyFont="1" applyBorder="1" applyAlignment="1">
      <alignment horizontal="left" vertical="center"/>
    </xf>
    <xf numFmtId="326" fontId="21" fillId="0" borderId="0" xfId="6" applyNumberFormat="1" applyFont="1" applyBorder="1" applyAlignment="1">
      <alignment horizontal="left" vertical="center"/>
    </xf>
    <xf numFmtId="44" fontId="21" fillId="0" borderId="0" xfId="6" applyNumberFormat="1" applyFont="1" applyBorder="1" applyAlignment="1">
      <alignment horizontal="left" vertical="center"/>
    </xf>
    <xf numFmtId="0" fontId="263" fillId="0" borderId="0" xfId="6" applyFont="1" applyBorder="1" applyAlignment="1">
      <alignment horizontal="left" vertical="center"/>
    </xf>
    <xf numFmtId="299" fontId="22" fillId="0" borderId="0" xfId="6" applyNumberFormat="1" applyFont="1" applyBorder="1" applyAlignment="1">
      <alignment horizontal="left" vertical="center"/>
    </xf>
    <xf numFmtId="4" fontId="22" fillId="0" borderId="0" xfId="6" applyNumberFormat="1" applyFont="1" applyBorder="1" applyAlignment="1">
      <alignment horizontal="left" vertical="center"/>
    </xf>
    <xf numFmtId="3" fontId="22" fillId="0" borderId="0" xfId="6" applyNumberFormat="1" applyFont="1" applyBorder="1" applyAlignment="1">
      <alignment horizontal="left" vertical="center"/>
    </xf>
    <xf numFmtId="327" fontId="22" fillId="0" borderId="0" xfId="6" applyNumberFormat="1" applyFont="1" applyBorder="1" applyAlignment="1">
      <alignment horizontal="left" vertical="center"/>
    </xf>
    <xf numFmtId="206" fontId="22" fillId="0" borderId="0" xfId="6" applyNumberFormat="1" applyFont="1" applyBorder="1" applyAlignment="1">
      <alignment horizontal="left" vertical="center"/>
    </xf>
    <xf numFmtId="267" fontId="8" fillId="0" borderId="0" xfId="495" applyNumberFormat="1" applyFont="1" applyFill="1" applyAlignment="1">
      <alignment vertical="center"/>
    </xf>
    <xf numFmtId="267" fontId="8" fillId="0" borderId="0" xfId="495" applyNumberFormat="1" applyFont="1" applyAlignment="1">
      <alignment vertical="center"/>
    </xf>
    <xf numFmtId="267" fontId="12" fillId="0" borderId="0" xfId="495" applyNumberFormat="1" applyFont="1" applyAlignment="1">
      <alignment horizontal="left" vertical="center"/>
    </xf>
    <xf numFmtId="267" fontId="13" fillId="0" borderId="0" xfId="0" applyNumberFormat="1" applyFont="1" applyAlignment="1">
      <alignment vertical="center"/>
    </xf>
    <xf numFmtId="267" fontId="13" fillId="0" borderId="0" xfId="0" applyNumberFormat="1" applyFont="1" applyBorder="1" applyAlignment="1">
      <alignment vertical="center"/>
    </xf>
    <xf numFmtId="267" fontId="8" fillId="0" borderId="0" xfId="495" applyNumberFormat="1" applyFont="1" applyAlignment="1">
      <alignment horizontal="left" vertical="center"/>
    </xf>
    <xf numFmtId="267" fontId="12" fillId="0" borderId="0" xfId="495" applyNumberFormat="1" applyFont="1" applyAlignment="1">
      <alignment vertical="center"/>
    </xf>
    <xf numFmtId="223" fontId="173" fillId="0" borderId="0" xfId="495" applyNumberFormat="1" applyFont="1" applyAlignment="1">
      <alignment horizontal="left" vertical="center"/>
    </xf>
    <xf numFmtId="0" fontId="22" fillId="0" borderId="0" xfId="494" applyNumberFormat="1" applyFont="1" applyAlignment="1">
      <alignment horizontal="left" vertical="center" indent="1"/>
    </xf>
    <xf numFmtId="206" fontId="8" fillId="0" borderId="6" xfId="495" applyNumberFormat="1" applyFont="1" applyBorder="1" applyAlignment="1">
      <alignment horizontal="left" vertical="center"/>
    </xf>
    <xf numFmtId="329" fontId="8" fillId="0" borderId="6" xfId="495" quotePrefix="1" applyNumberFormat="1" applyFont="1" applyBorder="1" applyAlignment="1">
      <alignment horizontal="left" vertical="center"/>
    </xf>
    <xf numFmtId="329" fontId="0" fillId="0" borderId="7" xfId="0" applyNumberFormat="1" applyFont="1" applyBorder="1" applyAlignment="1">
      <alignment vertical="center"/>
    </xf>
    <xf numFmtId="267" fontId="8" fillId="0" borderId="6" xfId="495" applyNumberFormat="1" applyFont="1" applyBorder="1" applyAlignment="1">
      <alignment horizontal="left" vertical="center"/>
    </xf>
    <xf numFmtId="0" fontId="8" fillId="0" borderId="67" xfId="495" applyFont="1" applyBorder="1" applyAlignment="1">
      <alignment horizontal="left" vertical="center"/>
    </xf>
    <xf numFmtId="329" fontId="0" fillId="0" borderId="5" xfId="0" applyNumberFormat="1" applyFont="1" applyBorder="1" applyAlignment="1">
      <alignment horizontal="right" vertical="center"/>
    </xf>
    <xf numFmtId="267" fontId="8" fillId="0" borderId="6" xfId="0" applyNumberFormat="1" applyFont="1" applyBorder="1" applyAlignment="1">
      <alignment vertical="center"/>
    </xf>
    <xf numFmtId="3" fontId="0" fillId="0" borderId="69" xfId="0" applyNumberFormat="1" applyFont="1" applyBorder="1" applyAlignment="1">
      <alignment vertical="center"/>
    </xf>
    <xf numFmtId="3" fontId="0" fillId="0" borderId="8" xfId="0" applyNumberFormat="1" applyFont="1" applyBorder="1" applyAlignment="1">
      <alignment vertical="center"/>
    </xf>
    <xf numFmtId="3" fontId="0" fillId="0" borderId="70" xfId="0" applyNumberFormat="1" applyFont="1" applyBorder="1" applyAlignment="1">
      <alignment vertical="center"/>
    </xf>
    <xf numFmtId="275" fontId="0" fillId="0" borderId="6" xfId="0" applyNumberFormat="1" applyFont="1" applyBorder="1" applyAlignment="1">
      <alignment vertical="center"/>
    </xf>
    <xf numFmtId="206" fontId="14" fillId="0" borderId="0" xfId="0" applyNumberFormat="1" applyFont="1" applyAlignment="1">
      <alignment horizontal="left" vertical="center" indent="2"/>
    </xf>
    <xf numFmtId="299" fontId="0" fillId="0" borderId="6" xfId="0" applyNumberFormat="1" applyFont="1" applyBorder="1" applyAlignment="1">
      <alignment horizontal="right" vertical="center"/>
    </xf>
    <xf numFmtId="299" fontId="35" fillId="0" borderId="6" xfId="497" applyNumberFormat="1" applyFont="1" applyBorder="1" applyAlignment="1">
      <alignment horizontal="right" vertical="center"/>
    </xf>
    <xf numFmtId="206" fontId="18" fillId="0" borderId="6" xfId="1356" applyNumberFormat="1" applyFont="1" applyBorder="1" applyAlignment="1">
      <alignment horizontal="right" vertical="center"/>
    </xf>
    <xf numFmtId="206" fontId="18" fillId="0" borderId="6" xfId="497" applyNumberFormat="1" applyFont="1" applyBorder="1" applyAlignment="1">
      <alignment horizontal="right" vertical="center"/>
    </xf>
    <xf numFmtId="206" fontId="18" fillId="0" borderId="67" xfId="497" applyNumberFormat="1" applyFont="1" applyBorder="1" applyAlignment="1">
      <alignment horizontal="right" vertical="center"/>
    </xf>
    <xf numFmtId="206" fontId="8" fillId="0" borderId="6" xfId="497" applyNumberFormat="1" applyFont="1" applyBorder="1" applyAlignment="1">
      <alignment horizontal="right" vertical="center"/>
    </xf>
    <xf numFmtId="206" fontId="14" fillId="0" borderId="80" xfId="0" applyNumberFormat="1" applyFont="1" applyBorder="1" applyAlignment="1">
      <alignment horizontal="right" vertical="center"/>
    </xf>
    <xf numFmtId="299" fontId="38" fillId="0" borderId="7" xfId="494" applyNumberFormat="1" applyFont="1" applyBorder="1" applyAlignment="1">
      <alignment horizontal="right" vertical="center"/>
    </xf>
    <xf numFmtId="299" fontId="8" fillId="0" borderId="6" xfId="494" applyNumberFormat="1" applyFont="1" applyBorder="1" applyAlignment="1">
      <alignment horizontal="right" vertical="center"/>
    </xf>
    <xf numFmtId="299" fontId="8" fillId="0" borderId="7" xfId="494" applyNumberFormat="1" applyFont="1" applyBorder="1" applyAlignment="1">
      <alignment horizontal="right" vertical="center"/>
    </xf>
    <xf numFmtId="206" fontId="161" fillId="0" borderId="80" xfId="494" applyNumberFormat="1" applyFont="1" applyBorder="1" applyAlignment="1">
      <alignment horizontal="right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Border="1"/>
    <xf numFmtId="167" fontId="19" fillId="0" borderId="0" xfId="0" applyNumberFormat="1" applyFont="1" applyBorder="1" applyAlignment="1">
      <alignment horizontal="center" vertical="center"/>
    </xf>
    <xf numFmtId="168" fontId="19" fillId="0" borderId="0" xfId="0" applyNumberFormat="1" applyFont="1" applyBorder="1" applyAlignment="1">
      <alignment horizontal="center" vertical="center"/>
    </xf>
    <xf numFmtId="0" fontId="21" fillId="0" borderId="0" xfId="1356" applyFont="1" applyBorder="1" applyAlignment="1">
      <alignment horizontal="left" vertical="center"/>
    </xf>
    <xf numFmtId="200" fontId="171" fillId="97" borderId="0" xfId="48" applyNumberFormat="1" applyFont="1" applyFill="1" applyBorder="1" applyAlignment="1">
      <alignment horizontal="right" vertical="center"/>
    </xf>
    <xf numFmtId="0" fontId="22" fillId="0" borderId="0" xfId="1356" applyFont="1" applyAlignment="1">
      <alignment horizontal="left" vertical="center"/>
    </xf>
    <xf numFmtId="341" fontId="21" fillId="0" borderId="0" xfId="0" applyNumberFormat="1" applyFont="1" applyBorder="1" applyAlignment="1">
      <alignment horizontal="right" vertical="center" wrapText="1"/>
    </xf>
    <xf numFmtId="0" fontId="22" fillId="76" borderId="0" xfId="1356" applyNumberFormat="1" applyFont="1" applyFill="1" applyAlignment="1">
      <alignment horizontal="right" vertical="center" wrapText="1"/>
    </xf>
    <xf numFmtId="206" fontId="157" fillId="0" borderId="0" xfId="317" applyNumberFormat="1" applyFont="1" applyBorder="1" applyAlignment="1">
      <alignment horizontal="right" vertical="center" wrapText="1"/>
    </xf>
    <xf numFmtId="0" fontId="38" fillId="0" borderId="0" xfId="495" applyFont="1" applyAlignment="1">
      <alignment vertical="center"/>
    </xf>
    <xf numFmtId="267" fontId="0" fillId="0" borderId="0" xfId="495" applyNumberFormat="1" applyFont="1" applyAlignment="1">
      <alignment horizontal="left" vertical="center" indent="1"/>
    </xf>
    <xf numFmtId="0" fontId="13" fillId="98" borderId="8" xfId="495" applyFont="1" applyFill="1" applyBorder="1" applyAlignment="1">
      <alignment horizontal="centerContinuous"/>
    </xf>
    <xf numFmtId="0" fontId="12" fillId="98" borderId="8" xfId="495" applyFont="1" applyFill="1" applyBorder="1" applyAlignment="1">
      <alignment horizontal="centerContinuous"/>
    </xf>
    <xf numFmtId="0" fontId="8" fillId="76" borderId="6" xfId="1356" applyFont="1" applyFill="1" applyBorder="1" applyAlignment="1">
      <alignment horizontal="left" vertical="center" indent="1"/>
    </xf>
    <xf numFmtId="0" fontId="319" fillId="0" borderId="0" xfId="0" applyFont="1" applyAlignment="1">
      <alignment horizontal="left" vertical="top" indent="1"/>
    </xf>
    <xf numFmtId="267" fontId="8" fillId="0" borderId="0" xfId="0" applyNumberFormat="1" applyFont="1"/>
    <xf numFmtId="267" fontId="262" fillId="0" borderId="0" xfId="0" applyNumberFormat="1" applyFont="1" applyBorder="1" applyAlignment="1">
      <alignment vertical="center"/>
    </xf>
    <xf numFmtId="222" fontId="0" fillId="0" borderId="0" xfId="34" applyNumberFormat="1" applyFont="1" applyBorder="1" applyAlignment="1">
      <alignment horizontal="right" vertical="center"/>
    </xf>
    <xf numFmtId="0" fontId="14" fillId="0" borderId="0" xfId="0" applyFont="1" applyAlignment="1">
      <alignment horizontal="left" indent="1"/>
    </xf>
    <xf numFmtId="358" fontId="0" fillId="0" borderId="0" xfId="0" applyNumberFormat="1" applyFont="1"/>
    <xf numFmtId="0" fontId="14" fillId="0" borderId="0" xfId="0" applyFont="1"/>
    <xf numFmtId="206" fontId="14" fillId="0" borderId="0" xfId="0" applyNumberFormat="1" applyFont="1"/>
    <xf numFmtId="206" fontId="18" fillId="0" borderId="6" xfId="494" applyNumberFormat="1" applyFont="1" applyBorder="1" applyAlignment="1">
      <alignment horizontal="right" vertical="center"/>
    </xf>
    <xf numFmtId="206" fontId="14" fillId="0" borderId="0" xfId="0" applyNumberFormat="1" applyFont="1" applyBorder="1"/>
    <xf numFmtId="358" fontId="13" fillId="0" borderId="0" xfId="0" applyNumberFormat="1" applyFont="1"/>
    <xf numFmtId="358" fontId="0" fillId="0" borderId="6" xfId="0" applyNumberFormat="1" applyFont="1" applyBorder="1" applyAlignment="1">
      <alignment horizontal="right" vertical="center"/>
    </xf>
    <xf numFmtId="358" fontId="8" fillId="0" borderId="0" xfId="0" applyNumberFormat="1" applyFont="1" applyBorder="1" applyAlignment="1">
      <alignment horizontal="right" vertical="center"/>
    </xf>
    <xf numFmtId="358" fontId="38" fillId="0" borderId="0" xfId="494" applyNumberFormat="1" applyFont="1" applyBorder="1" applyAlignment="1">
      <alignment horizontal="right" vertical="center"/>
    </xf>
    <xf numFmtId="358" fontId="38" fillId="0" borderId="7" xfId="494" applyNumberFormat="1" applyFont="1" applyBorder="1" applyAlignment="1">
      <alignment horizontal="right" vertical="center"/>
    </xf>
    <xf numFmtId="358" fontId="8" fillId="0" borderId="6" xfId="494" applyNumberFormat="1" applyFont="1" applyBorder="1" applyAlignment="1">
      <alignment horizontal="right" vertical="center"/>
    </xf>
    <xf numFmtId="358" fontId="8" fillId="0" borderId="0" xfId="494" applyNumberFormat="1" applyFont="1" applyBorder="1" applyAlignment="1">
      <alignment horizontal="right" vertical="center"/>
    </xf>
    <xf numFmtId="358" fontId="8" fillId="0" borderId="7" xfId="494" applyNumberFormat="1" applyFont="1" applyBorder="1" applyAlignment="1">
      <alignment horizontal="right" vertical="center"/>
    </xf>
    <xf numFmtId="358" fontId="0" fillId="0" borderId="0" xfId="0" applyNumberFormat="1" applyFont="1" applyBorder="1"/>
    <xf numFmtId="206" fontId="14" fillId="0" borderId="0" xfId="0" applyNumberFormat="1" applyFont="1" applyAlignment="1">
      <alignment horizontal="left" indent="1"/>
    </xf>
    <xf numFmtId="206" fontId="161" fillId="0" borderId="0" xfId="0" applyNumberFormat="1" applyFont="1" applyFill="1" applyBorder="1"/>
    <xf numFmtId="206" fontId="18" fillId="0" borderId="0" xfId="0" applyNumberFormat="1" applyFont="1" applyFill="1" applyBorder="1"/>
    <xf numFmtId="206" fontId="14" fillId="0" borderId="0" xfId="0" applyNumberFormat="1" applyFont="1" applyFill="1" applyBorder="1" applyAlignment="1">
      <alignment horizontal="right" vertical="center"/>
    </xf>
    <xf numFmtId="206" fontId="18" fillId="0" borderId="52" xfId="34" applyNumberFormat="1" applyFont="1" applyBorder="1" applyAlignment="1">
      <alignment horizontal="right" vertical="center"/>
    </xf>
    <xf numFmtId="206" fontId="14" fillId="0" borderId="6" xfId="0" applyNumberFormat="1" applyFont="1" applyBorder="1"/>
    <xf numFmtId="0" fontId="0" fillId="0" borderId="6" xfId="0" applyFont="1" applyBorder="1"/>
    <xf numFmtId="206" fontId="161" fillId="0" borderId="5" xfId="0" applyNumberFormat="1" applyFont="1" applyFill="1" applyBorder="1"/>
    <xf numFmtId="358" fontId="0" fillId="0" borderId="7" xfId="0" applyNumberFormat="1" applyFont="1" applyBorder="1"/>
    <xf numFmtId="206" fontId="14" fillId="0" borderId="7" xfId="0" applyNumberFormat="1" applyFont="1" applyBorder="1"/>
    <xf numFmtId="0" fontId="0" fillId="0" borderId="7" xfId="0" applyFont="1" applyBorder="1"/>
    <xf numFmtId="206" fontId="161" fillId="0" borderId="7" xfId="0" applyNumberFormat="1" applyFont="1" applyFill="1" applyBorder="1"/>
    <xf numFmtId="206" fontId="18" fillId="0" borderId="7" xfId="0" applyNumberFormat="1" applyFont="1" applyFill="1" applyBorder="1"/>
    <xf numFmtId="206" fontId="161" fillId="0" borderId="68" xfId="0" applyNumberFormat="1" applyFont="1" applyFill="1" applyBorder="1"/>
    <xf numFmtId="0" fontId="0" fillId="0" borderId="80" xfId="0" applyFont="1" applyBorder="1" applyAlignment="1">
      <alignment vertical="center"/>
    </xf>
    <xf numFmtId="0" fontId="0" fillId="0" borderId="1" xfId="0" applyFont="1" applyBorder="1"/>
    <xf numFmtId="227" fontId="12" fillId="2" borderId="1" xfId="0" applyNumberFormat="1" applyFont="1" applyFill="1" applyBorder="1" applyAlignment="1">
      <alignment horizontal="right" vertical="center"/>
    </xf>
    <xf numFmtId="227" fontId="12" fillId="2" borderId="81" xfId="0" applyNumberFormat="1" applyFont="1" applyFill="1" applyBorder="1" applyAlignment="1">
      <alignment horizontal="right" vertical="center"/>
    </xf>
    <xf numFmtId="206" fontId="18" fillId="0" borderId="5" xfId="0" applyNumberFormat="1" applyFont="1" applyBorder="1" applyAlignment="1">
      <alignment horizontal="right" vertical="center"/>
    </xf>
    <xf numFmtId="206" fontId="18" fillId="0" borderId="68" xfId="0" applyNumberFormat="1" applyFont="1" applyBorder="1" applyAlignment="1">
      <alignment horizontal="right" vertical="center"/>
    </xf>
    <xf numFmtId="227" fontId="12" fillId="2" borderId="80" xfId="0" applyNumberFormat="1" applyFont="1" applyFill="1" applyBorder="1" applyAlignment="1">
      <alignment horizontal="right" vertical="center"/>
    </xf>
    <xf numFmtId="206" fontId="18" fillId="0" borderId="67" xfId="0" applyNumberFormat="1" applyFont="1" applyBorder="1" applyAlignment="1">
      <alignment horizontal="right" vertical="center"/>
    </xf>
    <xf numFmtId="0" fontId="0" fillId="0" borderId="80" xfId="0" applyFont="1" applyBorder="1"/>
    <xf numFmtId="0" fontId="0" fillId="0" borderId="81" xfId="0" applyFont="1" applyBorder="1"/>
    <xf numFmtId="358" fontId="0" fillId="0" borderId="6" xfId="0" applyNumberFormat="1" applyFont="1" applyBorder="1"/>
    <xf numFmtId="206" fontId="14" fillId="0" borderId="67" xfId="0" applyNumberFormat="1" applyFont="1" applyBorder="1"/>
    <xf numFmtId="206" fontId="14" fillId="0" borderId="5" xfId="0" applyNumberFormat="1" applyFont="1" applyBorder="1"/>
    <xf numFmtId="206" fontId="14" fillId="0" borderId="68" xfId="0" applyNumberFormat="1" applyFont="1" applyBorder="1"/>
    <xf numFmtId="206" fontId="161" fillId="0" borderId="6" xfId="0" applyNumberFormat="1" applyFont="1" applyFill="1" applyBorder="1"/>
    <xf numFmtId="206" fontId="18" fillId="0" borderId="6" xfId="0" applyNumberFormat="1" applyFont="1" applyFill="1" applyBorder="1"/>
    <xf numFmtId="206" fontId="161" fillId="0" borderId="67" xfId="0" applyNumberFormat="1" applyFont="1" applyFill="1" applyBorder="1"/>
    <xf numFmtId="0" fontId="0" fillId="0" borderId="5" xfId="0" applyFont="1" applyBorder="1"/>
    <xf numFmtId="0" fontId="0" fillId="0" borderId="70" xfId="0" applyFont="1" applyBorder="1"/>
    <xf numFmtId="0" fontId="0" fillId="0" borderId="8" xfId="0" applyFont="1" applyBorder="1"/>
    <xf numFmtId="226" fontId="0" fillId="0" borderId="84" xfId="0" applyNumberFormat="1" applyFont="1" applyBorder="1" applyAlignment="1">
      <alignment horizontal="center" vertical="center"/>
    </xf>
    <xf numFmtId="206" fontId="158" fillId="76" borderId="0" xfId="497" applyNumberFormat="1" applyFont="1" applyFill="1" applyBorder="1" applyAlignment="1">
      <alignment horizontal="right" vertical="center"/>
    </xf>
    <xf numFmtId="206" fontId="8" fillId="76" borderId="0" xfId="497" applyNumberFormat="1" applyFont="1" applyFill="1" applyBorder="1" applyAlignment="1">
      <alignment horizontal="right" vertical="center"/>
    </xf>
    <xf numFmtId="206" fontId="18" fillId="0" borderId="45" xfId="34" applyNumberFormat="1" applyFont="1" applyBorder="1" applyAlignment="1">
      <alignment horizontal="right" vertical="center"/>
    </xf>
    <xf numFmtId="206" fontId="8" fillId="0" borderId="45" xfId="497" applyNumberFormat="1" applyFont="1" applyBorder="1" applyAlignment="1">
      <alignment horizontal="left" vertical="center" indent="1"/>
    </xf>
    <xf numFmtId="168" fontId="13" fillId="0" borderId="6" xfId="0" applyNumberFormat="1" applyFont="1" applyBorder="1" applyAlignment="1">
      <alignment horizontal="center" vertical="center"/>
    </xf>
    <xf numFmtId="299" fontId="13" fillId="2" borderId="85" xfId="0" applyNumberFormat="1" applyFont="1" applyFill="1" applyBorder="1" applyAlignment="1">
      <alignment horizontal="right" vertical="center"/>
    </xf>
    <xf numFmtId="206" fontId="18" fillId="0" borderId="6" xfId="34" applyNumberFormat="1" applyFont="1" applyBorder="1" applyAlignment="1">
      <alignment horizontal="right" vertical="center"/>
    </xf>
    <xf numFmtId="206" fontId="18" fillId="0" borderId="86" xfId="34" applyNumberFormat="1" applyFont="1" applyBorder="1" applyAlignment="1">
      <alignment horizontal="right" vertical="center"/>
    </xf>
    <xf numFmtId="222" fontId="0" fillId="0" borderId="6" xfId="34" applyNumberFormat="1" applyFont="1" applyBorder="1" applyAlignment="1">
      <alignment horizontal="right" vertical="center"/>
    </xf>
    <xf numFmtId="206" fontId="158" fillId="76" borderId="6" xfId="497" applyNumberFormat="1" applyFont="1" applyFill="1" applyBorder="1" applyAlignment="1">
      <alignment horizontal="right" vertical="center"/>
    </xf>
    <xf numFmtId="8" fontId="0" fillId="76" borderId="6" xfId="0" applyNumberFormat="1" applyFont="1" applyFill="1" applyBorder="1" applyAlignment="1">
      <alignment horizontal="right" vertical="center"/>
    </xf>
    <xf numFmtId="206" fontId="39" fillId="0" borderId="6" xfId="497" applyNumberFormat="1" applyFont="1" applyBorder="1" applyAlignment="1">
      <alignment horizontal="right" vertical="center"/>
    </xf>
    <xf numFmtId="0" fontId="14" fillId="0" borderId="0" xfId="0" applyFont="1" applyAlignment="1">
      <alignment horizontal="left" indent="2"/>
    </xf>
    <xf numFmtId="206" fontId="14" fillId="0" borderId="87" xfId="0" applyNumberFormat="1" applyFont="1" applyBorder="1"/>
    <xf numFmtId="206" fontId="18" fillId="0" borderId="6" xfId="0" applyNumberFormat="1" applyFont="1" applyBorder="1"/>
    <xf numFmtId="206" fontId="18" fillId="0" borderId="0" xfId="0" applyNumberFormat="1" applyFont="1" applyBorder="1"/>
    <xf numFmtId="206" fontId="18" fillId="0" borderId="7" xfId="0" applyNumberFormat="1" applyFont="1" applyBorder="1"/>
    <xf numFmtId="206" fontId="161" fillId="0" borderId="0" xfId="0" applyNumberFormat="1" applyFont="1" applyBorder="1" applyAlignment="1">
      <alignment horizontal="right" vertical="center"/>
    </xf>
    <xf numFmtId="0" fontId="22" fillId="0" borderId="0" xfId="0" applyFont="1" applyAlignment="1">
      <alignment horizontal="left" vertical="top" indent="1"/>
    </xf>
    <xf numFmtId="299" fontId="158" fillId="2" borderId="0" xfId="0" applyNumberFormat="1" applyFont="1" applyFill="1" applyBorder="1" applyAlignment="1">
      <alignment horizontal="right" vertical="center"/>
    </xf>
    <xf numFmtId="6" fontId="0" fillId="0" borderId="0" xfId="495" applyNumberFormat="1" applyFont="1" applyBorder="1" applyAlignment="1">
      <alignment horizontal="right" vertical="center"/>
    </xf>
    <xf numFmtId="6" fontId="183" fillId="0" borderId="0" xfId="0" applyNumberFormat="1" applyFont="1" applyBorder="1" applyAlignment="1">
      <alignment horizontal="right" vertical="center"/>
    </xf>
    <xf numFmtId="6" fontId="39" fillId="0" borderId="0" xfId="0" applyNumberFormat="1" applyFont="1" applyBorder="1" applyAlignment="1">
      <alignment horizontal="right" vertical="center"/>
    </xf>
    <xf numFmtId="206" fontId="320" fillId="0" borderId="0" xfId="0" applyNumberFormat="1" applyFont="1" applyBorder="1" applyAlignment="1">
      <alignment horizontal="right" vertical="center"/>
    </xf>
    <xf numFmtId="206" fontId="320" fillId="0" borderId="0" xfId="0" applyNumberFormat="1" applyFont="1" applyBorder="1" applyAlignment="1">
      <alignment vertical="center"/>
    </xf>
    <xf numFmtId="206" fontId="320" fillId="0" borderId="7" xfId="0" applyNumberFormat="1" applyFont="1" applyBorder="1" applyAlignment="1">
      <alignment vertical="center"/>
    </xf>
    <xf numFmtId="206" fontId="157" fillId="0" borderId="0" xfId="0" applyNumberFormat="1" applyFont="1" applyAlignment="1">
      <alignment horizontal="right" vertical="top" wrapText="1"/>
    </xf>
    <xf numFmtId="267" fontId="39" fillId="0" borderId="0" xfId="495" applyNumberFormat="1" applyFont="1" applyBorder="1" applyAlignment="1">
      <alignment horizontal="right" vertical="center"/>
    </xf>
    <xf numFmtId="167" fontId="13" fillId="0" borderId="7" xfId="0" applyNumberFormat="1" applyFont="1" applyBorder="1" applyAlignment="1">
      <alignment horizontal="center" vertical="center"/>
    </xf>
    <xf numFmtId="299" fontId="13" fillId="76" borderId="7" xfId="0" applyNumberFormat="1" applyFont="1" applyFill="1" applyBorder="1" applyAlignment="1">
      <alignment vertical="center"/>
    </xf>
    <xf numFmtId="358" fontId="13" fillId="2" borderId="8" xfId="0" applyNumberFormat="1" applyFont="1" applyFill="1" applyBorder="1" applyAlignment="1">
      <alignment horizontal="left" vertical="center"/>
    </xf>
    <xf numFmtId="358" fontId="0" fillId="0" borderId="0" xfId="0" applyNumberFormat="1" applyAlignment="1">
      <alignment vertical="center"/>
    </xf>
    <xf numFmtId="358" fontId="0" fillId="0" borderId="0" xfId="0" applyNumberFormat="1" applyFont="1" applyBorder="1" applyAlignment="1">
      <alignment horizontal="right" vertical="center"/>
    </xf>
    <xf numFmtId="358" fontId="0" fillId="0" borderId="0" xfId="0" applyNumberFormat="1" applyFont="1" applyAlignment="1">
      <alignment horizontal="right" vertical="center"/>
    </xf>
    <xf numFmtId="358" fontId="0" fillId="0" borderId="0" xfId="0" applyNumberFormat="1" applyFont="1" applyBorder="1" applyAlignment="1">
      <alignment vertical="center"/>
    </xf>
    <xf numFmtId="358" fontId="0" fillId="0" borderId="0" xfId="0" applyNumberFormat="1" applyBorder="1" applyAlignment="1">
      <alignment vertical="center"/>
    </xf>
    <xf numFmtId="44" fontId="13" fillId="76" borderId="0" xfId="0" applyNumberFormat="1" applyFont="1" applyFill="1" applyBorder="1" applyAlignment="1">
      <alignment vertical="center"/>
    </xf>
    <xf numFmtId="299" fontId="0" fillId="76" borderId="0" xfId="0" applyNumberFormat="1" applyFont="1" applyFill="1" applyBorder="1" applyAlignment="1">
      <alignment vertical="center"/>
    </xf>
    <xf numFmtId="299" fontId="0" fillId="76" borderId="0" xfId="0" applyNumberFormat="1" applyFont="1" applyFill="1" applyAlignment="1">
      <alignment vertical="center"/>
    </xf>
    <xf numFmtId="299" fontId="0" fillId="76" borderId="0" xfId="0" applyNumberFormat="1" applyFont="1" applyFill="1" applyBorder="1" applyAlignment="1">
      <alignment horizontal="right" vertical="center"/>
    </xf>
    <xf numFmtId="299" fontId="0" fillId="76" borderId="0" xfId="0" applyNumberFormat="1" applyFont="1" applyFill="1" applyAlignment="1">
      <alignment horizontal="right" vertical="center"/>
    </xf>
    <xf numFmtId="44" fontId="13" fillId="76" borderId="0" xfId="0" applyNumberFormat="1" applyFont="1" applyFill="1" applyAlignment="1">
      <alignment vertical="center"/>
    </xf>
    <xf numFmtId="44" fontId="13" fillId="76" borderId="0" xfId="0" applyNumberFormat="1" applyFont="1" applyFill="1" applyBorder="1" applyAlignment="1">
      <alignment horizontal="right" vertical="center"/>
    </xf>
    <xf numFmtId="44" fontId="13" fillId="76" borderId="0" xfId="0" applyNumberFormat="1" applyFont="1" applyFill="1" applyAlignment="1">
      <alignment horizontal="right" vertical="center"/>
    </xf>
    <xf numFmtId="44" fontId="13" fillId="76" borderId="45" xfId="0" applyNumberFormat="1" applyFont="1" applyFill="1" applyBorder="1" applyAlignment="1">
      <alignment horizontal="left" vertical="center"/>
    </xf>
    <xf numFmtId="267" fontId="14" fillId="0" borderId="0" xfId="0" applyNumberFormat="1" applyFont="1" applyAlignment="1">
      <alignment vertical="center"/>
    </xf>
    <xf numFmtId="267" fontId="157" fillId="0" borderId="0" xfId="0" applyNumberFormat="1" applyFont="1" applyAlignment="1">
      <alignment horizontal="left" vertical="center" indent="2"/>
    </xf>
    <xf numFmtId="267" fontId="14" fillId="0" borderId="0" xfId="0" applyNumberFormat="1" applyFont="1" applyBorder="1" applyAlignment="1">
      <alignment vertical="center"/>
    </xf>
    <xf numFmtId="267" fontId="14" fillId="0" borderId="7" xfId="0" applyNumberFormat="1" applyFont="1" applyBorder="1" applyAlignment="1">
      <alignment vertical="center"/>
    </xf>
    <xf numFmtId="267" fontId="18" fillId="0" borderId="6" xfId="0" applyNumberFormat="1" applyFont="1" applyBorder="1" applyAlignment="1">
      <alignment vertical="center"/>
    </xf>
    <xf numFmtId="267" fontId="18" fillId="0" borderId="0" xfId="0" applyNumberFormat="1" applyFont="1" applyBorder="1" applyAlignment="1">
      <alignment vertical="center"/>
    </xf>
    <xf numFmtId="267" fontId="18" fillId="0" borderId="7" xfId="0" applyNumberFormat="1" applyFont="1" applyBorder="1" applyAlignment="1">
      <alignment vertical="center"/>
    </xf>
    <xf numFmtId="267" fontId="161" fillId="0" borderId="0" xfId="0" applyNumberFormat="1" applyFont="1" applyBorder="1" applyAlignment="1">
      <alignment vertical="center"/>
    </xf>
    <xf numFmtId="267" fontId="320" fillId="0" borderId="0" xfId="0" applyNumberFormat="1" applyFont="1" applyBorder="1" applyAlignment="1">
      <alignment vertical="center"/>
    </xf>
    <xf numFmtId="267" fontId="161" fillId="0" borderId="6" xfId="0" applyNumberFormat="1" applyFont="1" applyBorder="1" applyAlignment="1">
      <alignment vertical="center"/>
    </xf>
    <xf numFmtId="267" fontId="161" fillId="0" borderId="7" xfId="0" applyNumberFormat="1" applyFont="1" applyBorder="1" applyAlignment="1">
      <alignment vertical="center"/>
    </xf>
    <xf numFmtId="267" fontId="15" fillId="0" borderId="0" xfId="0" applyNumberFormat="1" applyFont="1" applyBorder="1" applyAlignment="1">
      <alignment vertical="center"/>
    </xf>
    <xf numFmtId="227" fontId="12" fillId="0" borderId="0" xfId="0" applyNumberFormat="1" applyFont="1" applyAlignment="1">
      <alignment vertical="center"/>
    </xf>
    <xf numFmtId="227" fontId="12" fillId="0" borderId="81" xfId="0" applyNumberFormat="1" applyFont="1" applyBorder="1" applyAlignment="1">
      <alignment vertical="center"/>
    </xf>
    <xf numFmtId="227" fontId="12" fillId="0" borderId="0" xfId="0" applyNumberFormat="1" applyFont="1" applyBorder="1" applyAlignment="1">
      <alignment vertical="center"/>
    </xf>
    <xf numFmtId="227" fontId="158" fillId="0" borderId="80" xfId="0" applyNumberFormat="1" applyFont="1" applyBorder="1" applyAlignment="1">
      <alignment vertical="center"/>
    </xf>
    <xf numFmtId="227" fontId="158" fillId="0" borderId="45" xfId="0" applyNumberFormat="1" applyFont="1" applyBorder="1" applyAlignment="1">
      <alignment vertical="center"/>
    </xf>
    <xf numFmtId="227" fontId="158" fillId="0" borderId="0" xfId="0" applyNumberFormat="1" applyFont="1" applyBorder="1" applyAlignment="1">
      <alignment vertical="center"/>
    </xf>
    <xf numFmtId="299" fontId="12" fillId="0" borderId="80" xfId="0" applyNumberFormat="1" applyFont="1" applyBorder="1" applyAlignment="1">
      <alignment vertical="center"/>
    </xf>
    <xf numFmtId="299" fontId="12" fillId="0" borderId="1" xfId="0" applyNumberFormat="1" applyFont="1" applyBorder="1" applyAlignment="1">
      <alignment vertical="center"/>
    </xf>
    <xf numFmtId="299" fontId="12" fillId="0" borderId="81" xfId="0" applyNumberFormat="1" applyFont="1" applyBorder="1" applyAlignment="1">
      <alignment vertical="center"/>
    </xf>
    <xf numFmtId="267" fontId="8" fillId="0" borderId="67" xfId="0" applyNumberFormat="1" applyFont="1" applyBorder="1" applyAlignment="1">
      <alignment vertical="center"/>
    </xf>
    <xf numFmtId="267" fontId="8" fillId="0" borderId="5" xfId="0" applyNumberFormat="1" applyFont="1" applyBorder="1" applyAlignment="1">
      <alignment vertical="center"/>
    </xf>
    <xf numFmtId="267" fontId="8" fillId="0" borderId="68" xfId="0" applyNumberFormat="1" applyFont="1" applyBorder="1" applyAlignment="1">
      <alignment vertical="center"/>
    </xf>
    <xf numFmtId="267" fontId="39" fillId="0" borderId="67" xfId="0" applyNumberFormat="1" applyFont="1" applyBorder="1" applyAlignment="1">
      <alignment vertical="center"/>
    </xf>
    <xf numFmtId="267" fontId="39" fillId="0" borderId="5" xfId="0" applyNumberFormat="1" applyFont="1" applyBorder="1" applyAlignment="1">
      <alignment vertical="center"/>
    </xf>
    <xf numFmtId="267" fontId="39" fillId="0" borderId="68" xfId="0" applyNumberFormat="1" applyFont="1" applyBorder="1" applyAlignment="1">
      <alignment vertical="center"/>
    </xf>
    <xf numFmtId="267" fontId="18" fillId="0" borderId="68" xfId="0" applyNumberFormat="1" applyFont="1" applyBorder="1" applyAlignment="1">
      <alignment vertical="center"/>
    </xf>
    <xf numFmtId="267" fontId="18" fillId="0" borderId="69" xfId="0" applyNumberFormat="1" applyFont="1" applyBorder="1" applyAlignment="1">
      <alignment vertical="center"/>
    </xf>
    <xf numFmtId="267" fontId="18" fillId="0" borderId="8" xfId="0" applyNumberFormat="1" applyFont="1" applyBorder="1" applyAlignment="1">
      <alignment vertical="center"/>
    </xf>
    <xf numFmtId="267" fontId="18" fillId="0" borderId="70" xfId="0" applyNumberFormat="1" applyFont="1" applyBorder="1" applyAlignment="1">
      <alignment vertical="center"/>
    </xf>
    <xf numFmtId="267" fontId="161" fillId="0" borderId="69" xfId="0" applyNumberFormat="1" applyFont="1" applyBorder="1" applyAlignment="1">
      <alignment vertical="center"/>
    </xf>
    <xf numFmtId="267" fontId="161" fillId="0" borderId="8" xfId="0" applyNumberFormat="1" applyFont="1" applyBorder="1" applyAlignment="1">
      <alignment vertical="center"/>
    </xf>
    <xf numFmtId="267" fontId="161" fillId="0" borderId="70" xfId="0" applyNumberFormat="1" applyFont="1" applyBorder="1" applyAlignment="1">
      <alignment vertical="center"/>
    </xf>
    <xf numFmtId="8" fontId="39" fillId="0" borderId="6" xfId="0" applyNumberFormat="1" applyFont="1" applyBorder="1" applyAlignment="1">
      <alignment vertical="center"/>
    </xf>
    <xf numFmtId="226" fontId="0" fillId="0" borderId="0" xfId="0" applyNumberFormat="1" applyFont="1" applyBorder="1" applyAlignment="1">
      <alignment horizontal="center" vertical="center"/>
    </xf>
    <xf numFmtId="299" fontId="0" fillId="0" borderId="0" xfId="0" applyNumberFormat="1" applyFont="1" applyBorder="1" applyAlignment="1">
      <alignment horizontal="center" vertical="center"/>
    </xf>
    <xf numFmtId="3" fontId="0" fillId="0" borderId="0" xfId="0" applyNumberFormat="1" applyFont="1" applyBorder="1" applyAlignment="1">
      <alignment horizontal="center" vertical="center"/>
    </xf>
    <xf numFmtId="3" fontId="0" fillId="0" borderId="5" xfId="0" applyNumberFormat="1" applyFont="1" applyBorder="1" applyAlignment="1">
      <alignment vertical="center"/>
    </xf>
    <xf numFmtId="3" fontId="0" fillId="0" borderId="5" xfId="0" applyNumberFormat="1" applyFont="1" applyBorder="1" applyAlignment="1">
      <alignment horizontal="center" vertical="center"/>
    </xf>
    <xf numFmtId="8" fontId="0" fillId="0" borderId="0" xfId="0" applyNumberFormat="1" applyFont="1" applyBorder="1" applyAlignment="1">
      <alignment horizontal="center" vertical="center"/>
    </xf>
    <xf numFmtId="8" fontId="182" fillId="77" borderId="9" xfId="495" applyNumberFormat="1" applyFont="1" applyFill="1" applyBorder="1" applyAlignment="1">
      <alignment horizontal="center" vertical="center"/>
    </xf>
    <xf numFmtId="39" fontId="0" fillId="0" borderId="0" xfId="0" applyNumberFormat="1" applyFont="1" applyBorder="1" applyAlignment="1">
      <alignment vertical="center"/>
    </xf>
    <xf numFmtId="39" fontId="0" fillId="0" borderId="0" xfId="0" applyNumberFormat="1" applyFont="1" applyAlignment="1">
      <alignment vertical="center"/>
    </xf>
    <xf numFmtId="39" fontId="39" fillId="0" borderId="0" xfId="0" applyNumberFormat="1" applyFont="1" applyBorder="1" applyAlignment="1">
      <alignment horizontal="center" vertical="center"/>
    </xf>
    <xf numFmtId="359" fontId="13" fillId="0" borderId="0" xfId="0" applyNumberFormat="1" applyFont="1" applyBorder="1" applyAlignment="1">
      <alignment horizontal="center" vertical="center"/>
    </xf>
    <xf numFmtId="0" fontId="0" fillId="0" borderId="45" xfId="0" applyFont="1" applyBorder="1" applyAlignment="1">
      <alignment vertical="center"/>
    </xf>
    <xf numFmtId="168" fontId="13" fillId="0" borderId="45" xfId="0" applyNumberFormat="1" applyFont="1" applyBorder="1" applyAlignment="1">
      <alignment horizontal="center" vertical="center"/>
    </xf>
    <xf numFmtId="3" fontId="0" fillId="0" borderId="80" xfId="0" applyNumberFormat="1" applyFont="1" applyBorder="1" applyAlignment="1">
      <alignment horizontal="center" vertical="center"/>
    </xf>
    <xf numFmtId="3" fontId="0" fillId="0" borderId="1" xfId="0" applyNumberFormat="1" applyFont="1" applyBorder="1" applyAlignment="1">
      <alignment horizontal="center" vertical="center"/>
    </xf>
    <xf numFmtId="3" fontId="0" fillId="0" borderId="81" xfId="0" applyNumberFormat="1" applyFont="1" applyBorder="1" applyAlignment="1">
      <alignment horizontal="center" vertical="center"/>
    </xf>
    <xf numFmtId="3" fontId="0" fillId="0" borderId="6" xfId="0" applyNumberFormat="1" applyFont="1" applyBorder="1" applyAlignment="1">
      <alignment horizontal="center" vertical="center"/>
    </xf>
    <xf numFmtId="3" fontId="0" fillId="0" borderId="7" xfId="0" applyNumberFormat="1" applyFont="1" applyBorder="1" applyAlignment="1">
      <alignment horizontal="center" vertical="center"/>
    </xf>
    <xf numFmtId="3" fontId="0" fillId="0" borderId="67" xfId="0" applyNumberFormat="1" applyFont="1" applyBorder="1" applyAlignment="1">
      <alignment horizontal="center" vertical="center"/>
    </xf>
    <xf numFmtId="3" fontId="0" fillId="0" borderId="68" xfId="0" applyNumberFormat="1" applyFont="1" applyBorder="1" applyAlignment="1">
      <alignment horizontal="center" vertical="center"/>
    </xf>
    <xf numFmtId="8" fontId="0" fillId="0" borderId="6" xfId="0" applyNumberFormat="1" applyFont="1" applyBorder="1" applyAlignment="1">
      <alignment horizontal="center" vertical="center"/>
    </xf>
    <xf numFmtId="8" fontId="0" fillId="0" borderId="7" xfId="0" applyNumberFormat="1" applyFont="1" applyBorder="1" applyAlignment="1">
      <alignment horizontal="center" vertical="center"/>
    </xf>
    <xf numFmtId="39" fontId="39" fillId="0" borderId="6" xfId="0" applyNumberFormat="1" applyFont="1" applyBorder="1" applyAlignment="1">
      <alignment horizontal="center" vertical="center"/>
    </xf>
    <xf numFmtId="39" fontId="39" fillId="0" borderId="7" xfId="0" applyNumberFormat="1" applyFont="1" applyBorder="1" applyAlignment="1">
      <alignment horizontal="center" vertical="center"/>
    </xf>
    <xf numFmtId="299" fontId="0" fillId="0" borderId="6" xfId="0" applyNumberFormat="1" applyFont="1" applyBorder="1" applyAlignment="1">
      <alignment horizontal="center" vertical="center"/>
    </xf>
    <xf numFmtId="299" fontId="0" fillId="0" borderId="7" xfId="0" applyNumberFormat="1" applyFont="1" applyBorder="1" applyAlignment="1">
      <alignment horizontal="center" vertical="center"/>
    </xf>
    <xf numFmtId="37" fontId="0" fillId="0" borderId="67" xfId="0" applyNumberFormat="1" applyFont="1" applyBorder="1" applyAlignment="1">
      <alignment horizontal="center" vertical="center"/>
    </xf>
    <xf numFmtId="37" fontId="0" fillId="0" borderId="5" xfId="0" applyNumberFormat="1" applyFont="1" applyBorder="1" applyAlignment="1">
      <alignment horizontal="center" vertical="center"/>
    </xf>
    <xf numFmtId="37" fontId="0" fillId="0" borderId="68" xfId="0" applyNumberFormat="1" applyFont="1" applyBorder="1" applyAlignment="1">
      <alignment horizontal="center" vertical="center"/>
    </xf>
    <xf numFmtId="299" fontId="21" fillId="0" borderId="0" xfId="0" applyNumberFormat="1" applyFont="1" applyBorder="1" applyAlignment="1">
      <alignment vertical="center"/>
    </xf>
    <xf numFmtId="3" fontId="39" fillId="0" borderId="6" xfId="0" applyNumberFormat="1" applyFont="1" applyBorder="1" applyAlignment="1">
      <alignment horizontal="center" vertical="center"/>
    </xf>
    <xf numFmtId="3" fontId="39" fillId="0" borderId="0" xfId="0" applyNumberFormat="1" applyFont="1" applyBorder="1" applyAlignment="1">
      <alignment horizontal="center" vertical="center"/>
    </xf>
    <xf numFmtId="3" fontId="39" fillId="0" borderId="7" xfId="0" applyNumberFormat="1" applyFont="1" applyBorder="1" applyAlignment="1">
      <alignment horizontal="center" vertical="center"/>
    </xf>
    <xf numFmtId="226" fontId="0" fillId="0" borderId="80" xfId="0" applyNumberFormat="1" applyFont="1" applyBorder="1" applyAlignment="1">
      <alignment horizontal="center" vertical="center"/>
    </xf>
    <xf numFmtId="226" fontId="0" fillId="0" borderId="1" xfId="0" applyNumberFormat="1" applyFont="1" applyBorder="1" applyAlignment="1">
      <alignment horizontal="center" vertical="center"/>
    </xf>
    <xf numFmtId="226" fontId="0" fillId="0" borderId="81" xfId="0" applyNumberFormat="1" applyFont="1" applyBorder="1" applyAlignment="1">
      <alignment horizontal="center" vertical="center"/>
    </xf>
    <xf numFmtId="226" fontId="0" fillId="0" borderId="6" xfId="0" applyNumberFormat="1" applyFont="1" applyBorder="1" applyAlignment="1">
      <alignment horizontal="center" vertical="center"/>
    </xf>
    <xf numFmtId="226" fontId="0" fillId="0" borderId="7" xfId="0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horizontal="left" vertical="top" wrapText="1"/>
    </xf>
    <xf numFmtId="299" fontId="8" fillId="0" borderId="0" xfId="0" applyNumberFormat="1" applyFont="1" applyAlignment="1">
      <alignment horizontal="center" vertical="top" wrapText="1"/>
    </xf>
    <xf numFmtId="3" fontId="8" fillId="0" borderId="0" xfId="0" applyNumberFormat="1" applyFont="1" applyAlignment="1">
      <alignment horizontal="center" vertical="top" wrapText="1"/>
    </xf>
    <xf numFmtId="327" fontId="8" fillId="0" borderId="0" xfId="0" applyNumberFormat="1" applyFont="1" applyAlignment="1">
      <alignment horizontal="center" vertical="top" wrapText="1"/>
    </xf>
    <xf numFmtId="10" fontId="8" fillId="0" borderId="0" xfId="9" applyNumberFormat="1" applyFont="1"/>
    <xf numFmtId="206" fontId="8" fillId="0" borderId="0" xfId="0" applyNumberFormat="1" applyFont="1" applyAlignment="1">
      <alignment horizontal="center" vertical="top"/>
    </xf>
    <xf numFmtId="206" fontId="8" fillId="0" borderId="0" xfId="0" applyNumberFormat="1" applyFont="1" applyAlignment="1">
      <alignment horizontal="center" vertical="top" wrapText="1"/>
    </xf>
    <xf numFmtId="338" fontId="8" fillId="0" borderId="0" xfId="0" applyNumberFormat="1" applyFont="1" applyAlignment="1">
      <alignment horizontal="center" vertical="top"/>
    </xf>
    <xf numFmtId="267" fontId="313" fillId="76" borderId="0" xfId="0" applyNumberFormat="1" applyFont="1" applyFill="1" applyBorder="1" applyAlignment="1">
      <alignment horizontal="right" vertical="center" wrapText="1"/>
    </xf>
    <xf numFmtId="206" fontId="0" fillId="0" borderId="5" xfId="0" applyNumberFormat="1" applyFont="1" applyBorder="1" applyAlignment="1">
      <alignment horizontal="left" vertical="center" indent="1"/>
    </xf>
    <xf numFmtId="267" fontId="313" fillId="76" borderId="7" xfId="0" applyNumberFormat="1" applyFont="1" applyFill="1" applyBorder="1" applyAlignment="1">
      <alignment horizontal="right" vertical="center" wrapText="1"/>
    </xf>
    <xf numFmtId="8" fontId="22" fillId="0" borderId="0" xfId="0" applyNumberFormat="1" applyFont="1" applyBorder="1" applyAlignment="1">
      <alignment horizontal="center" vertical="top" wrapText="1"/>
    </xf>
    <xf numFmtId="3" fontId="22" fillId="76" borderId="0" xfId="9" applyNumberFormat="1" applyFont="1" applyFill="1" applyBorder="1" applyAlignment="1">
      <alignment horizontal="center" vertical="center" wrapText="1"/>
    </xf>
    <xf numFmtId="339" fontId="22" fillId="76" borderId="0" xfId="9" applyNumberFormat="1" applyFont="1" applyFill="1" applyBorder="1" applyAlignment="1">
      <alignment horizontal="center" vertical="center" wrapText="1"/>
    </xf>
    <xf numFmtId="340" fontId="22" fillId="76" borderId="0" xfId="9" applyNumberFormat="1" applyFont="1" applyFill="1" applyBorder="1" applyAlignment="1">
      <alignment horizontal="center" vertical="center" wrapText="1"/>
    </xf>
    <xf numFmtId="267" fontId="12" fillId="0" borderId="69" xfId="0" applyNumberFormat="1" applyFont="1" applyBorder="1" applyAlignment="1">
      <alignment horizontal="right" vertical="center"/>
    </xf>
    <xf numFmtId="267" fontId="8" fillId="0" borderId="0" xfId="495" applyNumberFormat="1" applyFont="1" applyBorder="1" applyAlignment="1">
      <alignment horizontal="right" vertical="center"/>
    </xf>
    <xf numFmtId="165" fontId="158" fillId="0" borderId="0" xfId="0" applyNumberFormat="1" applyFont="1" applyBorder="1" applyAlignment="1">
      <alignment vertical="center"/>
    </xf>
    <xf numFmtId="165" fontId="158" fillId="0" borderId="6" xfId="0" applyNumberFormat="1" applyFont="1" applyBorder="1" applyAlignment="1">
      <alignment vertical="center"/>
    </xf>
    <xf numFmtId="0" fontId="0" fillId="0" borderId="0" xfId="0" applyFont="1" applyAlignment="1">
      <alignment horizontal="left" indent="2"/>
    </xf>
    <xf numFmtId="206" fontId="157" fillId="0" borderId="7" xfId="0" applyNumberFormat="1" applyFont="1" applyBorder="1" applyAlignment="1">
      <alignment horizontal="right" vertical="top" wrapText="1"/>
    </xf>
    <xf numFmtId="223" fontId="0" fillId="0" borderId="0" xfId="0" applyNumberFormat="1" applyFont="1" applyBorder="1" applyAlignment="1">
      <alignment horizontal="right" vertical="center"/>
    </xf>
    <xf numFmtId="358" fontId="13" fillId="2" borderId="8" xfId="0" applyNumberFormat="1" applyFont="1" applyFill="1" applyBorder="1" applyAlignment="1">
      <alignment horizontal="right" vertical="center"/>
    </xf>
    <xf numFmtId="358" fontId="13" fillId="2" borderId="70" xfId="0" applyNumberFormat="1" applyFont="1" applyFill="1" applyBorder="1" applyAlignment="1">
      <alignment horizontal="right" vertical="center"/>
    </xf>
    <xf numFmtId="3" fontId="0" fillId="0" borderId="5" xfId="0" applyNumberFormat="1" applyFont="1" applyBorder="1" applyAlignment="1">
      <alignment horizontal="right" vertical="center"/>
    </xf>
    <xf numFmtId="3" fontId="0" fillId="0" borderId="68" xfId="0" applyNumberFormat="1" applyFont="1" applyBorder="1" applyAlignment="1">
      <alignment horizontal="right" vertical="center"/>
    </xf>
    <xf numFmtId="299" fontId="0" fillId="76" borderId="7" xfId="0" applyNumberFormat="1" applyFont="1" applyFill="1" applyBorder="1" applyAlignment="1">
      <alignment horizontal="right" vertical="center"/>
    </xf>
    <xf numFmtId="44" fontId="13" fillId="76" borderId="45" xfId="0" applyNumberFormat="1" applyFont="1" applyFill="1" applyBorder="1" applyAlignment="1">
      <alignment horizontal="right" vertical="center"/>
    </xf>
    <xf numFmtId="44" fontId="13" fillId="76" borderId="83" xfId="0" applyNumberFormat="1" applyFont="1" applyFill="1" applyBorder="1" applyAlignment="1">
      <alignment horizontal="right" vertical="center"/>
    </xf>
    <xf numFmtId="328" fontId="13" fillId="2" borderId="8" xfId="0" applyNumberFormat="1" applyFont="1" applyFill="1" applyBorder="1" applyAlignment="1">
      <alignment horizontal="right" vertical="center"/>
    </xf>
    <xf numFmtId="328" fontId="13" fillId="2" borderId="70" xfId="0" applyNumberFormat="1" applyFont="1" applyFill="1" applyBorder="1" applyAlignment="1">
      <alignment horizontal="right" vertical="center"/>
    </xf>
    <xf numFmtId="267" fontId="0" fillId="0" borderId="7" xfId="495" applyNumberFormat="1" applyFont="1" applyBorder="1" applyAlignment="1">
      <alignment horizontal="right" vertical="center"/>
    </xf>
    <xf numFmtId="299" fontId="158" fillId="2" borderId="6" xfId="0" applyNumberFormat="1" applyFont="1" applyFill="1" applyBorder="1" applyAlignment="1">
      <alignment horizontal="right" vertical="center"/>
    </xf>
    <xf numFmtId="299" fontId="158" fillId="2" borderId="7" xfId="0" applyNumberFormat="1" applyFont="1" applyFill="1" applyBorder="1" applyAlignment="1">
      <alignment horizontal="right" vertical="center"/>
    </xf>
    <xf numFmtId="267" fontId="8" fillId="0" borderId="7" xfId="495" applyNumberFormat="1" applyFont="1" applyBorder="1" applyAlignment="1">
      <alignment horizontal="right" vertical="center"/>
    </xf>
    <xf numFmtId="267" fontId="0" fillId="0" borderId="6" xfId="495" applyNumberFormat="1" applyFont="1" applyBorder="1" applyAlignment="1">
      <alignment horizontal="right" vertical="center"/>
    </xf>
    <xf numFmtId="267" fontId="35" fillId="0" borderId="6" xfId="0" applyNumberFormat="1" applyFont="1" applyBorder="1" applyAlignment="1">
      <alignment horizontal="right" vertical="center"/>
    </xf>
    <xf numFmtId="267" fontId="35" fillId="0" borderId="7" xfId="0" applyNumberFormat="1" applyFont="1" applyBorder="1" applyAlignment="1">
      <alignment horizontal="right" vertical="center"/>
    </xf>
    <xf numFmtId="267" fontId="158" fillId="0" borderId="7" xfId="0" applyNumberFormat="1" applyFont="1" applyBorder="1" applyAlignment="1">
      <alignment horizontal="right" vertical="center"/>
    </xf>
    <xf numFmtId="6" fontId="0" fillId="0" borderId="6" xfId="495" applyNumberFormat="1" applyFont="1" applyBorder="1" applyAlignment="1">
      <alignment horizontal="right" vertical="center"/>
    </xf>
    <xf numFmtId="6" fontId="39" fillId="0" borderId="7" xfId="0" applyNumberFormat="1" applyFont="1" applyBorder="1" applyAlignment="1">
      <alignment horizontal="right" vertical="center"/>
    </xf>
    <xf numFmtId="206" fontId="161" fillId="0" borderId="5" xfId="0" applyNumberFormat="1" applyFont="1" applyBorder="1" applyAlignment="1">
      <alignment horizontal="right" vertical="center"/>
    </xf>
    <xf numFmtId="358" fontId="13" fillId="0" borderId="0" xfId="0" applyNumberFormat="1" applyFont="1" applyAlignment="1">
      <alignment vertical="center"/>
    </xf>
    <xf numFmtId="358" fontId="158" fillId="2" borderId="80" xfId="0" applyNumberFormat="1" applyFont="1" applyFill="1" applyBorder="1" applyAlignment="1">
      <alignment horizontal="right" vertical="center"/>
    </xf>
    <xf numFmtId="358" fontId="158" fillId="2" borderId="88" xfId="0" applyNumberFormat="1" applyFont="1" applyFill="1" applyBorder="1" applyAlignment="1">
      <alignment horizontal="right" vertical="center"/>
    </xf>
    <xf numFmtId="358" fontId="158" fillId="2" borderId="81" xfId="0" applyNumberFormat="1" applyFont="1" applyFill="1" applyBorder="1" applyAlignment="1">
      <alignment horizontal="right" vertical="center"/>
    </xf>
    <xf numFmtId="358" fontId="13" fillId="0" borderId="0" xfId="0" applyNumberFormat="1" applyFont="1" applyBorder="1" applyAlignment="1">
      <alignment horizontal="right" vertical="center"/>
    </xf>
    <xf numFmtId="358" fontId="13" fillId="0" borderId="0" xfId="0" applyNumberFormat="1" applyFont="1" applyBorder="1" applyAlignment="1">
      <alignment vertical="center"/>
    </xf>
    <xf numFmtId="358" fontId="12" fillId="2" borderId="69" xfId="0" applyNumberFormat="1" applyFont="1" applyFill="1" applyBorder="1" applyAlignment="1">
      <alignment horizontal="right" vertical="center"/>
    </xf>
    <xf numFmtId="358" fontId="12" fillId="2" borderId="8" xfId="0" applyNumberFormat="1" applyFont="1" applyFill="1" applyBorder="1" applyAlignment="1">
      <alignment horizontal="right" vertical="center"/>
    </xf>
    <xf numFmtId="358" fontId="12" fillId="2" borderId="70" xfId="0" applyNumberFormat="1" applyFont="1" applyFill="1" applyBorder="1" applyAlignment="1">
      <alignment horizontal="right" vertical="center"/>
    </xf>
    <xf numFmtId="6" fontId="0" fillId="0" borderId="7" xfId="495" applyNumberFormat="1" applyFont="1" applyBorder="1" applyAlignment="1">
      <alignment horizontal="right" vertical="center"/>
    </xf>
    <xf numFmtId="267" fontId="39" fillId="0" borderId="7" xfId="495" applyNumberFormat="1" applyFont="1" applyBorder="1" applyAlignment="1">
      <alignment horizontal="right" vertical="center"/>
    </xf>
    <xf numFmtId="267" fontId="13" fillId="0" borderId="0" xfId="0" applyNumberFormat="1" applyFont="1" applyBorder="1" applyAlignment="1">
      <alignment horizontal="right" vertical="center"/>
    </xf>
    <xf numFmtId="267" fontId="13" fillId="0" borderId="0" xfId="0" applyNumberFormat="1" applyFont="1" applyAlignment="1">
      <alignment horizontal="right" vertical="center"/>
    </xf>
    <xf numFmtId="358" fontId="13" fillId="0" borderId="0" xfId="0" applyNumberFormat="1" applyFont="1" applyAlignment="1">
      <alignment horizontal="right" vertical="center"/>
    </xf>
    <xf numFmtId="358" fontId="12" fillId="0" borderId="69" xfId="0" applyNumberFormat="1" applyFont="1" applyBorder="1" applyAlignment="1">
      <alignment horizontal="right" vertical="center"/>
    </xf>
    <xf numFmtId="358" fontId="12" fillId="0" borderId="8" xfId="0" applyNumberFormat="1" applyFont="1" applyBorder="1" applyAlignment="1">
      <alignment horizontal="right" vertical="center"/>
    </xf>
    <xf numFmtId="358" fontId="12" fillId="0" borderId="70" xfId="0" applyNumberFormat="1" applyFont="1" applyBorder="1" applyAlignment="1">
      <alignment horizontal="right" vertical="center"/>
    </xf>
    <xf numFmtId="267" fontId="8" fillId="0" borderId="0" xfId="0" applyNumberFormat="1" applyFont="1" applyBorder="1" applyAlignment="1"/>
    <xf numFmtId="3" fontId="0" fillId="0" borderId="67" xfId="0" applyNumberFormat="1" applyFont="1" applyBorder="1" applyAlignment="1">
      <alignment horizontal="right" vertical="center"/>
    </xf>
    <xf numFmtId="206" fontId="14" fillId="0" borderId="67" xfId="0" applyNumberFormat="1" applyFont="1" applyBorder="1" applyAlignment="1">
      <alignment horizontal="right" vertical="center"/>
    </xf>
    <xf numFmtId="206" fontId="14" fillId="0" borderId="5" xfId="0" applyNumberFormat="1" applyFont="1" applyBorder="1" applyAlignment="1">
      <alignment horizontal="right" vertical="center"/>
    </xf>
    <xf numFmtId="206" fontId="14" fillId="0" borderId="68" xfId="0" applyNumberFormat="1" applyFont="1" applyBorder="1" applyAlignment="1">
      <alignment horizontal="right" vertical="center"/>
    </xf>
    <xf numFmtId="206" fontId="14" fillId="0" borderId="88" xfId="0" applyNumberFormat="1" applyFont="1" applyBorder="1" applyAlignment="1">
      <alignment horizontal="right" vertical="center"/>
    </xf>
    <xf numFmtId="206" fontId="14" fillId="0" borderId="81" xfId="0" applyNumberFormat="1" applyFont="1" applyBorder="1" applyAlignment="1">
      <alignment horizontal="right" vertical="center"/>
    </xf>
    <xf numFmtId="206" fontId="161" fillId="0" borderId="88" xfId="0" applyNumberFormat="1" applyFont="1" applyBorder="1" applyAlignment="1">
      <alignment horizontal="right" vertical="center"/>
    </xf>
    <xf numFmtId="206" fontId="161" fillId="0" borderId="81" xfId="0" applyNumberFormat="1" applyFont="1" applyBorder="1" applyAlignment="1">
      <alignment horizontal="right" vertical="center"/>
    </xf>
    <xf numFmtId="206" fontId="18" fillId="0" borderId="88" xfId="0" applyNumberFormat="1" applyFont="1" applyBorder="1" applyAlignment="1">
      <alignment horizontal="right" vertical="center"/>
    </xf>
    <xf numFmtId="206" fontId="18" fillId="0" borderId="81" xfId="0" applyNumberFormat="1" applyFont="1" applyBorder="1" applyAlignment="1">
      <alignment horizontal="right" vertical="center"/>
    </xf>
    <xf numFmtId="6" fontId="8" fillId="0" borderId="69" xfId="0" applyNumberFormat="1" applyFont="1" applyBorder="1" applyAlignment="1">
      <alignment horizontal="right" vertical="center"/>
    </xf>
    <xf numFmtId="6" fontId="8" fillId="0" borderId="8" xfId="0" applyNumberFormat="1" applyFont="1" applyBorder="1" applyAlignment="1">
      <alignment horizontal="right" vertical="center"/>
    </xf>
    <xf numFmtId="6" fontId="8" fillId="0" borderId="70" xfId="0" applyNumberFormat="1" applyFont="1" applyBorder="1" applyAlignment="1">
      <alignment horizontal="right" vertical="center"/>
    </xf>
    <xf numFmtId="167" fontId="19" fillId="0" borderId="81" xfId="0" applyNumberFormat="1" applyFont="1" applyBorder="1" applyAlignment="1">
      <alignment horizontal="center" vertical="center"/>
    </xf>
    <xf numFmtId="341" fontId="21" fillId="0" borderId="7" xfId="0" applyNumberFormat="1" applyFont="1" applyBorder="1" applyAlignment="1">
      <alignment horizontal="right" vertical="center" wrapText="1"/>
    </xf>
    <xf numFmtId="206" fontId="157" fillId="0" borderId="7" xfId="317" applyNumberFormat="1" applyFont="1" applyBorder="1" applyAlignment="1">
      <alignment horizontal="right" vertical="center" wrapText="1"/>
    </xf>
    <xf numFmtId="206" fontId="18" fillId="76" borderId="7" xfId="1356" applyNumberFormat="1" applyFont="1" applyFill="1" applyBorder="1" applyAlignment="1">
      <alignment horizontal="right" vertical="center"/>
    </xf>
    <xf numFmtId="44" fontId="12" fillId="0" borderId="92" xfId="1356" applyNumberFormat="1" applyFont="1" applyBorder="1" applyAlignment="1">
      <alignment horizontal="right" vertical="center"/>
    </xf>
    <xf numFmtId="206" fontId="18" fillId="0" borderId="7" xfId="317" applyNumberFormat="1" applyFont="1" applyBorder="1" applyAlignment="1">
      <alignment horizontal="right" vertical="center"/>
    </xf>
    <xf numFmtId="201" fontId="8" fillId="76" borderId="7" xfId="1356" applyNumberFormat="1" applyFont="1" applyFill="1" applyBorder="1" applyAlignment="1">
      <alignment horizontal="right" vertical="center"/>
    </xf>
    <xf numFmtId="188" fontId="8" fillId="0" borderId="7" xfId="1356" applyNumberFormat="1" applyFont="1" applyBorder="1" applyAlignment="1">
      <alignment horizontal="right" vertical="center"/>
    </xf>
    <xf numFmtId="299" fontId="172" fillId="0" borderId="0" xfId="0" applyNumberFormat="1" applyFont="1" applyBorder="1" applyAlignment="1">
      <alignment vertical="center"/>
    </xf>
    <xf numFmtId="300" fontId="0" fillId="0" borderId="0" xfId="0" applyNumberFormat="1" applyFont="1" applyBorder="1" applyAlignment="1">
      <alignment vertical="center"/>
    </xf>
    <xf numFmtId="299" fontId="8" fillId="0" borderId="0" xfId="495" applyNumberFormat="1" applyFont="1" applyBorder="1" applyAlignment="1">
      <alignment horizontal="left" indent="1"/>
    </xf>
    <xf numFmtId="299" fontId="0" fillId="0" borderId="0" xfId="0" applyNumberFormat="1" applyFont="1"/>
    <xf numFmtId="299" fontId="13" fillId="0" borderId="0" xfId="0" applyNumberFormat="1" applyFont="1" applyAlignment="1">
      <alignment horizontal="left" vertical="center"/>
    </xf>
    <xf numFmtId="299" fontId="13" fillId="0" borderId="0" xfId="0" applyNumberFormat="1" applyFont="1"/>
    <xf numFmtId="299" fontId="8" fillId="0" borderId="0" xfId="495" applyNumberFormat="1" applyFont="1" applyBorder="1" applyAlignment="1">
      <alignment horizontal="left" vertical="center" indent="1"/>
    </xf>
    <xf numFmtId="299" fontId="0" fillId="0" borderId="0" xfId="0" applyNumberFormat="1"/>
    <xf numFmtId="299" fontId="0" fillId="0" borderId="0" xfId="0" applyNumberFormat="1" applyAlignment="1">
      <alignment vertical="center"/>
    </xf>
    <xf numFmtId="299" fontId="13" fillId="2" borderId="8" xfId="0" applyNumberFormat="1" applyFont="1" applyFill="1" applyBorder="1" applyAlignment="1">
      <alignment horizontal="left" vertical="center"/>
    </xf>
    <xf numFmtId="299" fontId="8" fillId="0" borderId="6" xfId="495" applyNumberFormat="1" applyFont="1" applyBorder="1" applyAlignment="1">
      <alignment horizontal="left" vertical="center"/>
    </xf>
    <xf numFmtId="299" fontId="14" fillId="0" borderId="0" xfId="0" applyNumberFormat="1" applyFont="1" applyAlignment="1">
      <alignment vertical="center"/>
    </xf>
    <xf numFmtId="299" fontId="14" fillId="0" borderId="0" xfId="0" applyNumberFormat="1" applyFont="1" applyBorder="1" applyAlignment="1">
      <alignment vertical="center"/>
    </xf>
    <xf numFmtId="299" fontId="158" fillId="0" borderId="0" xfId="0" applyNumberFormat="1" applyFont="1" applyBorder="1" applyAlignment="1">
      <alignment horizontal="right" vertical="center"/>
    </xf>
    <xf numFmtId="299" fontId="39" fillId="0" borderId="0" xfId="0" applyNumberFormat="1" applyFont="1" applyBorder="1" applyAlignment="1">
      <alignment horizontal="right" vertical="center"/>
    </xf>
    <xf numFmtId="299" fontId="321" fillId="0" borderId="0" xfId="0" applyNumberFormat="1" applyFont="1" applyBorder="1" applyAlignment="1">
      <alignment horizontal="right" vertical="center"/>
    </xf>
    <xf numFmtId="299" fontId="12" fillId="0" borderId="0" xfId="0" applyNumberFormat="1" applyFont="1" applyBorder="1" applyAlignment="1">
      <alignment horizontal="right" vertical="center"/>
    </xf>
    <xf numFmtId="299" fontId="0" fillId="0" borderId="0" xfId="0" applyNumberFormat="1" applyFont="1" applyBorder="1" applyAlignment="1">
      <alignment horizontal="right" vertical="center"/>
    </xf>
    <xf numFmtId="299" fontId="172" fillId="0" borderId="0" xfId="0" applyNumberFormat="1" applyFont="1" applyBorder="1" applyAlignment="1">
      <alignment horizontal="right" vertical="center"/>
    </xf>
    <xf numFmtId="299" fontId="13" fillId="0" borderId="0" xfId="0" applyNumberFormat="1" applyFont="1" applyBorder="1" applyAlignment="1">
      <alignment horizontal="right" vertical="center"/>
    </xf>
    <xf numFmtId="299" fontId="254" fillId="0" borderId="0" xfId="0" applyNumberFormat="1" applyFont="1" applyBorder="1" applyAlignment="1">
      <alignment horizontal="right" vertical="center"/>
    </xf>
    <xf numFmtId="329" fontId="0" fillId="0" borderId="0" xfId="0" applyNumberFormat="1" applyFont="1" applyBorder="1" applyAlignment="1">
      <alignment horizontal="right" vertical="center"/>
    </xf>
    <xf numFmtId="327" fontId="0" fillId="2" borderId="70" xfId="0" applyNumberFormat="1" applyFont="1" applyFill="1" applyBorder="1" applyAlignment="1">
      <alignment vertical="center"/>
    </xf>
    <xf numFmtId="299" fontId="172" fillId="0" borderId="7" xfId="0" applyNumberFormat="1" applyFont="1" applyBorder="1" applyAlignment="1">
      <alignment vertical="center"/>
    </xf>
    <xf numFmtId="299" fontId="13" fillId="0" borderId="7" xfId="0" applyNumberFormat="1" applyFont="1" applyBorder="1" applyAlignment="1">
      <alignment vertical="center"/>
    </xf>
    <xf numFmtId="299" fontId="0" fillId="2" borderId="70" xfId="0" applyNumberFormat="1" applyFont="1" applyFill="1" applyBorder="1" applyAlignment="1">
      <alignment vertical="center"/>
    </xf>
    <xf numFmtId="329" fontId="0" fillId="0" borderId="68" xfId="0" applyNumberFormat="1" applyFont="1" applyBorder="1" applyAlignment="1">
      <alignment horizontal="right" vertical="center"/>
    </xf>
    <xf numFmtId="299" fontId="13" fillId="0" borderId="45" xfId="0" applyNumberFormat="1" applyFont="1" applyBorder="1" applyAlignment="1">
      <alignment horizontal="left" vertical="center"/>
    </xf>
    <xf numFmtId="299" fontId="13" fillId="0" borderId="45" xfId="0" applyNumberFormat="1" applyFont="1" applyBorder="1" applyAlignment="1">
      <alignment vertical="center"/>
    </xf>
    <xf numFmtId="299" fontId="13" fillId="0" borderId="83" xfId="0" applyNumberFormat="1" applyFont="1" applyBorder="1" applyAlignment="1">
      <alignment vertical="center"/>
    </xf>
    <xf numFmtId="299" fontId="13" fillId="0" borderId="0" xfId="0" applyNumberFormat="1" applyFont="1" applyBorder="1" applyAlignment="1">
      <alignment horizontal="left" vertical="center"/>
    </xf>
    <xf numFmtId="299" fontId="12" fillId="0" borderId="45" xfId="0" applyNumberFormat="1" applyFont="1" applyBorder="1" applyAlignment="1">
      <alignment horizontal="right" vertical="center"/>
    </xf>
    <xf numFmtId="299" fontId="8" fillId="0" borderId="80" xfId="0" applyNumberFormat="1" applyFont="1" applyBorder="1" applyAlignment="1">
      <alignment horizontal="right" vertical="center"/>
    </xf>
    <xf numFmtId="299" fontId="8" fillId="0" borderId="88" xfId="0" applyNumberFormat="1" applyFont="1" applyBorder="1" applyAlignment="1">
      <alignment horizontal="right" vertical="center"/>
    </xf>
    <xf numFmtId="299" fontId="158" fillId="0" borderId="88" xfId="0" applyNumberFormat="1" applyFont="1" applyBorder="1" applyAlignment="1">
      <alignment horizontal="right" vertical="center"/>
    </xf>
    <xf numFmtId="299" fontId="158" fillId="0" borderId="81" xfId="0" applyNumberFormat="1" applyFont="1" applyBorder="1" applyAlignment="1">
      <alignment horizontal="right" vertical="center"/>
    </xf>
    <xf numFmtId="299" fontId="8" fillId="0" borderId="6" xfId="0" applyNumberFormat="1" applyFont="1" applyBorder="1" applyAlignment="1">
      <alignment horizontal="right" vertical="center"/>
    </xf>
    <xf numFmtId="299" fontId="158" fillId="0" borderId="7" xfId="0" applyNumberFormat="1" applyFont="1" applyBorder="1" applyAlignment="1">
      <alignment horizontal="right" vertical="center"/>
    </xf>
    <xf numFmtId="299" fontId="8" fillId="0" borderId="7" xfId="0" applyNumberFormat="1" applyFont="1" applyBorder="1" applyAlignment="1">
      <alignment horizontal="right" vertical="center"/>
    </xf>
    <xf numFmtId="299" fontId="35" fillId="0" borderId="6" xfId="0" applyNumberFormat="1" applyFont="1" applyBorder="1" applyAlignment="1">
      <alignment horizontal="right" vertical="center"/>
    </xf>
    <xf numFmtId="299" fontId="35" fillId="0" borderId="7" xfId="0" applyNumberFormat="1" applyFont="1" applyBorder="1" applyAlignment="1">
      <alignment horizontal="right" vertical="center"/>
    </xf>
    <xf numFmtId="299" fontId="12" fillId="0" borderId="6" xfId="0" applyNumberFormat="1" applyFont="1" applyBorder="1" applyAlignment="1">
      <alignment horizontal="right" vertical="center"/>
    </xf>
    <xf numFmtId="299" fontId="12" fillId="0" borderId="7" xfId="0" applyNumberFormat="1" applyFont="1" applyBorder="1" applyAlignment="1">
      <alignment horizontal="right" vertical="center"/>
    </xf>
    <xf numFmtId="299" fontId="0" fillId="0" borderId="7" xfId="0" applyNumberFormat="1" applyFont="1" applyBorder="1" applyAlignment="1">
      <alignment horizontal="right" vertical="center"/>
    </xf>
    <xf numFmtId="299" fontId="172" fillId="0" borderId="7" xfId="0" applyNumberFormat="1" applyFont="1" applyBorder="1" applyAlignment="1">
      <alignment horizontal="right" vertical="center"/>
    </xf>
    <xf numFmtId="299" fontId="13" fillId="0" borderId="7" xfId="0" applyNumberFormat="1" applyFont="1" applyBorder="1" applyAlignment="1">
      <alignment horizontal="right" vertical="center"/>
    </xf>
    <xf numFmtId="299" fontId="254" fillId="0" borderId="7" xfId="0" applyNumberFormat="1" applyFont="1" applyBorder="1" applyAlignment="1">
      <alignment horizontal="right" vertical="center"/>
    </xf>
    <xf numFmtId="299" fontId="12" fillId="0" borderId="86" xfId="0" applyNumberFormat="1" applyFont="1" applyBorder="1" applyAlignment="1">
      <alignment horizontal="right" vertical="center"/>
    </xf>
    <xf numFmtId="299" fontId="12" fillId="0" borderId="83" xfId="0" applyNumberFormat="1" applyFont="1" applyBorder="1" applyAlignment="1">
      <alignment horizontal="right" vertical="center"/>
    </xf>
    <xf numFmtId="329" fontId="0" fillId="0" borderId="6" xfId="0" applyNumberFormat="1" applyFont="1" applyBorder="1" applyAlignment="1">
      <alignment horizontal="right" vertical="center"/>
    </xf>
    <xf numFmtId="329" fontId="0" fillId="0" borderId="7" xfId="0" applyNumberFormat="1" applyFont="1" applyBorder="1" applyAlignment="1">
      <alignment horizontal="right" vertical="center"/>
    </xf>
    <xf numFmtId="329" fontId="0" fillId="0" borderId="67" xfId="0" applyNumberFormat="1" applyFont="1" applyBorder="1" applyAlignment="1">
      <alignment horizontal="right" vertical="center"/>
    </xf>
    <xf numFmtId="299" fontId="8" fillId="0" borderId="81" xfId="0" applyNumberFormat="1" applyFont="1" applyBorder="1" applyAlignment="1">
      <alignment horizontal="right" vertical="center"/>
    </xf>
    <xf numFmtId="299" fontId="12" fillId="0" borderId="69" xfId="0" applyNumberFormat="1" applyFont="1" applyBorder="1" applyAlignment="1">
      <alignment horizontal="right" vertical="center"/>
    </xf>
    <xf numFmtId="299" fontId="12" fillId="0" borderId="8" xfId="0" applyNumberFormat="1" applyFont="1" applyBorder="1" applyAlignment="1">
      <alignment horizontal="right" vertical="center"/>
    </xf>
    <xf numFmtId="299" fontId="12" fillId="0" borderId="70" xfId="0" applyNumberFormat="1" applyFont="1" applyBorder="1" applyAlignment="1">
      <alignment horizontal="right" vertical="center"/>
    </xf>
    <xf numFmtId="299" fontId="13" fillId="0" borderId="69" xfId="0" applyNumberFormat="1" applyFont="1" applyBorder="1" applyAlignment="1">
      <alignment horizontal="right" vertical="center"/>
    </xf>
    <xf numFmtId="299" fontId="13" fillId="0" borderId="8" xfId="0" applyNumberFormat="1" applyFont="1" applyBorder="1" applyAlignment="1">
      <alignment horizontal="right" vertical="center"/>
    </xf>
    <xf numFmtId="299" fontId="13" fillId="0" borderId="70" xfId="0" applyNumberFormat="1" applyFont="1" applyBorder="1" applyAlignment="1">
      <alignment horizontal="right" vertical="center"/>
    </xf>
    <xf numFmtId="267" fontId="8" fillId="0" borderId="0" xfId="0" applyNumberFormat="1" applyFont="1" applyAlignment="1"/>
    <xf numFmtId="267" fontId="8" fillId="0" borderId="0" xfId="0" applyNumberFormat="1" applyFont="1" applyAlignment="1">
      <alignment vertical="center"/>
    </xf>
    <xf numFmtId="267" fontId="8" fillId="0" borderId="0" xfId="495" applyNumberFormat="1" applyFont="1" applyAlignment="1">
      <alignment horizontal="left" vertical="center" indent="1"/>
    </xf>
    <xf numFmtId="267" fontId="172" fillId="0" borderId="0" xfId="0" applyNumberFormat="1" applyFont="1" applyAlignment="1">
      <alignment horizontal="right" vertical="center"/>
    </xf>
    <xf numFmtId="222" fontId="8" fillId="0" borderId="0" xfId="0" applyNumberFormat="1" applyFont="1" applyBorder="1" applyAlignment="1">
      <alignment horizontal="right" vertical="center"/>
    </xf>
    <xf numFmtId="267" fontId="0" fillId="0" borderId="0" xfId="0" applyNumberFormat="1" applyFont="1" applyAlignment="1"/>
    <xf numFmtId="267" fontId="12" fillId="0" borderId="8" xfId="0" applyNumberFormat="1" applyFont="1" applyBorder="1" applyAlignment="1">
      <alignment horizontal="right" vertical="center"/>
    </xf>
    <xf numFmtId="267" fontId="12" fillId="0" borderId="70" xfId="0" applyNumberFormat="1" applyFont="1" applyBorder="1" applyAlignment="1">
      <alignment horizontal="right" vertical="center"/>
    </xf>
    <xf numFmtId="267" fontId="8" fillId="0" borderId="88" xfId="0" applyNumberFormat="1" applyFont="1" applyBorder="1" applyAlignment="1">
      <alignment horizontal="right" vertical="center"/>
    </xf>
    <xf numFmtId="267" fontId="172" fillId="0" borderId="7" xfId="0" applyNumberFormat="1" applyFont="1" applyBorder="1" applyAlignment="1">
      <alignment horizontal="right" vertical="center"/>
    </xf>
    <xf numFmtId="267" fontId="13" fillId="0" borderId="7" xfId="0" applyNumberFormat="1" applyFont="1" applyBorder="1" applyAlignment="1">
      <alignment vertical="center"/>
    </xf>
    <xf numFmtId="267" fontId="8" fillId="0" borderId="0" xfId="0" applyNumberFormat="1" applyFont="1" applyAlignment="1">
      <alignment horizontal="right" vertical="center"/>
    </xf>
    <xf numFmtId="267" fontId="13" fillId="0" borderId="7" xfId="0" applyNumberFormat="1" applyFont="1" applyBorder="1" applyAlignment="1">
      <alignment horizontal="right" vertical="center"/>
    </xf>
    <xf numFmtId="267" fontId="12" fillId="0" borderId="5" xfId="0" applyNumberFormat="1" applyFont="1" applyBorder="1" applyAlignment="1">
      <alignment horizontal="right" vertical="center"/>
    </xf>
    <xf numFmtId="267" fontId="12" fillId="0" borderId="68" xfId="0" applyNumberFormat="1" applyFont="1" applyBorder="1" applyAlignment="1">
      <alignment horizontal="right" vertical="center"/>
    </xf>
    <xf numFmtId="267" fontId="8" fillId="0" borderId="81" xfId="0" applyNumberFormat="1" applyFont="1" applyBorder="1" applyAlignment="1">
      <alignment horizontal="right" vertical="center"/>
    </xf>
    <xf numFmtId="267" fontId="21" fillId="0" borderId="0" xfId="0" applyNumberFormat="1" applyFont="1" applyAlignment="1">
      <alignment horizontal="right" vertical="center" wrapText="1"/>
    </xf>
    <xf numFmtId="267" fontId="21" fillId="0" borderId="7" xfId="0" applyNumberFormat="1" applyFont="1" applyBorder="1" applyAlignment="1">
      <alignment horizontal="right" vertical="center" wrapText="1"/>
    </xf>
    <xf numFmtId="267" fontId="0" fillId="0" borderId="88" xfId="0" applyNumberFormat="1" applyFont="1" applyBorder="1" applyAlignment="1">
      <alignment horizontal="right" vertical="center"/>
    </xf>
    <xf numFmtId="267" fontId="8" fillId="0" borderId="5" xfId="0" applyNumberFormat="1" applyFont="1" applyBorder="1" applyAlignment="1">
      <alignment horizontal="right" vertical="center"/>
    </xf>
    <xf numFmtId="267" fontId="8" fillId="0" borderId="68" xfId="0" applyNumberFormat="1" applyFont="1" applyBorder="1" applyAlignment="1">
      <alignment horizontal="right" vertical="center"/>
    </xf>
    <xf numFmtId="358" fontId="0" fillId="0" borderId="0" xfId="0" applyNumberFormat="1" applyAlignment="1"/>
    <xf numFmtId="358" fontId="8" fillId="0" borderId="0" xfId="495" applyNumberFormat="1" applyFont="1" applyFill="1" applyAlignment="1">
      <alignment vertical="center"/>
    </xf>
    <xf numFmtId="358" fontId="0" fillId="0" borderId="7" xfId="0" applyNumberFormat="1" applyFont="1" applyBorder="1" applyAlignment="1">
      <alignment horizontal="right" vertical="center"/>
    </xf>
    <xf numFmtId="358" fontId="0" fillId="0" borderId="0" xfId="0" applyNumberFormat="1" applyFont="1" applyAlignment="1">
      <alignment vertical="center"/>
    </xf>
    <xf numFmtId="358" fontId="8" fillId="0" borderId="80" xfId="0" applyNumberFormat="1" applyFont="1" applyBorder="1" applyAlignment="1">
      <alignment horizontal="right" vertical="center"/>
    </xf>
    <xf numFmtId="358" fontId="8" fillId="0" borderId="88" xfId="0" applyNumberFormat="1" applyFont="1" applyBorder="1" applyAlignment="1">
      <alignment horizontal="right" vertical="center"/>
    </xf>
    <xf numFmtId="358" fontId="8" fillId="0" borderId="81" xfId="0" applyNumberFormat="1" applyFont="1" applyBorder="1" applyAlignment="1">
      <alignment horizontal="right" vertical="center"/>
    </xf>
    <xf numFmtId="358" fontId="158" fillId="0" borderId="88" xfId="0" applyNumberFormat="1" applyFont="1" applyBorder="1" applyAlignment="1">
      <alignment horizontal="right" vertical="center"/>
    </xf>
    <xf numFmtId="358" fontId="158" fillId="0" borderId="81" xfId="0" applyNumberFormat="1" applyFont="1" applyBorder="1" applyAlignment="1">
      <alignment horizontal="right" vertical="center"/>
    </xf>
    <xf numFmtId="358" fontId="0" fillId="0" borderId="0" xfId="0" applyNumberFormat="1"/>
    <xf numFmtId="3" fontId="0" fillId="0" borderId="69" xfId="0" applyNumberFormat="1" applyFont="1" applyBorder="1" applyAlignment="1">
      <alignment horizontal="right" vertical="center"/>
    </xf>
    <xf numFmtId="3" fontId="0" fillId="0" borderId="8" xfId="0" applyNumberFormat="1" applyFont="1" applyBorder="1" applyAlignment="1">
      <alignment horizontal="right" vertical="center"/>
    </xf>
    <xf numFmtId="3" fontId="0" fillId="0" borderId="70" xfId="0" applyNumberFormat="1" applyFont="1" applyBorder="1" applyAlignment="1">
      <alignment horizontal="right" vertical="center"/>
    </xf>
    <xf numFmtId="39" fontId="0" fillId="0" borderId="0" xfId="0" applyNumberFormat="1" applyFont="1" applyBorder="1" applyAlignment="1">
      <alignment horizontal="center" vertical="center"/>
    </xf>
    <xf numFmtId="165" fontId="158" fillId="0" borderId="7" xfId="0" applyNumberFormat="1" applyFont="1" applyBorder="1" applyAlignment="1">
      <alignment vertical="center"/>
    </xf>
    <xf numFmtId="165" fontId="25" fillId="0" borderId="7" xfId="0" applyNumberFormat="1" applyFont="1" applyBorder="1" applyAlignment="1">
      <alignment vertical="center"/>
    </xf>
    <xf numFmtId="326" fontId="0" fillId="0" borderId="67" xfId="0" quotePrefix="1" applyNumberFormat="1" applyFont="1" applyBorder="1" applyAlignment="1">
      <alignment vertical="center"/>
    </xf>
    <xf numFmtId="299" fontId="35" fillId="0" borderId="67" xfId="0" applyNumberFormat="1" applyFont="1" applyBorder="1" applyAlignment="1">
      <alignment horizontal="right" vertical="center"/>
    </xf>
    <xf numFmtId="299" fontId="35" fillId="0" borderId="5" xfId="0" applyNumberFormat="1" applyFont="1" applyBorder="1" applyAlignment="1">
      <alignment horizontal="right" vertical="center"/>
    </xf>
    <xf numFmtId="299" fontId="35" fillId="0" borderId="68" xfId="0" applyNumberFormat="1" applyFont="1" applyBorder="1" applyAlignment="1">
      <alignment horizontal="right" vertical="center"/>
    </xf>
    <xf numFmtId="299" fontId="321" fillId="0" borderId="5" xfId="0" applyNumberFormat="1" applyFont="1" applyBorder="1" applyAlignment="1">
      <alignment horizontal="right" vertical="center"/>
    </xf>
    <xf numFmtId="267" fontId="35" fillId="0" borderId="67" xfId="0" applyNumberFormat="1" applyFont="1" applyBorder="1" applyAlignment="1">
      <alignment horizontal="right" vertical="center"/>
    </xf>
    <xf numFmtId="267" fontId="35" fillId="0" borderId="5" xfId="0" applyNumberFormat="1" applyFont="1" applyBorder="1" applyAlignment="1">
      <alignment horizontal="right" vertical="center"/>
    </xf>
    <xf numFmtId="267" fontId="35" fillId="0" borderId="68" xfId="0" applyNumberFormat="1" applyFont="1" applyBorder="1" applyAlignment="1">
      <alignment horizontal="right" vertical="center"/>
    </xf>
    <xf numFmtId="9" fontId="0" fillId="0" borderId="0" xfId="0" applyNumberFormat="1" applyFont="1" applyAlignment="1">
      <alignment vertical="center"/>
    </xf>
    <xf numFmtId="0" fontId="322" fillId="0" borderId="0" xfId="1358" applyFont="1"/>
    <xf numFmtId="0" fontId="322" fillId="0" borderId="0" xfId="1358" applyFont="1" applyFill="1"/>
    <xf numFmtId="9" fontId="0" fillId="0" borderId="0" xfId="0" applyNumberFormat="1" applyFont="1" applyAlignment="1">
      <alignment horizontal="center" vertical="center"/>
    </xf>
    <xf numFmtId="220" fontId="13" fillId="2" borderId="0" xfId="0" applyNumberFormat="1" applyFont="1" applyFill="1" applyBorder="1" applyAlignment="1">
      <alignment horizontal="center" vertical="center"/>
    </xf>
    <xf numFmtId="9" fontId="322" fillId="0" borderId="0" xfId="1358" applyNumberFormat="1" applyFont="1" applyFill="1"/>
    <xf numFmtId="0" fontId="0" fillId="0" borderId="0" xfId="0" applyFont="1" applyAlignment="1">
      <alignment horizontal="left" vertical="center" indent="1"/>
    </xf>
    <xf numFmtId="0" fontId="0" fillId="0" borderId="0" xfId="0" applyFont="1" applyAlignment="1">
      <alignment horizontal="left" vertical="center"/>
    </xf>
    <xf numFmtId="8" fontId="314" fillId="76" borderId="0" xfId="1187" applyNumberFormat="1" applyFont="1" applyFill="1" applyBorder="1" applyAlignment="1">
      <alignment horizontal="right" vertical="center" wrapText="1"/>
    </xf>
    <xf numFmtId="14" fontId="182" fillId="76" borderId="69" xfId="507" applyNumberFormat="1" applyFont="1" applyFill="1" applyBorder="1" applyAlignment="1">
      <alignment horizontal="centerContinuous"/>
    </xf>
    <xf numFmtId="360" fontId="22" fillId="0" borderId="1" xfId="0" applyNumberFormat="1" applyFont="1" applyBorder="1" applyAlignment="1">
      <alignment vertical="center"/>
    </xf>
    <xf numFmtId="361" fontId="0" fillId="0" borderId="0" xfId="0" applyNumberFormat="1" applyFont="1" applyAlignment="1">
      <alignment horizontal="center" vertical="center"/>
    </xf>
    <xf numFmtId="44" fontId="0" fillId="0" borderId="74" xfId="0" applyNumberFormat="1" applyFont="1" applyBorder="1" applyAlignment="1">
      <alignment vertical="center"/>
    </xf>
    <xf numFmtId="44" fontId="0" fillId="0" borderId="73" xfId="0" applyNumberFormat="1" applyFont="1" applyBorder="1" applyAlignment="1">
      <alignment vertical="center"/>
    </xf>
    <xf numFmtId="44" fontId="0" fillId="0" borderId="93" xfId="0" applyNumberFormat="1" applyFont="1" applyBorder="1" applyAlignment="1">
      <alignment vertical="center"/>
    </xf>
    <xf numFmtId="44" fontId="0" fillId="0" borderId="13" xfId="0" applyNumberFormat="1" applyFont="1" applyBorder="1" applyAlignment="1">
      <alignment vertical="center"/>
    </xf>
    <xf numFmtId="44" fontId="0" fillId="0" borderId="0" xfId="0" applyNumberFormat="1" applyFont="1" applyBorder="1" applyAlignment="1">
      <alignment vertical="center"/>
    </xf>
    <xf numFmtId="44" fontId="0" fillId="0" borderId="94" xfId="0" applyNumberFormat="1" applyFont="1" applyBorder="1" applyAlignment="1">
      <alignment vertical="center"/>
    </xf>
    <xf numFmtId="44" fontId="0" fillId="0" borderId="52" xfId="0" applyNumberFormat="1" applyFont="1" applyBorder="1" applyAlignment="1">
      <alignment vertical="center"/>
    </xf>
    <xf numFmtId="0" fontId="13" fillId="0" borderId="0" xfId="0" applyFont="1" applyAlignment="1">
      <alignment vertical="center"/>
    </xf>
    <xf numFmtId="275" fontId="39" fillId="0" borderId="0" xfId="0" applyNumberFormat="1" applyFont="1" applyAlignment="1">
      <alignment vertical="center"/>
    </xf>
    <xf numFmtId="6" fontId="39" fillId="0" borderId="0" xfId="0" applyNumberFormat="1" applyFont="1" applyAlignment="1">
      <alignment vertical="center"/>
    </xf>
    <xf numFmtId="44" fontId="38" fillId="0" borderId="0" xfId="495" applyNumberFormat="1" applyFont="1"/>
    <xf numFmtId="206" fontId="0" fillId="0" borderId="0" xfId="0" applyNumberFormat="1" applyFont="1" applyBorder="1"/>
    <xf numFmtId="206" fontId="18" fillId="0" borderId="0" xfId="0" applyNumberFormat="1" applyFont="1" applyFill="1" applyBorder="1" applyAlignment="1">
      <alignment horizontal="right" vertical="center"/>
    </xf>
    <xf numFmtId="267" fontId="8" fillId="0" borderId="7" xfId="0" applyNumberFormat="1" applyFont="1" applyFill="1" applyBorder="1" applyAlignment="1">
      <alignment horizontal="right" vertical="center"/>
    </xf>
    <xf numFmtId="267" fontId="35" fillId="0" borderId="7" xfId="0" applyNumberFormat="1" applyFont="1" applyFill="1" applyBorder="1" applyAlignment="1">
      <alignment horizontal="right" vertical="center"/>
    </xf>
    <xf numFmtId="267" fontId="321" fillId="0" borderId="0" xfId="0" applyNumberFormat="1" applyFont="1" applyBorder="1" applyAlignment="1">
      <alignment horizontal="right" vertical="center"/>
    </xf>
    <xf numFmtId="340" fontId="22" fillId="96" borderId="70" xfId="9" applyNumberFormat="1" applyFont="1" applyFill="1" applyBorder="1" applyAlignment="1">
      <alignment horizontal="center" vertical="center" wrapText="1"/>
    </xf>
    <xf numFmtId="227" fontId="13" fillId="96" borderId="70" xfId="0" applyNumberFormat="1" applyFont="1" applyFill="1" applyBorder="1" applyAlignment="1">
      <alignment horizontal="center" vertical="center"/>
    </xf>
    <xf numFmtId="0" fontId="21" fillId="76" borderId="6" xfId="9" applyFont="1" applyFill="1" applyBorder="1" applyAlignment="1">
      <alignment horizontal="left" vertical="center"/>
    </xf>
    <xf numFmtId="340" fontId="22" fillId="76" borderId="7" xfId="9" applyNumberFormat="1" applyFont="1" applyFill="1" applyBorder="1" applyAlignment="1">
      <alignment horizontal="center" vertical="center" wrapText="1"/>
    </xf>
    <xf numFmtId="8" fontId="21" fillId="76" borderId="0" xfId="9" applyNumberFormat="1" applyFont="1" applyFill="1" applyBorder="1" applyAlignment="1">
      <alignment horizontal="center" vertical="center" wrapText="1"/>
    </xf>
    <xf numFmtId="3" fontId="21" fillId="76" borderId="0" xfId="9" applyNumberFormat="1" applyFont="1" applyFill="1" applyBorder="1" applyAlignment="1">
      <alignment horizontal="center" vertical="center" wrapText="1"/>
    </xf>
    <xf numFmtId="0" fontId="8" fillId="76" borderId="0" xfId="9" applyFont="1" applyFill="1" applyBorder="1" applyAlignment="1">
      <alignment horizontal="center" vertical="center"/>
    </xf>
    <xf numFmtId="339" fontId="8" fillId="76" borderId="0" xfId="9" applyNumberFormat="1" applyFont="1" applyFill="1" applyBorder="1" applyAlignment="1">
      <alignment horizontal="center" vertical="center"/>
    </xf>
    <xf numFmtId="0" fontId="21" fillId="76" borderId="0" xfId="9" applyFont="1" applyFill="1" applyBorder="1" applyAlignment="1">
      <alignment horizontal="center" vertical="center" wrapText="1"/>
    </xf>
    <xf numFmtId="0" fontId="8" fillId="0" borderId="67" xfId="9" applyFont="1" applyBorder="1" applyAlignment="1">
      <alignment horizontal="left" vertical="center"/>
    </xf>
    <xf numFmtId="8" fontId="8" fillId="0" borderId="5" xfId="9" applyNumberFormat="1" applyFont="1" applyBorder="1" applyAlignment="1">
      <alignment horizontal="center" vertical="center"/>
    </xf>
    <xf numFmtId="3" fontId="8" fillId="0" borderId="5" xfId="9" applyNumberFormat="1" applyFont="1" applyBorder="1" applyAlignment="1">
      <alignment horizontal="center" vertical="center"/>
    </xf>
    <xf numFmtId="339" fontId="8" fillId="0" borderId="5" xfId="9" applyNumberFormat="1" applyFont="1" applyBorder="1" applyAlignment="1">
      <alignment horizontal="center" vertical="center"/>
    </xf>
    <xf numFmtId="339" fontId="22" fillId="76" borderId="5" xfId="9" applyNumberFormat="1" applyFont="1" applyFill="1" applyBorder="1" applyAlignment="1">
      <alignment horizontal="center" vertical="center" wrapText="1"/>
    </xf>
    <xf numFmtId="206" fontId="8" fillId="0" borderId="5" xfId="9" applyNumberFormat="1" applyFont="1" applyBorder="1" applyAlignment="1">
      <alignment horizontal="center" vertical="center"/>
    </xf>
    <xf numFmtId="206" fontId="8" fillId="0" borderId="68" xfId="9" applyNumberFormat="1" applyFont="1" applyBorder="1" applyAlignment="1">
      <alignment horizontal="center" vertical="center"/>
    </xf>
    <xf numFmtId="0" fontId="21" fillId="76" borderId="0" xfId="9" applyFont="1" applyFill="1" applyBorder="1" applyAlignment="1">
      <alignment vertical="center"/>
    </xf>
    <xf numFmtId="0" fontId="8" fillId="76" borderId="0" xfId="9" applyFont="1" applyFill="1" applyBorder="1" applyAlignment="1">
      <alignment vertical="center"/>
    </xf>
    <xf numFmtId="0" fontId="21" fillId="76" borderId="67" xfId="9" applyFont="1" applyFill="1" applyBorder="1" applyAlignment="1">
      <alignment horizontal="left" vertical="center"/>
    </xf>
    <xf numFmtId="8" fontId="22" fillId="0" borderId="5" xfId="0" applyNumberFormat="1" applyFont="1" applyBorder="1" applyAlignment="1">
      <alignment horizontal="center" vertical="top" wrapText="1"/>
    </xf>
    <xf numFmtId="3" fontId="22" fillId="76" borderId="5" xfId="9" applyNumberFormat="1" applyFont="1" applyFill="1" applyBorder="1" applyAlignment="1">
      <alignment horizontal="center" vertical="center" wrapText="1"/>
    </xf>
    <xf numFmtId="340" fontId="22" fillId="76" borderId="5" xfId="9" applyNumberFormat="1" applyFont="1" applyFill="1" applyBorder="1" applyAlignment="1">
      <alignment horizontal="center" vertical="center" wrapText="1"/>
    </xf>
    <xf numFmtId="340" fontId="22" fillId="76" borderId="68" xfId="9" applyNumberFormat="1" applyFont="1" applyFill="1" applyBorder="1" applyAlignment="1">
      <alignment horizontal="center" vertical="center" wrapText="1"/>
    </xf>
    <xf numFmtId="44" fontId="0" fillId="99" borderId="52" xfId="0" applyNumberFormat="1" applyFont="1" applyFill="1" applyBorder="1" applyAlignment="1">
      <alignment vertical="center"/>
    </xf>
    <xf numFmtId="44" fontId="0" fillId="99" borderId="95" xfId="0" applyNumberFormat="1" applyFont="1" applyFill="1" applyBorder="1" applyAlignment="1">
      <alignment vertical="center"/>
    </xf>
    <xf numFmtId="44" fontId="0" fillId="99" borderId="0" xfId="0" applyNumberFormat="1" applyFont="1" applyFill="1" applyBorder="1" applyAlignment="1">
      <alignment vertical="center"/>
    </xf>
    <xf numFmtId="44" fontId="0" fillId="99" borderId="46" xfId="0" applyNumberFormat="1" applyFont="1" applyFill="1" applyBorder="1" applyAlignment="1">
      <alignment vertical="center"/>
    </xf>
    <xf numFmtId="44" fontId="0" fillId="76" borderId="0" xfId="0" applyNumberFormat="1" applyFont="1" applyFill="1" applyBorder="1" applyAlignment="1">
      <alignment vertical="center"/>
    </xf>
    <xf numFmtId="44" fontId="0" fillId="76" borderId="46" xfId="0" applyNumberFormat="1" applyFont="1" applyFill="1" applyBorder="1" applyAlignment="1">
      <alignment vertical="center"/>
    </xf>
    <xf numFmtId="44" fontId="0" fillId="76" borderId="52" xfId="0" applyNumberFormat="1" applyFont="1" applyFill="1" applyBorder="1" applyAlignment="1">
      <alignment vertical="center"/>
    </xf>
    <xf numFmtId="44" fontId="0" fillId="99" borderId="93" xfId="0" applyNumberFormat="1" applyFont="1" applyFill="1" applyBorder="1" applyAlignment="1">
      <alignment vertical="center"/>
    </xf>
    <xf numFmtId="44" fontId="0" fillId="99" borderId="73" xfId="0" applyNumberFormat="1" applyFont="1" applyFill="1" applyBorder="1" applyAlignment="1">
      <alignment vertical="center"/>
    </xf>
    <xf numFmtId="164" fontId="317" fillId="0" borderId="0" xfId="0" applyNumberFormat="1" applyFont="1" applyFill="1" applyBorder="1" applyAlignment="1">
      <alignment vertical="center"/>
    </xf>
    <xf numFmtId="0" fontId="246" fillId="0" borderId="0" xfId="0" applyFont="1" applyBorder="1"/>
    <xf numFmtId="164" fontId="317" fillId="0" borderId="0" xfId="0" quotePrefix="1" applyNumberFormat="1" applyFont="1" applyFill="1" applyBorder="1" applyAlignment="1">
      <alignment vertical="center"/>
    </xf>
    <xf numFmtId="0" fontId="323" fillId="0" borderId="0" xfId="0" applyFont="1" applyFill="1" applyBorder="1" applyAlignment="1">
      <alignment horizontal="left" vertical="center"/>
    </xf>
    <xf numFmtId="0" fontId="324" fillId="0" borderId="0" xfId="0" applyFont="1" applyFill="1" applyBorder="1" applyAlignment="1">
      <alignment vertical="center"/>
    </xf>
    <xf numFmtId="14" fontId="13" fillId="98" borderId="69" xfId="0" applyNumberFormat="1" applyFont="1" applyFill="1" applyBorder="1" applyAlignment="1">
      <alignment horizontal="centerContinuous" vertical="center"/>
    </xf>
    <xf numFmtId="0" fontId="13" fillId="98" borderId="70" xfId="495" applyFont="1" applyFill="1" applyBorder="1" applyAlignment="1">
      <alignment horizontal="centerContinuous"/>
    </xf>
    <xf numFmtId="0" fontId="8" fillId="76" borderId="6" xfId="15" applyFont="1" applyFill="1" applyBorder="1" applyAlignment="1">
      <alignment horizontal="left" vertical="center"/>
    </xf>
    <xf numFmtId="14" fontId="39" fillId="0" borderId="0" xfId="0" applyNumberFormat="1" applyFont="1" applyBorder="1" applyAlignment="1">
      <alignment horizontal="left" vertical="center"/>
    </xf>
    <xf numFmtId="168" fontId="19" fillId="0" borderId="7" xfId="0" applyNumberFormat="1" applyFont="1" applyBorder="1" applyAlignment="1">
      <alignment horizontal="center" vertical="center"/>
    </xf>
    <xf numFmtId="0" fontId="8" fillId="0" borderId="6" xfId="15" applyFont="1" applyBorder="1" applyAlignment="1">
      <alignment horizontal="left" vertical="center" indent="1"/>
    </xf>
    <xf numFmtId="169" fontId="8" fillId="0" borderId="0" xfId="21" applyFont="1" applyBorder="1" applyAlignment="1">
      <alignment horizontal="center" vertical="center"/>
    </xf>
    <xf numFmtId="200" fontId="171" fillId="0" borderId="0" xfId="48" applyNumberFormat="1" applyFont="1" applyBorder="1" applyAlignment="1">
      <alignment horizontal="right" vertical="center"/>
    </xf>
    <xf numFmtId="0" fontId="12" fillId="0" borderId="6" xfId="15" applyFont="1" applyBorder="1" applyAlignment="1">
      <alignment horizontal="left" vertical="center"/>
    </xf>
    <xf numFmtId="169" fontId="12" fillId="0" borderId="0" xfId="21" applyFont="1" applyBorder="1" applyAlignment="1">
      <alignment horizontal="center" vertical="center"/>
    </xf>
    <xf numFmtId="200" fontId="318" fillId="0" borderId="0" xfId="48" applyNumberFormat="1" applyFont="1" applyBorder="1" applyAlignment="1">
      <alignment horizontal="right" vertical="center"/>
    </xf>
    <xf numFmtId="206" fontId="18" fillId="76" borderId="0" xfId="1356" applyNumberFormat="1" applyFont="1" applyFill="1" applyBorder="1" applyAlignment="1">
      <alignment horizontal="right" vertical="center"/>
    </xf>
    <xf numFmtId="44" fontId="12" fillId="0" borderId="53" xfId="1356" applyNumberFormat="1" applyFont="1" applyBorder="1" applyAlignment="1">
      <alignment horizontal="right" vertical="center"/>
    </xf>
    <xf numFmtId="206" fontId="18" fillId="0" borderId="0" xfId="317" applyNumberFormat="1" applyFont="1" applyBorder="1" applyAlignment="1">
      <alignment horizontal="right" vertical="center"/>
    </xf>
    <xf numFmtId="201" fontId="8" fillId="76" borderId="0" xfId="1356" applyNumberFormat="1" applyFont="1" applyFill="1" applyBorder="1" applyAlignment="1">
      <alignment horizontal="right" vertical="center"/>
    </xf>
    <xf numFmtId="11" fontId="8" fillId="76" borderId="0" xfId="1356" applyNumberFormat="1" applyFont="1" applyFill="1" applyBorder="1" applyAlignment="1">
      <alignment horizontal="right" vertical="center"/>
    </xf>
    <xf numFmtId="188" fontId="8" fillId="0" borderId="0" xfId="1356" applyNumberFormat="1" applyFont="1" applyBorder="1" applyAlignment="1">
      <alignment horizontal="right" vertical="center"/>
    </xf>
    <xf numFmtId="0" fontId="8" fillId="0" borderId="6" xfId="15" applyFont="1" applyBorder="1" applyAlignment="1">
      <alignment horizontal="left" vertical="center"/>
    </xf>
    <xf numFmtId="0" fontId="8" fillId="0" borderId="67" xfId="15" applyFont="1" applyBorder="1" applyAlignment="1">
      <alignment horizontal="left" vertical="center"/>
    </xf>
    <xf numFmtId="169" fontId="8" fillId="0" borderId="5" xfId="21" applyFont="1" applyBorder="1" applyAlignment="1">
      <alignment horizontal="center" vertical="center"/>
    </xf>
    <xf numFmtId="200" fontId="171" fillId="0" borderId="5" xfId="48" applyNumberFormat="1" applyFont="1" applyBorder="1" applyAlignment="1">
      <alignment horizontal="right" vertical="center"/>
    </xf>
    <xf numFmtId="11" fontId="8" fillId="76" borderId="5" xfId="1356" applyNumberFormat="1" applyFont="1" applyFill="1" applyBorder="1" applyAlignment="1">
      <alignment horizontal="right" vertical="center"/>
    </xf>
    <xf numFmtId="188" fontId="8" fillId="0" borderId="68" xfId="1356" applyNumberFormat="1" applyFont="1" applyBorder="1" applyAlignment="1">
      <alignment horizontal="right" vertical="center"/>
    </xf>
    <xf numFmtId="188" fontId="8" fillId="0" borderId="5" xfId="1356" applyNumberFormat="1" applyFont="1" applyBorder="1" applyAlignment="1">
      <alignment horizontal="right" vertical="center"/>
    </xf>
    <xf numFmtId="0" fontId="38" fillId="98" borderId="70" xfId="495" applyFont="1" applyFill="1" applyBorder="1" applyAlignment="1">
      <alignment horizontal="centerContinuous"/>
    </xf>
    <xf numFmtId="299" fontId="8" fillId="0" borderId="7" xfId="1357" applyNumberFormat="1" applyFont="1" applyBorder="1" applyAlignment="1">
      <alignment horizontal="center" vertical="center"/>
    </xf>
    <xf numFmtId="327" fontId="12" fillId="0" borderId="7" xfId="1357" applyNumberFormat="1" applyFont="1" applyBorder="1" applyAlignment="1">
      <alignment horizontal="center" vertical="center"/>
    </xf>
    <xf numFmtId="327" fontId="8" fillId="0" borderId="7" xfId="1357" applyNumberFormat="1" applyFont="1" applyBorder="1" applyAlignment="1">
      <alignment horizontal="center" vertical="center"/>
    </xf>
    <xf numFmtId="0" fontId="12" fillId="0" borderId="67" xfId="15" applyFont="1" applyBorder="1" applyAlignment="1">
      <alignment horizontal="left" vertical="center"/>
    </xf>
    <xf numFmtId="169" fontId="12" fillId="0" borderId="5" xfId="21" applyFont="1" applyBorder="1" applyAlignment="1">
      <alignment horizontal="center" vertical="center"/>
    </xf>
    <xf numFmtId="200" fontId="318" fillId="0" borderId="5" xfId="48" applyNumberFormat="1" applyFont="1" applyBorder="1" applyAlignment="1">
      <alignment horizontal="right" vertical="center"/>
    </xf>
    <xf numFmtId="327" fontId="12" fillId="0" borderId="68" xfId="1357" applyNumberFormat="1" applyFont="1" applyBorder="1" applyAlignment="1">
      <alignment horizontal="center" vertical="center"/>
    </xf>
    <xf numFmtId="188" fontId="8" fillId="0" borderId="7" xfId="1357" applyNumberFormat="1" applyFont="1" applyBorder="1" applyAlignment="1">
      <alignment horizontal="center" vertical="center"/>
    </xf>
    <xf numFmtId="188" fontId="8" fillId="0" borderId="68" xfId="1357" applyNumberFormat="1" applyFont="1" applyBorder="1" applyAlignment="1">
      <alignment horizontal="center" vertical="center"/>
    </xf>
    <xf numFmtId="0" fontId="13" fillId="98" borderId="69" xfId="495" applyFont="1" applyFill="1" applyBorder="1" applyAlignment="1">
      <alignment horizontal="centerContinuous"/>
    </xf>
    <xf numFmtId="169" fontId="18" fillId="76" borderId="6" xfId="18" applyFont="1" applyFill="1" applyBorder="1" applyAlignment="1">
      <alignment horizontal="center" vertical="center"/>
    </xf>
    <xf numFmtId="341" fontId="21" fillId="0" borderId="6" xfId="0" applyNumberFormat="1" applyFont="1" applyBorder="1" applyAlignment="1">
      <alignment horizontal="left" vertical="center"/>
    </xf>
    <xf numFmtId="341" fontId="157" fillId="0" borderId="6" xfId="0" applyNumberFormat="1" applyFont="1" applyBorder="1" applyAlignment="1">
      <alignment horizontal="left" vertical="center" indent="1"/>
    </xf>
    <xf numFmtId="169" fontId="12" fillId="76" borderId="96" xfId="18" applyFont="1" applyFill="1" applyBorder="1" applyAlignment="1">
      <alignment horizontal="left" vertical="center"/>
    </xf>
    <xf numFmtId="341" fontId="22" fillId="0" borderId="6" xfId="0" applyNumberFormat="1" applyFont="1" applyBorder="1" applyAlignment="1">
      <alignment horizontal="left" vertical="center"/>
    </xf>
    <xf numFmtId="341" fontId="22" fillId="0" borderId="67" xfId="0" applyNumberFormat="1" applyFont="1" applyBorder="1" applyAlignment="1">
      <alignment horizontal="left" vertical="center"/>
    </xf>
    <xf numFmtId="0" fontId="0" fillId="76" borderId="0" xfId="0" applyFont="1" applyFill="1" applyBorder="1" applyAlignment="1">
      <alignment vertical="center"/>
    </xf>
    <xf numFmtId="220" fontId="0" fillId="76" borderId="0" xfId="0" applyNumberFormat="1" applyFill="1" applyBorder="1" applyAlignment="1">
      <alignment vertical="center"/>
    </xf>
    <xf numFmtId="220" fontId="12" fillId="76" borderId="0" xfId="0" applyNumberFormat="1" applyFont="1" applyFill="1" applyBorder="1" applyAlignment="1">
      <alignment horizontal="right" vertical="center"/>
    </xf>
    <xf numFmtId="0" fontId="0" fillId="76" borderId="0" xfId="0" applyFont="1" applyFill="1" applyBorder="1" applyAlignment="1">
      <alignment horizontal="right" vertical="center"/>
    </xf>
    <xf numFmtId="0" fontId="0" fillId="76" borderId="0" xfId="0" applyFill="1" applyBorder="1" applyAlignment="1">
      <alignment vertical="center"/>
    </xf>
    <xf numFmtId="220" fontId="13" fillId="76" borderId="0" xfId="0" applyNumberFormat="1" applyFont="1" applyFill="1" applyBorder="1" applyAlignment="1">
      <alignment vertical="center"/>
    </xf>
    <xf numFmtId="0" fontId="0" fillId="76" borderId="6" xfId="0" applyFont="1" applyFill="1" applyBorder="1" applyAlignment="1">
      <alignment vertical="center"/>
    </xf>
    <xf numFmtId="227" fontId="12" fillId="76" borderId="0" xfId="0" applyNumberFormat="1" applyFont="1" applyFill="1" applyBorder="1" applyAlignment="1">
      <alignment horizontal="right" vertical="center"/>
    </xf>
    <xf numFmtId="227" fontId="12" fillId="76" borderId="7" xfId="0" applyNumberFormat="1" applyFont="1" applyFill="1" applyBorder="1" applyAlignment="1">
      <alignment horizontal="right" vertical="center"/>
    </xf>
    <xf numFmtId="227" fontId="12" fillId="76" borderId="6" xfId="0" applyNumberFormat="1" applyFont="1" applyFill="1" applyBorder="1" applyAlignment="1">
      <alignment horizontal="right" vertical="center"/>
    </xf>
    <xf numFmtId="0" fontId="0" fillId="76" borderId="6" xfId="0" applyFont="1" applyFill="1" applyBorder="1"/>
    <xf numFmtId="0" fontId="0" fillId="76" borderId="7" xfId="0" applyFont="1" applyFill="1" applyBorder="1"/>
    <xf numFmtId="0" fontId="0" fillId="76" borderId="80" xfId="0" applyFont="1" applyFill="1" applyBorder="1" applyAlignment="1">
      <alignment vertical="center"/>
    </xf>
    <xf numFmtId="0" fontId="0" fillId="76" borderId="1" xfId="0" applyFont="1" applyFill="1" applyBorder="1"/>
    <xf numFmtId="227" fontId="12" fillId="76" borderId="1" xfId="0" applyNumberFormat="1" applyFont="1" applyFill="1" applyBorder="1" applyAlignment="1">
      <alignment horizontal="right" vertical="center"/>
    </xf>
    <xf numFmtId="227" fontId="12" fillId="76" borderId="81" xfId="0" applyNumberFormat="1" applyFont="1" applyFill="1" applyBorder="1" applyAlignment="1">
      <alignment horizontal="right" vertical="center"/>
    </xf>
    <xf numFmtId="227" fontId="12" fillId="76" borderId="80" xfId="0" applyNumberFormat="1" applyFont="1" applyFill="1" applyBorder="1" applyAlignment="1">
      <alignment horizontal="right" vertical="center"/>
    </xf>
    <xf numFmtId="0" fontId="0" fillId="76" borderId="80" xfId="0" applyFont="1" applyFill="1" applyBorder="1"/>
    <xf numFmtId="0" fontId="0" fillId="76" borderId="81" xfId="0" applyFont="1" applyFill="1" applyBorder="1"/>
    <xf numFmtId="299" fontId="13" fillId="76" borderId="6" xfId="0" applyNumberFormat="1" applyFont="1" applyFill="1" applyBorder="1" applyAlignment="1">
      <alignment horizontal="right" vertical="center"/>
    </xf>
    <xf numFmtId="299" fontId="13" fillId="76" borderId="7" xfId="0" applyNumberFormat="1" applyFont="1" applyFill="1" applyBorder="1" applyAlignment="1">
      <alignment horizontal="right" vertical="center"/>
    </xf>
    <xf numFmtId="299" fontId="13" fillId="76" borderId="0" xfId="0" applyNumberFormat="1" applyFont="1" applyFill="1" applyAlignment="1">
      <alignment vertical="center"/>
    </xf>
    <xf numFmtId="227" fontId="13" fillId="76" borderId="0" xfId="0" applyNumberFormat="1" applyFont="1" applyFill="1" applyBorder="1" applyAlignment="1">
      <alignment horizontal="center" vertical="center"/>
    </xf>
    <xf numFmtId="358" fontId="8" fillId="0" borderId="0" xfId="1356" applyNumberFormat="1" applyFont="1" applyAlignment="1">
      <alignment horizontal="left" vertical="center" indent="1"/>
    </xf>
    <xf numFmtId="8" fontId="8" fillId="0" borderId="0" xfId="1356" applyNumberFormat="1" applyFont="1" applyAlignment="1">
      <alignment horizontal="left" vertical="center" indent="1"/>
    </xf>
    <xf numFmtId="327" fontId="8" fillId="0" borderId="0" xfId="1356" applyNumberFormat="1" applyFont="1" applyAlignment="1">
      <alignment horizontal="left" vertical="center" indent="2"/>
    </xf>
    <xf numFmtId="327" fontId="12" fillId="0" borderId="0" xfId="1356" applyNumberFormat="1" applyFont="1" applyAlignment="1">
      <alignment horizontal="left" vertical="center" indent="1"/>
    </xf>
    <xf numFmtId="327" fontId="8" fillId="0" borderId="0" xfId="1356" applyNumberFormat="1" applyFont="1" applyAlignment="1">
      <alignment horizontal="left" vertical="center" indent="1"/>
    </xf>
    <xf numFmtId="0" fontId="8" fillId="0" borderId="0" xfId="1356" applyFont="1" applyBorder="1" applyAlignment="1">
      <alignment horizontal="left" vertical="center" indent="1"/>
    </xf>
    <xf numFmtId="0" fontId="12" fillId="0" borderId="0" xfId="1356" applyFont="1" applyBorder="1" applyAlignment="1">
      <alignment horizontal="left" vertical="center" indent="1"/>
    </xf>
    <xf numFmtId="206" fontId="8" fillId="0" borderId="0" xfId="1356" applyNumberFormat="1" applyFont="1" applyAlignment="1">
      <alignment horizontal="left" vertical="center" indent="1"/>
    </xf>
    <xf numFmtId="299" fontId="13" fillId="2" borderId="75" xfId="0" applyNumberFormat="1" applyFont="1" applyFill="1" applyBorder="1" applyAlignment="1">
      <alignment horizontal="center" vertical="center"/>
    </xf>
    <xf numFmtId="0" fontId="7" fillId="0" borderId="0" xfId="0" applyFont="1"/>
    <xf numFmtId="206" fontId="7" fillId="0" borderId="0" xfId="0" applyNumberFormat="1" applyFont="1"/>
    <xf numFmtId="4" fontId="80" fillId="0" borderId="0" xfId="0" applyNumberFormat="1" applyFont="1" applyBorder="1"/>
    <xf numFmtId="4" fontId="80" fillId="0" borderId="0" xfId="0" applyNumberFormat="1" applyFont="1"/>
    <xf numFmtId="206" fontId="7" fillId="0" borderId="0" xfId="0" applyNumberFormat="1" applyFont="1" applyBorder="1"/>
    <xf numFmtId="4" fontId="7" fillId="76" borderId="0" xfId="0" applyNumberFormat="1" applyFont="1" applyFill="1"/>
    <xf numFmtId="0" fontId="322" fillId="0" borderId="0" xfId="0" applyFont="1" applyAlignment="1">
      <alignment vertical="center"/>
    </xf>
    <xf numFmtId="326" fontId="322" fillId="0" borderId="0" xfId="0" applyNumberFormat="1" applyFont="1" applyAlignment="1">
      <alignment vertical="center"/>
    </xf>
    <xf numFmtId="358" fontId="326" fillId="0" borderId="0" xfId="0" applyNumberFormat="1" applyFont="1"/>
    <xf numFmtId="358" fontId="8" fillId="0" borderId="0" xfId="0" applyNumberFormat="1" applyFont="1"/>
    <xf numFmtId="358" fontId="8" fillId="0" borderId="0" xfId="0" applyNumberFormat="1" applyFont="1" applyBorder="1"/>
    <xf numFmtId="9" fontId="8" fillId="0" borderId="0" xfId="0" applyNumberFormat="1" applyFont="1"/>
    <xf numFmtId="3" fontId="8" fillId="0" borderId="0" xfId="0" applyNumberFormat="1" applyFont="1" applyBorder="1"/>
    <xf numFmtId="267" fontId="326" fillId="0" borderId="0" xfId="0" applyNumberFormat="1" applyFont="1"/>
    <xf numFmtId="267" fontId="8" fillId="0" borderId="0" xfId="0" applyNumberFormat="1" applyFont="1" applyBorder="1"/>
    <xf numFmtId="44" fontId="0" fillId="0" borderId="0" xfId="0" applyNumberFormat="1" applyFont="1" applyAlignment="1">
      <alignment vertical="center"/>
    </xf>
    <xf numFmtId="44" fontId="13" fillId="2" borderId="8" xfId="0" applyNumberFormat="1" applyFont="1" applyFill="1" applyBorder="1" applyAlignment="1">
      <alignment horizontal="left" vertical="center"/>
    </xf>
    <xf numFmtId="44" fontId="13" fillId="2" borderId="8" xfId="0" applyNumberFormat="1" applyFont="1" applyFill="1" applyBorder="1" applyAlignment="1">
      <alignment horizontal="right" vertical="center"/>
    </xf>
    <xf numFmtId="44" fontId="13" fillId="2" borderId="70" xfId="0" applyNumberFormat="1" applyFont="1" applyFill="1" applyBorder="1" applyAlignment="1">
      <alignment horizontal="right" vertical="center"/>
    </xf>
    <xf numFmtId="206" fontId="157" fillId="0" borderId="6" xfId="0" applyNumberFormat="1" applyFont="1" applyBorder="1" applyAlignment="1">
      <alignment horizontal="right" vertical="center" wrapText="1"/>
    </xf>
    <xf numFmtId="206" fontId="157" fillId="0" borderId="0" xfId="0" applyNumberFormat="1" applyFont="1" applyBorder="1" applyAlignment="1">
      <alignment horizontal="right" vertical="center" wrapText="1"/>
    </xf>
    <xf numFmtId="206" fontId="157" fillId="0" borderId="7" xfId="0" applyNumberFormat="1" applyFont="1" applyBorder="1" applyAlignment="1">
      <alignment horizontal="right" vertical="center" wrapText="1"/>
    </xf>
    <xf numFmtId="357" fontId="319" fillId="0" borderId="6" xfId="0" applyNumberFormat="1" applyFont="1" applyBorder="1" applyAlignment="1">
      <alignment horizontal="right" vertical="center" wrapText="1"/>
    </xf>
    <xf numFmtId="357" fontId="319" fillId="0" borderId="0" xfId="0" applyNumberFormat="1" applyFont="1" applyBorder="1" applyAlignment="1">
      <alignment horizontal="right" vertical="center" wrapText="1"/>
    </xf>
    <xf numFmtId="357" fontId="319" fillId="0" borderId="7" xfId="0" applyNumberFormat="1" applyFont="1" applyBorder="1" applyAlignment="1">
      <alignment horizontal="right" vertical="center" wrapText="1"/>
    </xf>
    <xf numFmtId="357" fontId="22" fillId="0" borderId="6" xfId="0" applyNumberFormat="1" applyFont="1" applyBorder="1" applyAlignment="1">
      <alignment horizontal="right" vertical="center" wrapText="1"/>
    </xf>
    <xf numFmtId="357" fontId="22" fillId="0" borderId="0" xfId="0" applyNumberFormat="1" applyFont="1" applyBorder="1" applyAlignment="1">
      <alignment horizontal="right" vertical="center" wrapText="1"/>
    </xf>
    <xf numFmtId="357" fontId="22" fillId="0" borderId="7" xfId="0" applyNumberFormat="1" applyFont="1" applyBorder="1" applyAlignment="1">
      <alignment horizontal="right" vertical="center" wrapText="1"/>
    </xf>
    <xf numFmtId="299" fontId="8" fillId="76" borderId="6" xfId="0" applyNumberFormat="1" applyFont="1" applyFill="1" applyBorder="1" applyAlignment="1">
      <alignment horizontal="right" vertical="center"/>
    </xf>
    <xf numFmtId="299" fontId="8" fillId="76" borderId="0" xfId="0" applyNumberFormat="1" applyFont="1" applyFill="1" applyBorder="1" applyAlignment="1">
      <alignment horizontal="right" vertical="center"/>
    </xf>
    <xf numFmtId="299" fontId="8" fillId="76" borderId="7" xfId="0" applyNumberFormat="1" applyFont="1" applyFill="1" applyBorder="1" applyAlignment="1">
      <alignment horizontal="right" vertical="center"/>
    </xf>
    <xf numFmtId="299" fontId="158" fillId="76" borderId="0" xfId="0" applyNumberFormat="1" applyFont="1" applyFill="1" applyBorder="1" applyAlignment="1">
      <alignment horizontal="right" vertical="center"/>
    </xf>
    <xf numFmtId="299" fontId="158" fillId="76" borderId="7" xfId="0" applyNumberFormat="1" applyFont="1" applyFill="1" applyBorder="1" applyAlignment="1">
      <alignment horizontal="right" vertical="center"/>
    </xf>
    <xf numFmtId="44" fontId="21" fillId="0" borderId="69" xfId="0" applyNumberFormat="1" applyFont="1" applyBorder="1" applyAlignment="1">
      <alignment horizontal="right" vertical="center" wrapText="1"/>
    </xf>
    <xf numFmtId="44" fontId="21" fillId="0" borderId="8" xfId="0" applyNumberFormat="1" applyFont="1" applyBorder="1" applyAlignment="1">
      <alignment horizontal="right" vertical="center" wrapText="1"/>
    </xf>
    <xf numFmtId="44" fontId="21" fillId="0" borderId="70" xfId="0" applyNumberFormat="1" applyFont="1" applyBorder="1" applyAlignment="1">
      <alignment horizontal="right" vertical="center" wrapText="1"/>
    </xf>
    <xf numFmtId="44" fontId="21" fillId="76" borderId="89" xfId="0" applyNumberFormat="1" applyFont="1" applyFill="1" applyBorder="1" applyAlignment="1">
      <alignment horizontal="right" vertical="center" wrapText="1"/>
    </xf>
    <xf numFmtId="44" fontId="21" fillId="76" borderId="90" xfId="0" applyNumberFormat="1" applyFont="1" applyFill="1" applyBorder="1" applyAlignment="1">
      <alignment horizontal="right" vertical="center" wrapText="1"/>
    </xf>
    <xf numFmtId="44" fontId="21" fillId="76" borderId="91" xfId="0" applyNumberFormat="1" applyFont="1" applyFill="1" applyBorder="1" applyAlignment="1">
      <alignment horizontal="right" vertical="center" wrapText="1"/>
    </xf>
    <xf numFmtId="206" fontId="18" fillId="0" borderId="0" xfId="0" applyNumberFormat="1" applyFont="1" applyBorder="1" applyAlignment="1">
      <alignment horizontal="right" vertical="center" wrapText="1"/>
    </xf>
    <xf numFmtId="206" fontId="18" fillId="0" borderId="7" xfId="0" applyNumberFormat="1" applyFont="1" applyBorder="1" applyAlignment="1">
      <alignment horizontal="right" vertical="center" wrapText="1"/>
    </xf>
    <xf numFmtId="358" fontId="8" fillId="76" borderId="0" xfId="0" applyNumberFormat="1" applyFont="1" applyFill="1"/>
    <xf numFmtId="0" fontId="0" fillId="76" borderId="0" xfId="0" applyNumberFormat="1" applyFont="1" applyFill="1" applyBorder="1" applyAlignment="1">
      <alignment horizontal="left" indent="1"/>
    </xf>
    <xf numFmtId="0" fontId="0" fillId="76" borderId="0" xfId="0" applyNumberFormat="1" applyFont="1" applyFill="1"/>
    <xf numFmtId="0" fontId="0" fillId="100" borderId="0" xfId="0" applyFill="1"/>
    <xf numFmtId="0" fontId="19" fillId="100" borderId="0" xfId="0" applyFont="1" applyFill="1"/>
    <xf numFmtId="0" fontId="8" fillId="0" borderId="0" xfId="1356" applyFont="1" applyBorder="1" applyAlignment="1">
      <alignment horizontal="left" vertical="center" indent="2"/>
    </xf>
    <xf numFmtId="327" fontId="8" fillId="0" borderId="74" xfId="1356" applyNumberFormat="1" applyFont="1" applyBorder="1" applyAlignment="1">
      <alignment horizontal="left" vertical="center" indent="1"/>
    </xf>
    <xf numFmtId="0" fontId="8" fillId="0" borderId="73" xfId="0" applyFont="1" applyBorder="1"/>
    <xf numFmtId="0" fontId="8" fillId="0" borderId="93" xfId="0" applyFont="1" applyBorder="1"/>
    <xf numFmtId="327" fontId="8" fillId="0" borderId="13" xfId="1356" applyNumberFormat="1" applyFont="1" applyBorder="1" applyAlignment="1">
      <alignment horizontal="left" vertical="center" indent="1"/>
    </xf>
    <xf numFmtId="206" fontId="8" fillId="0" borderId="0" xfId="0" applyNumberFormat="1" applyFont="1" applyBorder="1"/>
    <xf numFmtId="206" fontId="8" fillId="0" borderId="46" xfId="0" applyNumberFormat="1" applyFont="1" applyBorder="1"/>
    <xf numFmtId="4" fontId="8" fillId="0" borderId="0" xfId="0" applyNumberFormat="1" applyFont="1" applyBorder="1"/>
    <xf numFmtId="4" fontId="8" fillId="0" borderId="46" xfId="0" applyNumberFormat="1" applyFont="1" applyBorder="1"/>
    <xf numFmtId="206" fontId="8" fillId="0" borderId="13" xfId="1362" applyNumberFormat="1" applyFont="1" applyBorder="1" applyAlignment="1">
      <alignment horizontal="left" vertical="center" indent="1"/>
    </xf>
    <xf numFmtId="327" fontId="8" fillId="0" borderId="0" xfId="0" applyNumberFormat="1" applyFont="1" applyBorder="1"/>
    <xf numFmtId="327" fontId="8" fillId="0" borderId="46" xfId="0" applyNumberFormat="1" applyFont="1" applyBorder="1"/>
    <xf numFmtId="0" fontId="8" fillId="0" borderId="94" xfId="1356" applyFont="1" applyBorder="1" applyAlignment="1">
      <alignment horizontal="left" vertical="center" indent="1"/>
    </xf>
    <xf numFmtId="0" fontId="8" fillId="0" borderId="52" xfId="0" applyFont="1" applyBorder="1"/>
    <xf numFmtId="327" fontId="8" fillId="0" borderId="95" xfId="0" applyNumberFormat="1" applyFont="1" applyBorder="1"/>
    <xf numFmtId="227" fontId="158" fillId="0" borderId="0" xfId="0" applyNumberFormat="1" applyFont="1" applyAlignment="1">
      <alignment vertical="center"/>
    </xf>
    <xf numFmtId="227" fontId="158" fillId="0" borderId="67" xfId="0" applyNumberFormat="1" applyFont="1" applyBorder="1" applyAlignment="1">
      <alignment vertical="center"/>
    </xf>
    <xf numFmtId="227" fontId="158" fillId="0" borderId="5" xfId="0" applyNumberFormat="1" applyFont="1" applyBorder="1" applyAlignment="1">
      <alignment vertical="center"/>
    </xf>
    <xf numFmtId="227" fontId="158" fillId="0" borderId="68" xfId="0" applyNumberFormat="1" applyFont="1" applyBorder="1" applyAlignment="1">
      <alignment vertical="center"/>
    </xf>
    <xf numFmtId="227" fontId="158" fillId="0" borderId="88" xfId="0" applyNumberFormat="1" applyFont="1" applyBorder="1" applyAlignment="1">
      <alignment vertical="center"/>
    </xf>
    <xf numFmtId="327" fontId="0" fillId="76" borderId="0" xfId="0" applyNumberFormat="1" applyFont="1" applyFill="1" applyBorder="1" applyAlignment="1">
      <alignment horizontal="right"/>
    </xf>
    <xf numFmtId="327" fontId="0" fillId="76" borderId="81" xfId="0" applyNumberFormat="1" applyFont="1" applyFill="1" applyBorder="1" applyAlignment="1">
      <alignment horizontal="right"/>
    </xf>
    <xf numFmtId="327" fontId="13" fillId="2" borderId="8" xfId="0" applyNumberFormat="1" applyFont="1" applyFill="1" applyBorder="1" applyAlignment="1">
      <alignment vertical="center"/>
    </xf>
    <xf numFmtId="327" fontId="13" fillId="2" borderId="70" xfId="0" applyNumberFormat="1" applyFont="1" applyFill="1" applyBorder="1" applyAlignment="1">
      <alignment vertical="center"/>
    </xf>
    <xf numFmtId="327" fontId="13" fillId="2" borderId="8" xfId="0" applyNumberFormat="1" applyFont="1" applyFill="1" applyBorder="1" applyAlignment="1">
      <alignment horizontal="right" vertical="center"/>
    </xf>
    <xf numFmtId="327" fontId="13" fillId="2" borderId="70" xfId="0" applyNumberFormat="1" applyFont="1" applyFill="1" applyBorder="1" applyAlignment="1">
      <alignment horizontal="right" vertical="center"/>
    </xf>
    <xf numFmtId="327" fontId="158" fillId="76" borderId="0" xfId="1187" applyNumberFormat="1" applyFont="1" applyFill="1" applyBorder="1" applyAlignment="1">
      <alignment horizontal="right" vertical="center" wrapText="1"/>
    </xf>
    <xf numFmtId="327" fontId="158" fillId="76" borderId="7" xfId="1187" applyNumberFormat="1" applyFont="1" applyFill="1" applyBorder="1" applyAlignment="1">
      <alignment horizontal="right" vertical="center" wrapText="1"/>
    </xf>
    <xf numFmtId="188" fontId="0" fillId="76" borderId="0" xfId="0" applyNumberFormat="1" applyFont="1" applyFill="1" applyAlignment="1">
      <alignment horizontal="right"/>
    </xf>
    <xf numFmtId="188" fontId="0" fillId="76" borderId="7" xfId="0" applyNumberFormat="1" applyFont="1" applyFill="1" applyBorder="1" applyAlignment="1">
      <alignment horizontal="right"/>
    </xf>
    <xf numFmtId="0" fontId="19" fillId="0" borderId="0" xfId="0" applyFont="1" applyAlignment="1">
      <alignment horizontal="center" vertical="center"/>
    </xf>
    <xf numFmtId="0" fontId="12" fillId="76" borderId="69" xfId="507" applyNumberFormat="1" applyFont="1" applyFill="1" applyBorder="1" applyAlignment="1">
      <alignment horizontal="center"/>
    </xf>
    <xf numFmtId="0" fontId="12" fillId="76" borderId="70" xfId="507" applyNumberFormat="1" applyFont="1" applyFill="1" applyBorder="1" applyAlignment="1">
      <alignment horizontal="center"/>
    </xf>
    <xf numFmtId="8" fontId="12" fillId="101" borderId="47" xfId="0" applyNumberFormat="1" applyFont="1" applyFill="1" applyBorder="1"/>
    <xf numFmtId="0" fontId="12" fillId="101" borderId="48" xfId="1356" applyFont="1" applyFill="1" applyBorder="1" applyAlignment="1">
      <alignment horizontal="left" vertical="center" indent="1"/>
    </xf>
    <xf numFmtId="299" fontId="39" fillId="0" borderId="0" xfId="0" applyNumberFormat="1" applyFont="1" applyBorder="1"/>
    <xf numFmtId="267" fontId="39" fillId="0" borderId="0" xfId="0" applyNumberFormat="1" applyFont="1"/>
    <xf numFmtId="206" fontId="39" fillId="0" borderId="46" xfId="0" applyNumberFormat="1" applyFont="1" applyBorder="1"/>
    <xf numFmtId="206" fontId="39" fillId="0" borderId="0" xfId="0" applyNumberFormat="1" applyFont="1" applyBorder="1"/>
    <xf numFmtId="206" fontId="327" fillId="0" borderId="0" xfId="0" applyNumberFormat="1" applyFont="1"/>
    <xf numFmtId="44" fontId="13" fillId="101" borderId="9" xfId="0" applyNumberFormat="1" applyFont="1" applyFill="1" applyBorder="1" applyAlignment="1">
      <alignment vertical="center"/>
    </xf>
    <xf numFmtId="44" fontId="13" fillId="101" borderId="0" xfId="0" applyNumberFormat="1" applyFont="1" applyFill="1" applyBorder="1" applyAlignment="1">
      <alignment vertical="center"/>
    </xf>
  </cellXfs>
  <cellStyles count="1558">
    <cellStyle name="-" xfId="939" xr:uid="{00000000-0005-0000-0000-000000000000}"/>
    <cellStyle name="          _x000d__x000a_386grabber=VGA.3GR_x000d__x000a_" xfId="1" xr:uid="{00000000-0005-0000-0000-000001000000}"/>
    <cellStyle name=" 1" xfId="940" xr:uid="{00000000-0005-0000-0000-000002000000}"/>
    <cellStyle name="# Assets" xfId="941" xr:uid="{00000000-0005-0000-0000-000003000000}"/>
    <cellStyle name="#,##-" xfId="1363" xr:uid="{00000000-0005-0000-0000-000004000000}"/>
    <cellStyle name="#,##0" xfId="1364" xr:uid="{00000000-0005-0000-0000-000005000000}"/>
    <cellStyle name="#,##0%" xfId="1365" xr:uid="{00000000-0005-0000-0000-000006000000}"/>
    <cellStyle name="#,##0.0%" xfId="1366" xr:uid="{00000000-0005-0000-0000-000007000000}"/>
    <cellStyle name="#,##0_),(#,##0)" xfId="1367" xr:uid="{00000000-0005-0000-0000-000008000000}"/>
    <cellStyle name="$" xfId="1368" xr:uid="{00000000-0005-0000-0000-000009000000}"/>
    <cellStyle name="$ 1 decimal" xfId="942" xr:uid="{00000000-0005-0000-0000-00000A000000}"/>
    <cellStyle name="$_ADI" xfId="1369" xr:uid="{00000000-0005-0000-0000-00000B000000}"/>
    <cellStyle name="$_ADI_1" xfId="1370" xr:uid="{00000000-0005-0000-0000-00000C000000}"/>
    <cellStyle name="$_ADI_ADI" xfId="1371" xr:uid="{00000000-0005-0000-0000-00000D000000}"/>
    <cellStyle name="$_ALTR" xfId="1372" xr:uid="{00000000-0005-0000-0000-00000E000000}"/>
    <cellStyle name="$_BRCM" xfId="1373" xr:uid="{00000000-0005-0000-0000-00000F000000}"/>
    <cellStyle name="$_BRCM_ADI" xfId="1374" xr:uid="{00000000-0005-0000-0000-000010000000}"/>
    <cellStyle name="$_BS" xfId="1375" xr:uid="{00000000-0005-0000-0000-000011000000}"/>
    <cellStyle name="$_BS_ADI" xfId="1376" xr:uid="{00000000-0005-0000-0000-000012000000}"/>
    <cellStyle name="$_BS_BRCM New BM" xfId="1377" xr:uid="{00000000-0005-0000-0000-000013000000}"/>
    <cellStyle name="$_BS_MRVL" xfId="1378" xr:uid="{00000000-0005-0000-0000-000014000000}"/>
    <cellStyle name="$_BS_MRVL_ADI" xfId="1379" xr:uid="{00000000-0005-0000-0000-000015000000}"/>
    <cellStyle name="$_BS_MU IP PT fix" xfId="1380" xr:uid="{00000000-0005-0000-0000-000016000000}"/>
    <cellStyle name="$_BS_MU IP PT fix_ADI" xfId="1381" xr:uid="{00000000-0005-0000-0000-000017000000}"/>
    <cellStyle name="$_BS_SNDK" xfId="1382" xr:uid="{00000000-0005-0000-0000-000018000000}"/>
    <cellStyle name="$_Comps Freedman" xfId="1383" xr:uid="{00000000-0005-0000-0000-000019000000}"/>
    <cellStyle name="$_Comps Freedman_1" xfId="1384" xr:uid="{00000000-0005-0000-0000-00001A000000}"/>
    <cellStyle name="$_Comps Freedman_1_ADI" xfId="1385" xr:uid="{00000000-0005-0000-0000-00001B000000}"/>
    <cellStyle name="$_Comps Freedman_1_ADI_1" xfId="1386" xr:uid="{00000000-0005-0000-0000-00001C000000}"/>
    <cellStyle name="$_Comps Freedman_1_ADI_ADI" xfId="1387" xr:uid="{00000000-0005-0000-0000-00001D000000}"/>
    <cellStyle name="$_Comps Freedman_1_AVGO" xfId="1388" xr:uid="{00000000-0005-0000-0000-00001E000000}"/>
    <cellStyle name="$_Comps Freedman_1_AVGO init rev2" xfId="1389" xr:uid="{00000000-0005-0000-0000-00001F000000}"/>
    <cellStyle name="$_Comps Freedman_1_BRCM" xfId="1390" xr:uid="{00000000-0005-0000-0000-000020000000}"/>
    <cellStyle name="$_Comps Freedman_1_BRCM_ADI" xfId="1391" xr:uid="{00000000-0005-0000-0000-000021000000}"/>
    <cellStyle name="$_Comps Freedman_1_CY New" xfId="1392" xr:uid="{00000000-0005-0000-0000-000022000000}"/>
    <cellStyle name="$_Comps Freedman_1_CY New_ADI" xfId="1393" xr:uid="{00000000-0005-0000-0000-000023000000}"/>
    <cellStyle name="$_Comps Freedman_1_CY New_AVGO" xfId="1394" xr:uid="{00000000-0005-0000-0000-000024000000}"/>
    <cellStyle name="$_Comps Freedman_1_CY New_BRCM New BM" xfId="1395" xr:uid="{00000000-0005-0000-0000-000025000000}"/>
    <cellStyle name="$_Comps Freedman_1_CY New_INTC" xfId="1396" xr:uid="{00000000-0005-0000-0000-000026000000}"/>
    <cellStyle name="$_Comps Freedman_1_CY New_MRVL" xfId="1397" xr:uid="{00000000-0005-0000-0000-000027000000}"/>
    <cellStyle name="$_Comps Freedman_1_CY New_MU" xfId="1398" xr:uid="{00000000-0005-0000-0000-000028000000}"/>
    <cellStyle name="$_Comps Freedman_1_CY New_NVDA" xfId="1399" xr:uid="{00000000-0005-0000-0000-000029000000}"/>
    <cellStyle name="$_Comps Freedman_1_CY New_SNDK" xfId="1400" xr:uid="{00000000-0005-0000-0000-00002A000000}"/>
    <cellStyle name="$_Comps Freedman_1_INTC" xfId="1401" xr:uid="{00000000-0005-0000-0000-00002B000000}"/>
    <cellStyle name="$_Comps Freedman_1_INTC 2Q 2014 New Guidance" xfId="1402" xr:uid="{00000000-0005-0000-0000-00002C000000}"/>
    <cellStyle name="$_Comps Freedman_1_INTC_ADI" xfId="1403" xr:uid="{00000000-0005-0000-0000-00002D000000}"/>
    <cellStyle name="$_Comps Freedman_1_IS" xfId="1404" xr:uid="{00000000-0005-0000-0000-00002E000000}"/>
    <cellStyle name="$_Comps Freedman_1_IS_ADI" xfId="1405" xr:uid="{00000000-0005-0000-0000-00002F000000}"/>
    <cellStyle name="$_Comps Freedman_1_IS_AVGO" xfId="1406" xr:uid="{00000000-0005-0000-0000-000030000000}"/>
    <cellStyle name="$_Comps Freedman_1_IS_BRCM New BM" xfId="1407" xr:uid="{00000000-0005-0000-0000-000031000000}"/>
    <cellStyle name="$_Comps Freedman_1_IS_INTC" xfId="1408" xr:uid="{00000000-0005-0000-0000-000032000000}"/>
    <cellStyle name="$_Comps Freedman_1_IS_MRVL" xfId="1409" xr:uid="{00000000-0005-0000-0000-000033000000}"/>
    <cellStyle name="$_Comps Freedman_1_IS_MU" xfId="1410" xr:uid="{00000000-0005-0000-0000-000034000000}"/>
    <cellStyle name="$_Comps Freedman_1_IS_NVDA" xfId="1411" xr:uid="{00000000-0005-0000-0000-000035000000}"/>
    <cellStyle name="$_Comps Freedman_1_IS_SNDK" xfId="1412" xr:uid="{00000000-0005-0000-0000-000036000000}"/>
    <cellStyle name="$_Comps Freedman_1_MRVL" xfId="1413" xr:uid="{00000000-0005-0000-0000-000037000000}"/>
    <cellStyle name="$_Comps Freedman_1_MRVL_ADI" xfId="1414" xr:uid="{00000000-0005-0000-0000-000038000000}"/>
    <cellStyle name="$_Comps Freedman_1_MU" xfId="1415" xr:uid="{00000000-0005-0000-0000-000039000000}"/>
    <cellStyle name="$_Comps Freedman_1_MU_ADI" xfId="1416" xr:uid="{00000000-0005-0000-0000-00003A000000}"/>
    <cellStyle name="$_Comps Freedman_1_NVDA" xfId="1417" xr:uid="{00000000-0005-0000-0000-00003B000000}"/>
    <cellStyle name="$_Comps Freedman_1_NVDA_ADI" xfId="1418" xr:uid="{00000000-0005-0000-0000-00003C000000}"/>
    <cellStyle name="$_Comps Freedman_1_SNDK" xfId="1419" xr:uid="{00000000-0005-0000-0000-00003D000000}"/>
    <cellStyle name="$_Comps Freedman_1_SNDK_1" xfId="1420" xr:uid="{00000000-0005-0000-0000-00003E000000}"/>
    <cellStyle name="$_Comps Freedman_1_SNDK_ADI" xfId="1421" xr:uid="{00000000-0005-0000-0000-00003F000000}"/>
    <cellStyle name="$_Comps Freedman_1_SNDK_AVGO" xfId="1422" xr:uid="{00000000-0005-0000-0000-000040000000}"/>
    <cellStyle name="$_Comps Freedman_1_SNDK_BRCM New BM" xfId="1423" xr:uid="{00000000-0005-0000-0000-000041000000}"/>
    <cellStyle name="$_Comps Freedman_1_SNDK_MRVL" xfId="1424" xr:uid="{00000000-0005-0000-0000-000042000000}"/>
    <cellStyle name="$_Comps Freedman_1_SNDK_MU" xfId="1425" xr:uid="{00000000-0005-0000-0000-000043000000}"/>
    <cellStyle name="$_Comps Freedman_1_SNDK_SNDK" xfId="1426" xr:uid="{00000000-0005-0000-0000-000044000000}"/>
    <cellStyle name="$_Comps Freedman_1_TXN" xfId="1427" xr:uid="{00000000-0005-0000-0000-000045000000}"/>
    <cellStyle name="$_Comps Freedman_1_TXN_ADI" xfId="1428" xr:uid="{00000000-0005-0000-0000-000046000000}"/>
    <cellStyle name="$_Comps Freedman_1_TXN_AVGO" xfId="1429" xr:uid="{00000000-0005-0000-0000-000047000000}"/>
    <cellStyle name="$_Comps Freedman_1_TXN_BRCM New BM" xfId="1430" xr:uid="{00000000-0005-0000-0000-000048000000}"/>
    <cellStyle name="$_Comps Freedman_1_TXN_MRVL" xfId="1431" xr:uid="{00000000-0005-0000-0000-000049000000}"/>
    <cellStyle name="$_Comps Freedman_1_TXN_MU" xfId="1432" xr:uid="{00000000-0005-0000-0000-00004A000000}"/>
    <cellStyle name="$_Comps Freedman_1_TXN_SNDK" xfId="1433" xr:uid="{00000000-0005-0000-0000-00004B000000}"/>
    <cellStyle name="$_Comps Freedman_ADI" xfId="1434" xr:uid="{00000000-0005-0000-0000-00004C000000}"/>
    <cellStyle name="$_Comps Freedman_ADI_1" xfId="1435" xr:uid="{00000000-0005-0000-0000-00004D000000}"/>
    <cellStyle name="$_Comps Freedman_ADI_ADI" xfId="1436" xr:uid="{00000000-0005-0000-0000-00004E000000}"/>
    <cellStyle name="$_Comps Freedman_ALTR" xfId="1437" xr:uid="{00000000-0005-0000-0000-00004F000000}"/>
    <cellStyle name="$_Comps Freedman_AVGO" xfId="1438" xr:uid="{00000000-0005-0000-0000-000050000000}"/>
    <cellStyle name="$_Comps Freedman_AVGO init rev2" xfId="1439" xr:uid="{00000000-0005-0000-0000-000051000000}"/>
    <cellStyle name="$_Comps Freedman_BRCM" xfId="1440" xr:uid="{00000000-0005-0000-0000-000052000000}"/>
    <cellStyle name="$_Comps Freedman_BRCM plus netl" xfId="1441" xr:uid="{00000000-0005-0000-0000-000053000000}"/>
    <cellStyle name="$_Comps Freedman_BRCM plus netl_ADI" xfId="1442" xr:uid="{00000000-0005-0000-0000-000054000000}"/>
    <cellStyle name="$_Comps Freedman_BRCM_ADI" xfId="1443" xr:uid="{00000000-0005-0000-0000-000055000000}"/>
    <cellStyle name="$_Comps Freedman_CY New" xfId="1444" xr:uid="{00000000-0005-0000-0000-000056000000}"/>
    <cellStyle name="$_Comps Freedman_CY New_ADI" xfId="1445" xr:uid="{00000000-0005-0000-0000-000057000000}"/>
    <cellStyle name="$_Comps Freedman_INTC" xfId="1446" xr:uid="{00000000-0005-0000-0000-000058000000}"/>
    <cellStyle name="$_Comps Freedman_INTC 10.6.11" xfId="1447" xr:uid="{00000000-0005-0000-0000-000059000000}"/>
    <cellStyle name="$_Comps Freedman_INTC 10.6.11_ADI" xfId="1448" xr:uid="{00000000-0005-0000-0000-00005A000000}"/>
    <cellStyle name="$_Comps Freedman_INTC_ADI" xfId="1449" xr:uid="{00000000-0005-0000-0000-00005B000000}"/>
    <cellStyle name="$_Comps Freedman_IS" xfId="1450" xr:uid="{00000000-0005-0000-0000-00005C000000}"/>
    <cellStyle name="$_Comps Freedman_IS_ADI" xfId="1451" xr:uid="{00000000-0005-0000-0000-00005D000000}"/>
    <cellStyle name="$_Comps Freedman_MRVL" xfId="1452" xr:uid="{00000000-0005-0000-0000-00005E000000}"/>
    <cellStyle name="$_Comps Freedman_MRVL_ADI" xfId="1453" xr:uid="{00000000-0005-0000-0000-00005F000000}"/>
    <cellStyle name="$_Comps Freedman_MU" xfId="1454" xr:uid="{00000000-0005-0000-0000-000060000000}"/>
    <cellStyle name="$_Comps Freedman_MU_ADI" xfId="1455" xr:uid="{00000000-0005-0000-0000-000061000000}"/>
    <cellStyle name="$_Comps Freedman_NVDA" xfId="1456" xr:uid="{00000000-0005-0000-0000-000062000000}"/>
    <cellStyle name="$_Comps Freedman_NVDA_ADI" xfId="1457" xr:uid="{00000000-0005-0000-0000-000063000000}"/>
    <cellStyle name="$_Comps Freedman_SNDK" xfId="1458" xr:uid="{00000000-0005-0000-0000-000064000000}"/>
    <cellStyle name="$_Comps Freedman_SNDK_ADI" xfId="1459" xr:uid="{00000000-0005-0000-0000-000065000000}"/>
    <cellStyle name="$_Comps Freedman_TXN" xfId="1460" xr:uid="{00000000-0005-0000-0000-000066000000}"/>
    <cellStyle name="$_Comps Freedman_TXN_ADI" xfId="1461" xr:uid="{00000000-0005-0000-0000-000067000000}"/>
    <cellStyle name="$_Copy of MXIM earl charts" xfId="1462" xr:uid="{00000000-0005-0000-0000-000068000000}"/>
    <cellStyle name="$_Copy of MXIM earl charts_ADI" xfId="1463" xr:uid="{00000000-0005-0000-0000-000069000000}"/>
    <cellStyle name="$_DCF" xfId="1464" xr:uid="{00000000-0005-0000-0000-00006A000000}"/>
    <cellStyle name="$_DCF - 2" xfId="1465" xr:uid="{00000000-0005-0000-0000-00006B000000}"/>
    <cellStyle name="$_DCF_1" xfId="1466" xr:uid="{00000000-0005-0000-0000-00006C000000}"/>
    <cellStyle name="$_DCF_1_ADI" xfId="1467" xr:uid="{00000000-0005-0000-0000-00006D000000}"/>
    <cellStyle name="$_DCF_1_ADI_1" xfId="1468" xr:uid="{00000000-0005-0000-0000-00006E000000}"/>
    <cellStyle name="$_DCF_1_ADI_ADI" xfId="1469" xr:uid="{00000000-0005-0000-0000-00006F000000}"/>
    <cellStyle name="$_DCF_1_AVGO" xfId="1470" xr:uid="{00000000-0005-0000-0000-000070000000}"/>
    <cellStyle name="$_DCF_1_AVGO init rev2" xfId="1471" xr:uid="{00000000-0005-0000-0000-000071000000}"/>
    <cellStyle name="$_DCF_1_BRCM" xfId="1472" xr:uid="{00000000-0005-0000-0000-000072000000}"/>
    <cellStyle name="$_DCF_1_BRCM plus netl" xfId="1473" xr:uid="{00000000-0005-0000-0000-000073000000}"/>
    <cellStyle name="$_DCF_1_BRCM plus netl_ADI" xfId="1474" xr:uid="{00000000-0005-0000-0000-000074000000}"/>
    <cellStyle name="$_DCF_1_BRCM_ADI" xfId="1475" xr:uid="{00000000-0005-0000-0000-000075000000}"/>
    <cellStyle name="$_DCF_1_Copy of PSMI DF" xfId="1476" xr:uid="{00000000-0005-0000-0000-000076000000}"/>
    <cellStyle name="$_DCF_1_CY" xfId="1477" xr:uid="{00000000-0005-0000-0000-000077000000}"/>
    <cellStyle name="$_DCF_1_CY New" xfId="1478" xr:uid="{00000000-0005-0000-0000-000078000000}"/>
    <cellStyle name="$_DCF_1_CY New_ADI" xfId="1479" xr:uid="{00000000-0005-0000-0000-000079000000}"/>
    <cellStyle name="$_DCF_1_CY_ADI" xfId="1480" xr:uid="{00000000-0005-0000-0000-00007A000000}"/>
    <cellStyle name="$_DCF_1_INTC" xfId="1481" xr:uid="{00000000-0005-0000-0000-00007B000000}"/>
    <cellStyle name="$_DCF_1_INTC 10.6.11" xfId="1482" xr:uid="{00000000-0005-0000-0000-00007C000000}"/>
    <cellStyle name="$_DCF_1_INTC 10.6.11_ADI" xfId="1483" xr:uid="{00000000-0005-0000-0000-00007D000000}"/>
    <cellStyle name="$_DCF_1_INTC_ADI" xfId="1484" xr:uid="{00000000-0005-0000-0000-00007E000000}"/>
    <cellStyle name="$_DCF_1_IS" xfId="1485" xr:uid="{00000000-0005-0000-0000-00007F000000}"/>
    <cellStyle name="$_DCF_1_IS_ADI" xfId="1486" xr:uid="{00000000-0005-0000-0000-000080000000}"/>
    <cellStyle name="$_DCF_1_MRVL" xfId="1487" xr:uid="{00000000-0005-0000-0000-000081000000}"/>
    <cellStyle name="$_DCF_1_MRVL_ADI" xfId="1488" xr:uid="{00000000-0005-0000-0000-000082000000}"/>
    <cellStyle name="$_DCF_1_MU" xfId="1489" xr:uid="{00000000-0005-0000-0000-000083000000}"/>
    <cellStyle name="$_DCF_1_MU_ADI" xfId="1490" xr:uid="{00000000-0005-0000-0000-000084000000}"/>
    <cellStyle name="$_DCF_1_MXIM" xfId="1491" xr:uid="{00000000-0005-0000-0000-000085000000}"/>
    <cellStyle name="$_DCF_1_MXIM_ADI" xfId="1492" xr:uid="{00000000-0005-0000-0000-000086000000}"/>
    <cellStyle name="$_DCF_1_NVDA" xfId="1493" xr:uid="{00000000-0005-0000-0000-000087000000}"/>
    <cellStyle name="$_DCF_1_NVDA_ADI" xfId="1494" xr:uid="{00000000-0005-0000-0000-000088000000}"/>
    <cellStyle name="$_DCF_1_NVDA_AVGO" xfId="1495" xr:uid="{00000000-0005-0000-0000-000089000000}"/>
    <cellStyle name="$_DCF_1_NVDA_BRCM New BM" xfId="1496" xr:uid="{00000000-0005-0000-0000-00008A000000}"/>
    <cellStyle name="$_DCF_1_NVDA_MRVL" xfId="1497" xr:uid="{00000000-0005-0000-0000-00008B000000}"/>
    <cellStyle name="$_DCF_1_NVDA_MU" xfId="1498" xr:uid="{00000000-0005-0000-0000-00008C000000}"/>
    <cellStyle name="$_DCF_1_NVDA_SNDK" xfId="1499" xr:uid="{00000000-0005-0000-0000-00008D000000}"/>
    <cellStyle name="$_DCF_1_SNDK" xfId="1500" xr:uid="{00000000-0005-0000-0000-00008E000000}"/>
    <cellStyle name="$_DCF_1_SNDK_1" xfId="1501" xr:uid="{00000000-0005-0000-0000-00008F000000}"/>
    <cellStyle name="$_DCF_1_SNDK_ADI" xfId="1502" xr:uid="{00000000-0005-0000-0000-000090000000}"/>
    <cellStyle name="$_DCF_1_SNDK_AVGO" xfId="1503" xr:uid="{00000000-0005-0000-0000-000091000000}"/>
    <cellStyle name="$_DCF_1_SNDK_BRCM New BM" xfId="1504" xr:uid="{00000000-0005-0000-0000-000092000000}"/>
    <cellStyle name="$_DCF_1_SNDK_MRVL" xfId="1505" xr:uid="{00000000-0005-0000-0000-000093000000}"/>
    <cellStyle name="$_DCF_1_SNDK_MU" xfId="1506" xr:uid="{00000000-0005-0000-0000-000094000000}"/>
    <cellStyle name="$_DCF_1_SNDK_SNDK" xfId="1507" xr:uid="{00000000-0005-0000-0000-000095000000}"/>
    <cellStyle name="$_DCF_1_TXN" xfId="1508" xr:uid="{00000000-0005-0000-0000-000096000000}"/>
    <cellStyle name="$_DCF_1_TXN_ADI" xfId="1509" xr:uid="{00000000-0005-0000-0000-000097000000}"/>
    <cellStyle name="$_DCF_ADI" xfId="1510" xr:uid="{00000000-0005-0000-0000-000098000000}"/>
    <cellStyle name="$_DCF_BRCM New BM" xfId="1511" xr:uid="{00000000-0005-0000-0000-000099000000}"/>
    <cellStyle name="$_DCF_MRVL" xfId="1512" xr:uid="{00000000-0005-0000-0000-00009A000000}"/>
    <cellStyle name="$_DCF_MRVL_ADI" xfId="1513" xr:uid="{00000000-0005-0000-0000-00009B000000}"/>
    <cellStyle name="$_DCF_MU IP PT fix" xfId="1514" xr:uid="{00000000-0005-0000-0000-00009C000000}"/>
    <cellStyle name="$_DCF_MU IP PT fix_ADI" xfId="1515" xr:uid="{00000000-0005-0000-0000-00009D000000}"/>
    <cellStyle name="$_DCF_SNDK" xfId="1516" xr:uid="{00000000-0005-0000-0000-00009E000000}"/>
    <cellStyle name="$_DRAM contract" xfId="1517" xr:uid="{00000000-0005-0000-0000-00009F000000}"/>
    <cellStyle name="$_INTC" xfId="1518" xr:uid="{00000000-0005-0000-0000-0000A0000000}"/>
    <cellStyle name="$_INTC_ADI" xfId="1519" xr:uid="{00000000-0005-0000-0000-0000A1000000}"/>
    <cellStyle name="$_IS" xfId="1520" xr:uid="{00000000-0005-0000-0000-0000A2000000}"/>
    <cellStyle name="$_IS_ADI" xfId="1521" xr:uid="{00000000-0005-0000-0000-0000A3000000}"/>
    <cellStyle name="$_IS_AVGO" xfId="1522" xr:uid="{00000000-0005-0000-0000-0000A4000000}"/>
    <cellStyle name="$_IS_BRCM New BM" xfId="1523" xr:uid="{00000000-0005-0000-0000-0000A5000000}"/>
    <cellStyle name="$_IS_MRVL" xfId="1524" xr:uid="{00000000-0005-0000-0000-0000A6000000}"/>
    <cellStyle name="$_IS_MU" xfId="1525" xr:uid="{00000000-0005-0000-0000-0000A7000000}"/>
    <cellStyle name="$_IS_SNDK" xfId="1526" xr:uid="{00000000-0005-0000-0000-0000A8000000}"/>
    <cellStyle name="$_MCHP" xfId="1527" xr:uid="{00000000-0005-0000-0000-0000A9000000}"/>
    <cellStyle name="$_MPWR" xfId="1528" xr:uid="{00000000-0005-0000-0000-0000AA000000}"/>
    <cellStyle name="$_MPWR_ADI" xfId="1529" xr:uid="{00000000-0005-0000-0000-0000AB000000}"/>
    <cellStyle name="$_MU" xfId="1530" xr:uid="{00000000-0005-0000-0000-0000AC000000}"/>
    <cellStyle name="$_MXIM" xfId="1531" xr:uid="{00000000-0005-0000-0000-0000AD000000}"/>
    <cellStyle name="$_MXIM_ADI" xfId="1532" xr:uid="{00000000-0005-0000-0000-0000AE000000}"/>
    <cellStyle name="$_NSM" xfId="1533" xr:uid="{00000000-0005-0000-0000-0000AF000000}"/>
    <cellStyle name="$_NSM_ADI" xfId="1534" xr:uid="{00000000-0005-0000-0000-0000B0000000}"/>
    <cellStyle name="$_NSM_AVGO" xfId="1535" xr:uid="{00000000-0005-0000-0000-0000B1000000}"/>
    <cellStyle name="$_NSM_BRCM New BM" xfId="1536" xr:uid="{00000000-0005-0000-0000-0000B2000000}"/>
    <cellStyle name="$_NSM_MRVL" xfId="1537" xr:uid="{00000000-0005-0000-0000-0000B3000000}"/>
    <cellStyle name="$_NSM_MU" xfId="1538" xr:uid="{00000000-0005-0000-0000-0000B4000000}"/>
    <cellStyle name="$_NSM_SNDK" xfId="1539" xr:uid="{00000000-0005-0000-0000-0000B5000000}"/>
    <cellStyle name="$_NVDA" xfId="1540" xr:uid="{00000000-0005-0000-0000-0000B6000000}"/>
    <cellStyle name="$_Sheet1" xfId="1541" xr:uid="{00000000-0005-0000-0000-0000B7000000}"/>
    <cellStyle name="$_SNDK" xfId="1542" xr:uid="{00000000-0005-0000-0000-0000B8000000}"/>
    <cellStyle name="$_SPWR" xfId="1543" xr:uid="{00000000-0005-0000-0000-0000B9000000}"/>
    <cellStyle name="$_Template Model" xfId="1544" xr:uid="{00000000-0005-0000-0000-0000BA000000}"/>
    <cellStyle name="$_Template Model_ADI" xfId="1545" xr:uid="{00000000-0005-0000-0000-0000BB000000}"/>
    <cellStyle name="$_Template Model_BRCM New BM" xfId="1546" xr:uid="{00000000-0005-0000-0000-0000BC000000}"/>
    <cellStyle name="$_Template Model_MRVL" xfId="1547" xr:uid="{00000000-0005-0000-0000-0000BD000000}"/>
    <cellStyle name="$_Template Model_MRVL_ADI" xfId="1548" xr:uid="{00000000-0005-0000-0000-0000BE000000}"/>
    <cellStyle name="$_Template Model_MU IP PT fix" xfId="1549" xr:uid="{00000000-0005-0000-0000-0000BF000000}"/>
    <cellStyle name="$_Template Model_MU IP PT fix_ADI" xfId="1550" xr:uid="{00000000-0005-0000-0000-0000C0000000}"/>
    <cellStyle name="$_Template Model_SNDK" xfId="1551" xr:uid="{00000000-0005-0000-0000-0000C1000000}"/>
    <cellStyle name="$3places" xfId="1552" xr:uid="{00000000-0005-0000-0000-0000C2000000}"/>
    <cellStyle name="$m" xfId="1553" xr:uid="{00000000-0005-0000-0000-0000C3000000}"/>
    <cellStyle name="$q" xfId="1554" xr:uid="{00000000-0005-0000-0000-0000C4000000}"/>
    <cellStyle name="$q*" xfId="1555" xr:uid="{00000000-0005-0000-0000-0000C5000000}"/>
    <cellStyle name="$q_ADI" xfId="1556" xr:uid="{00000000-0005-0000-0000-0000C6000000}"/>
    <cellStyle name="$qA" xfId="1557" xr:uid="{00000000-0005-0000-0000-0000C7000000}"/>
    <cellStyle name="%" xfId="518" xr:uid="{00000000-0005-0000-0000-0000C8000000}"/>
    <cellStyle name="******************************************" xfId="498" xr:uid="{00000000-0005-0000-0000-0000C9000000}"/>
    <cellStyle name="****************************************** 2" xfId="499" xr:uid="{00000000-0005-0000-0000-0000CA000000}"/>
    <cellStyle name="****************************************** 3" xfId="500" xr:uid="{00000000-0005-0000-0000-0000CB000000}"/>
    <cellStyle name=";;;" xfId="35" xr:uid="{00000000-0005-0000-0000-0000CC000000}"/>
    <cellStyle name="?‹æØ‚è [0.00]_Region Orders (2)" xfId="943" xr:uid="{00000000-0005-0000-0000-0000CD000000}"/>
    <cellStyle name="?‹æØ‚è_Region Orders (2)" xfId="944" xr:uid="{00000000-0005-0000-0000-0000CE000000}"/>
    <cellStyle name="?Q\?1@" xfId="519" xr:uid="{00000000-0005-0000-0000-0000CF000000}"/>
    <cellStyle name="_%(SignOnly)" xfId="520" xr:uid="{00000000-0005-0000-0000-0000D0000000}"/>
    <cellStyle name="_%(SignSpaceOnly)" xfId="521" xr:uid="{00000000-0005-0000-0000-0000D1000000}"/>
    <cellStyle name="_19,20,21" xfId="36" xr:uid="{00000000-0005-0000-0000-0000D2000000}"/>
    <cellStyle name="_3.2.2. МЭФ_14.08.06" xfId="37" xr:uid="{00000000-0005-0000-0000-0000D3000000}"/>
    <cellStyle name="_3_1_1 Производственная программа" xfId="38" xr:uid="{00000000-0005-0000-0000-0000D4000000}"/>
    <cellStyle name="_3_2_2 Смета затрат" xfId="39" xr:uid="{00000000-0005-0000-0000-0000D5000000}"/>
    <cellStyle name="_3_2_9 ФЗП_испр_v2" xfId="40" xr:uid="{00000000-0005-0000-0000-0000D6000000}"/>
    <cellStyle name="_3_5_1Capex19_v2" xfId="41" xr:uid="{00000000-0005-0000-0000-0000D7000000}"/>
    <cellStyle name="_3_5_2 CAPEX_20_v2" xfId="42" xr:uid="{00000000-0005-0000-0000-0000D8000000}"/>
    <cellStyle name="_CAPEX 2006 (18.11.2005)" xfId="43" xr:uid="{00000000-0005-0000-0000-0000D9000000}"/>
    <cellStyle name="_Comma" xfId="522" xr:uid="{00000000-0005-0000-0000-0000DA000000}"/>
    <cellStyle name="_Comma_01 adj for merger plan" xfId="945" xr:uid="{00000000-0005-0000-0000-0000DB000000}"/>
    <cellStyle name="_Comma_Ability to Pay Analysis" xfId="946" xr:uid="{00000000-0005-0000-0000-0000DC000000}"/>
    <cellStyle name="_Comma_AFL" xfId="947" xr:uid="{00000000-0005-0000-0000-0000DD000000}"/>
    <cellStyle name="_Comma_AIZ" xfId="948" xr:uid="{00000000-0005-0000-0000-0000DE000000}"/>
    <cellStyle name="_Comma_AIZ04-Quantum2" xfId="949" xr:uid="{00000000-0005-0000-0000-0000DF000000}"/>
    <cellStyle name="_Comma_AMP" xfId="950" xr:uid="{00000000-0005-0000-0000-0000E0000000}"/>
    <cellStyle name="_Comma_Book1" xfId="951" xr:uid="{00000000-0005-0000-0000-0000E1000000}"/>
    <cellStyle name="_Comma_Book3" xfId="952" xr:uid="{00000000-0005-0000-0000-0000E2000000}"/>
    <cellStyle name="_Comma_CNO" xfId="953" xr:uid="{00000000-0005-0000-0000-0000E3000000}"/>
    <cellStyle name="_Comma_CNO04" xfId="954" xr:uid="{00000000-0005-0000-0000-0000E4000000}"/>
    <cellStyle name="_Comma_DCF Alexander Forbes" xfId="955" xr:uid="{00000000-0005-0000-0000-0000E5000000}"/>
    <cellStyle name="_Comma_fmbi counties" xfId="956" xr:uid="{00000000-0005-0000-0000-0000E6000000}"/>
    <cellStyle name="_Comma_FMBI MBHI Graphs" xfId="957" xr:uid="{00000000-0005-0000-0000-0000E7000000}"/>
    <cellStyle name="_Comma_FMBI MBHI Graphs 07102001" xfId="958" xr:uid="{00000000-0005-0000-0000-0000E8000000}"/>
    <cellStyle name="_Comma_FMBI MBHI Graphs_7601" xfId="959" xr:uid="{00000000-0005-0000-0000-0000E9000000}"/>
    <cellStyle name="_Comma_genworth model" xfId="960" xr:uid="{00000000-0005-0000-0000-0000EA000000}"/>
    <cellStyle name="_Comma_Insurance Brokerage CSC_1Q2002" xfId="961" xr:uid="{00000000-0005-0000-0000-0000EB000000}"/>
    <cellStyle name="_Comma_JP_LNC_spread_monitor (2)" xfId="962" xr:uid="{00000000-0005-0000-0000-0000EC000000}"/>
    <cellStyle name="_Comma_NFP" xfId="963" xr:uid="{00000000-0005-0000-0000-0000ED000000}"/>
    <cellStyle name="_Comma_NFS" xfId="964" xr:uid="{00000000-0005-0000-0000-0000EE000000}"/>
    <cellStyle name="_Comma_Overview3" xfId="965" xr:uid="{00000000-0005-0000-0000-0000EF000000}"/>
    <cellStyle name="_Comma_phil data" xfId="966" xr:uid="{00000000-0005-0000-0000-0000F0000000}"/>
    <cellStyle name="_Comma_Price Performance Charts" xfId="967" xr:uid="{00000000-0005-0000-0000-0000F1000000}"/>
    <cellStyle name="_Comma_Quarterly Review by Company" xfId="968" xr:uid="{00000000-0005-0000-0000-0000F2000000}"/>
    <cellStyle name="_Comma_SFG Data File" xfId="969" xr:uid="{00000000-0005-0000-0000-0000F3000000}"/>
    <cellStyle name="_Comma_Sheet1" xfId="970" xr:uid="{00000000-0005-0000-0000-0000F4000000}"/>
    <cellStyle name="_Comma_Stock-QTR1 FDS" xfId="971" xr:uid="{00000000-0005-0000-0000-0000F5000000}"/>
    <cellStyle name="_Comma_Updated Valuation Changes" xfId="972" xr:uid="{00000000-0005-0000-0000-0000F6000000}"/>
    <cellStyle name="_Comma_Valuation Graphs" xfId="973" xr:uid="{00000000-0005-0000-0000-0000F7000000}"/>
    <cellStyle name="_Comma_xratio - historical mkt val" xfId="974" xr:uid="{00000000-0005-0000-0000-0000F8000000}"/>
    <cellStyle name="_Cost usage rates 2008" xfId="44" xr:uid="{00000000-0005-0000-0000-0000F9000000}"/>
    <cellStyle name="_Currency" xfId="523" xr:uid="{00000000-0005-0000-0000-0000FA000000}"/>
    <cellStyle name="_Currency_01 adj for merger plan" xfId="975" xr:uid="{00000000-0005-0000-0000-0000FB000000}"/>
    <cellStyle name="_Currency_Ability to Pay Analysis" xfId="976" xr:uid="{00000000-0005-0000-0000-0000FC000000}"/>
    <cellStyle name="_Currency_AFL" xfId="977" xr:uid="{00000000-0005-0000-0000-0000FD000000}"/>
    <cellStyle name="_Currency_AIZ" xfId="978" xr:uid="{00000000-0005-0000-0000-0000FE000000}"/>
    <cellStyle name="_Currency_AMP" xfId="979" xr:uid="{00000000-0005-0000-0000-0000FF000000}"/>
    <cellStyle name="_Currency_Balance Sheet" xfId="980" xr:uid="{00000000-0005-0000-0000-000000010000}"/>
    <cellStyle name="_Currency_Book1" xfId="981" xr:uid="{00000000-0005-0000-0000-000001010000}"/>
    <cellStyle name="_Currency_Book29" xfId="982" xr:uid="{00000000-0005-0000-0000-000002010000}"/>
    <cellStyle name="_Currency_Book3" xfId="983" xr:uid="{00000000-0005-0000-0000-000003010000}"/>
    <cellStyle name="_Currency_Book3_1" xfId="984" xr:uid="{00000000-0005-0000-0000-000004010000}"/>
    <cellStyle name="_Currency_CNO" xfId="985" xr:uid="{00000000-0005-0000-0000-000005010000}"/>
    <cellStyle name="_Currency_DCF Alexander Forbes" xfId="986" xr:uid="{00000000-0005-0000-0000-000006010000}"/>
    <cellStyle name="_Currency_fmbi counties" xfId="987" xr:uid="{00000000-0005-0000-0000-000007010000}"/>
    <cellStyle name="_Currency_FMBI MBHI Graphs" xfId="988" xr:uid="{00000000-0005-0000-0000-000008010000}"/>
    <cellStyle name="_Currency_FMBI MBHI Graphs 07102001" xfId="989" xr:uid="{00000000-0005-0000-0000-000009010000}"/>
    <cellStyle name="_Currency_FMBI MBHI Graphs_7601" xfId="990" xr:uid="{00000000-0005-0000-0000-00000A010000}"/>
    <cellStyle name="_Currency_GNW" xfId="991" xr:uid="{00000000-0005-0000-0000-00000B010000}"/>
    <cellStyle name="_Currency_Insurance Brokerage CSC_1Q2002" xfId="992" xr:uid="{00000000-0005-0000-0000-00000C010000}"/>
    <cellStyle name="_Currency_JP" xfId="993" xr:uid="{00000000-0005-0000-0000-00000D010000}"/>
    <cellStyle name="_Currency_LNC" xfId="994" xr:uid="{00000000-0005-0000-0000-00000E010000}"/>
    <cellStyle name="_Currency_MET" xfId="995" xr:uid="{00000000-0005-0000-0000-00000F010000}"/>
    <cellStyle name="_Currency_MET04" xfId="996" xr:uid="{00000000-0005-0000-0000-000010010000}"/>
    <cellStyle name="_Currency_NFS" xfId="997" xr:uid="{00000000-0005-0000-0000-000011010000}"/>
    <cellStyle name="_Currency_Overview3" xfId="998" xr:uid="{00000000-0005-0000-0000-000012010000}"/>
    <cellStyle name="_Currency_phil data" xfId="999" xr:uid="{00000000-0005-0000-0000-000013010000}"/>
    <cellStyle name="_Currency_Price Performance Charts" xfId="1000" xr:uid="{00000000-0005-0000-0000-000014010000}"/>
    <cellStyle name="_Currency_PRU" xfId="1001" xr:uid="{00000000-0005-0000-0000-000015010000}"/>
    <cellStyle name="_Currency_PRU04" xfId="1002" xr:uid="{00000000-0005-0000-0000-000016010000}"/>
    <cellStyle name="_Currency_RiskReward" xfId="1003" xr:uid="{00000000-0005-0000-0000-000017010000}"/>
    <cellStyle name="_Currency_SFG" xfId="1004" xr:uid="{00000000-0005-0000-0000-000018010000}"/>
    <cellStyle name="_Currency_Sheet1" xfId="1005" xr:uid="{00000000-0005-0000-0000-000019010000}"/>
    <cellStyle name="_Currency_Stock-QTR1 FDS" xfId="1006" xr:uid="{00000000-0005-0000-0000-00001A010000}"/>
    <cellStyle name="_Currency_TMK" xfId="1007" xr:uid="{00000000-0005-0000-0000-00001B010000}"/>
    <cellStyle name="_Currency_Updated Valuation Changes" xfId="1008" xr:uid="{00000000-0005-0000-0000-00001C010000}"/>
    <cellStyle name="_Currency_Valuation Graphs" xfId="1009" xr:uid="{00000000-0005-0000-0000-00001D010000}"/>
    <cellStyle name="_Currency_xratio - historical mkt val" xfId="1010" xr:uid="{00000000-0005-0000-0000-00001E010000}"/>
    <cellStyle name="_CurrencySpace" xfId="524" xr:uid="{00000000-0005-0000-0000-00001F010000}"/>
    <cellStyle name="_CurrencySpace_01 adj for merger plan" xfId="1011" xr:uid="{00000000-0005-0000-0000-000020010000}"/>
    <cellStyle name="_CurrencySpace_Ability to Pay Analysis" xfId="1012" xr:uid="{00000000-0005-0000-0000-000021010000}"/>
    <cellStyle name="_CurrencySpace_AFL" xfId="1013" xr:uid="{00000000-0005-0000-0000-000022010000}"/>
    <cellStyle name="_CurrencySpace_AIZ" xfId="1014" xr:uid="{00000000-0005-0000-0000-000023010000}"/>
    <cellStyle name="_CurrencySpace_AMP" xfId="1015" xr:uid="{00000000-0005-0000-0000-000024010000}"/>
    <cellStyle name="_CurrencySpace_Balance Sheet" xfId="1016" xr:uid="{00000000-0005-0000-0000-000025010000}"/>
    <cellStyle name="_CurrencySpace_Book1" xfId="1017" xr:uid="{00000000-0005-0000-0000-000026010000}"/>
    <cellStyle name="_CurrencySpace_Book29" xfId="1018" xr:uid="{00000000-0005-0000-0000-000027010000}"/>
    <cellStyle name="_CurrencySpace_Book3" xfId="1019" xr:uid="{00000000-0005-0000-0000-000028010000}"/>
    <cellStyle name="_CurrencySpace_Book3_1" xfId="1020" xr:uid="{00000000-0005-0000-0000-000029010000}"/>
    <cellStyle name="_CurrencySpace_CNO" xfId="1021" xr:uid="{00000000-0005-0000-0000-00002A010000}"/>
    <cellStyle name="_CurrencySpace_DCF Alexander Forbes" xfId="1022" xr:uid="{00000000-0005-0000-0000-00002B010000}"/>
    <cellStyle name="_CurrencySpace_fmbi counties" xfId="1023" xr:uid="{00000000-0005-0000-0000-00002C010000}"/>
    <cellStyle name="_CurrencySpace_FMBI MBHI Graphs" xfId="1024" xr:uid="{00000000-0005-0000-0000-00002D010000}"/>
    <cellStyle name="_CurrencySpace_FMBI MBHI Graphs 07102001" xfId="1025" xr:uid="{00000000-0005-0000-0000-00002E010000}"/>
    <cellStyle name="_CurrencySpace_FMBI MBHI Graphs_7601" xfId="1026" xr:uid="{00000000-0005-0000-0000-00002F010000}"/>
    <cellStyle name="_CurrencySpace_GNW" xfId="1027" xr:uid="{00000000-0005-0000-0000-000030010000}"/>
    <cellStyle name="_CurrencySpace_Insurance Brokerage CSC_1Q2002" xfId="1028" xr:uid="{00000000-0005-0000-0000-000031010000}"/>
    <cellStyle name="_CurrencySpace_JP" xfId="1029" xr:uid="{00000000-0005-0000-0000-000032010000}"/>
    <cellStyle name="_CurrencySpace_LNC" xfId="1030" xr:uid="{00000000-0005-0000-0000-000033010000}"/>
    <cellStyle name="_CurrencySpace_MET" xfId="1031" xr:uid="{00000000-0005-0000-0000-000034010000}"/>
    <cellStyle name="_CurrencySpace_MET04" xfId="1032" xr:uid="{00000000-0005-0000-0000-000035010000}"/>
    <cellStyle name="_CurrencySpace_NFS" xfId="1033" xr:uid="{00000000-0005-0000-0000-000036010000}"/>
    <cellStyle name="_CurrencySpace_Overview3" xfId="1034" xr:uid="{00000000-0005-0000-0000-000037010000}"/>
    <cellStyle name="_CurrencySpace_phil data" xfId="1035" xr:uid="{00000000-0005-0000-0000-000038010000}"/>
    <cellStyle name="_CurrencySpace_Price Performance Charts" xfId="1036" xr:uid="{00000000-0005-0000-0000-000039010000}"/>
    <cellStyle name="_CurrencySpace_PRU" xfId="1037" xr:uid="{00000000-0005-0000-0000-00003A010000}"/>
    <cellStyle name="_CurrencySpace_PRU04" xfId="1038" xr:uid="{00000000-0005-0000-0000-00003B010000}"/>
    <cellStyle name="_CurrencySpace_RiskReward" xfId="1039" xr:uid="{00000000-0005-0000-0000-00003C010000}"/>
    <cellStyle name="_CurrencySpace_SFG" xfId="1040" xr:uid="{00000000-0005-0000-0000-00003D010000}"/>
    <cellStyle name="_CurrencySpace_Sheet1" xfId="1041" xr:uid="{00000000-0005-0000-0000-00003E010000}"/>
    <cellStyle name="_CurrencySpace_Stock-QTR1 FDS" xfId="1042" xr:uid="{00000000-0005-0000-0000-00003F010000}"/>
    <cellStyle name="_CurrencySpace_TMK" xfId="1043" xr:uid="{00000000-0005-0000-0000-000040010000}"/>
    <cellStyle name="_CurrencySpace_Updated Valuation Changes" xfId="1044" xr:uid="{00000000-0005-0000-0000-000041010000}"/>
    <cellStyle name="_CurrencySpace_Valuation Graphs" xfId="1045" xr:uid="{00000000-0005-0000-0000-000042010000}"/>
    <cellStyle name="_CurrencySpace_xratio - historical mkt val" xfId="1046" xr:uid="{00000000-0005-0000-0000-000043010000}"/>
    <cellStyle name="_Dollar" xfId="1047" xr:uid="{00000000-0005-0000-0000-000044010000}"/>
    <cellStyle name="_EAF_1400 TMT_budget_26-06-06 для меморандума корр " xfId="45" xr:uid="{00000000-0005-0000-0000-000045010000}"/>
    <cellStyle name="_Euro" xfId="525" xr:uid="{00000000-0005-0000-0000-000046010000}"/>
    <cellStyle name="_F FEB EBITDA " xfId="46" xr:uid="{00000000-0005-0000-0000-000047010000}"/>
    <cellStyle name="_for_BD_Пакет_форм2уровня_баз_final" xfId="47" xr:uid="{00000000-0005-0000-0000-000048010000}"/>
    <cellStyle name="_Gunshot DCF Model v.11 (disclosures) " xfId="48" xr:uid="{00000000-0005-0000-0000-000049010000}"/>
    <cellStyle name="_Heading" xfId="526" xr:uid="{00000000-0005-0000-0000-00004A010000}"/>
    <cellStyle name="_Heading_prestemp" xfId="1048" xr:uid="{00000000-0005-0000-0000-00004B010000}"/>
    <cellStyle name="_Highlight" xfId="527" xr:uid="{00000000-0005-0000-0000-00004C010000}"/>
    <cellStyle name="_MB2006_sample2006_баз" xfId="49" xr:uid="{00000000-0005-0000-0000-00004D010000}"/>
    <cellStyle name="_Multiple" xfId="528" xr:uid="{00000000-0005-0000-0000-00004E010000}"/>
    <cellStyle name="_Multiple_01 adj for merger plan" xfId="1049" xr:uid="{00000000-0005-0000-0000-00004F010000}"/>
    <cellStyle name="_Multiple_Ability to Pay Analysis" xfId="1050" xr:uid="{00000000-0005-0000-0000-000050010000}"/>
    <cellStyle name="_Multiple_AFL" xfId="1051" xr:uid="{00000000-0005-0000-0000-000051010000}"/>
    <cellStyle name="_Multiple_AIZ" xfId="1052" xr:uid="{00000000-0005-0000-0000-000052010000}"/>
    <cellStyle name="_Multiple_AMP" xfId="1053" xr:uid="{00000000-0005-0000-0000-000053010000}"/>
    <cellStyle name="_Multiple_Balance Sheet" xfId="1054" xr:uid="{00000000-0005-0000-0000-000054010000}"/>
    <cellStyle name="_Multiple_Book1" xfId="1055" xr:uid="{00000000-0005-0000-0000-000055010000}"/>
    <cellStyle name="_Multiple_Book29" xfId="1056" xr:uid="{00000000-0005-0000-0000-000056010000}"/>
    <cellStyle name="_Multiple_Book3" xfId="1057" xr:uid="{00000000-0005-0000-0000-000057010000}"/>
    <cellStyle name="_Multiple_Book3_1" xfId="1058" xr:uid="{00000000-0005-0000-0000-000058010000}"/>
    <cellStyle name="_Multiple_CNO" xfId="1059" xr:uid="{00000000-0005-0000-0000-000059010000}"/>
    <cellStyle name="_Multiple_DCF Alexander Forbes" xfId="1060" xr:uid="{00000000-0005-0000-0000-00005A010000}"/>
    <cellStyle name="_Multiple_fmbi counties" xfId="1061" xr:uid="{00000000-0005-0000-0000-00005B010000}"/>
    <cellStyle name="_Multiple_FMBI MBHI Graphs" xfId="1062" xr:uid="{00000000-0005-0000-0000-00005C010000}"/>
    <cellStyle name="_Multiple_FMBI MBHI Graphs 07102001" xfId="1063" xr:uid="{00000000-0005-0000-0000-00005D010000}"/>
    <cellStyle name="_Multiple_FMBI MBHI Graphs_7601" xfId="1064" xr:uid="{00000000-0005-0000-0000-00005E010000}"/>
    <cellStyle name="_Multiple_GNW" xfId="1065" xr:uid="{00000000-0005-0000-0000-00005F010000}"/>
    <cellStyle name="_Multiple_Insurance Brokerage CSC_1Q2002" xfId="1066" xr:uid="{00000000-0005-0000-0000-000060010000}"/>
    <cellStyle name="_Multiple_JP" xfId="1067" xr:uid="{00000000-0005-0000-0000-000061010000}"/>
    <cellStyle name="_Multiple_LNC" xfId="1068" xr:uid="{00000000-0005-0000-0000-000062010000}"/>
    <cellStyle name="_Multiple_MET" xfId="1069" xr:uid="{00000000-0005-0000-0000-000063010000}"/>
    <cellStyle name="_Multiple_MET04" xfId="1070" xr:uid="{00000000-0005-0000-0000-000064010000}"/>
    <cellStyle name="_Multiple_NFS" xfId="1071" xr:uid="{00000000-0005-0000-0000-000065010000}"/>
    <cellStyle name="_Multiple_Overview3" xfId="1072" xr:uid="{00000000-0005-0000-0000-000066010000}"/>
    <cellStyle name="_Multiple_phil data" xfId="1073" xr:uid="{00000000-0005-0000-0000-000067010000}"/>
    <cellStyle name="_Multiple_Price Performance Charts" xfId="1074" xr:uid="{00000000-0005-0000-0000-000068010000}"/>
    <cellStyle name="_Multiple_PRU" xfId="1075" xr:uid="{00000000-0005-0000-0000-000069010000}"/>
    <cellStyle name="_Multiple_PRU04" xfId="1076" xr:uid="{00000000-0005-0000-0000-00006A010000}"/>
    <cellStyle name="_Multiple_RiskReward" xfId="1077" xr:uid="{00000000-0005-0000-0000-00006B010000}"/>
    <cellStyle name="_Multiple_SFG" xfId="1078" xr:uid="{00000000-0005-0000-0000-00006C010000}"/>
    <cellStyle name="_Multiple_Sheet1" xfId="1079" xr:uid="{00000000-0005-0000-0000-00006D010000}"/>
    <cellStyle name="_Multiple_Stock-QTR1 FDS" xfId="1080" xr:uid="{00000000-0005-0000-0000-00006E010000}"/>
    <cellStyle name="_Multiple_TMK" xfId="1081" xr:uid="{00000000-0005-0000-0000-00006F010000}"/>
    <cellStyle name="_Multiple_Updated Valuation Changes" xfId="1082" xr:uid="{00000000-0005-0000-0000-000070010000}"/>
    <cellStyle name="_Multiple_Valuation Graphs" xfId="1083" xr:uid="{00000000-0005-0000-0000-000071010000}"/>
    <cellStyle name="_Multiple_xratio - historical mkt val" xfId="1084" xr:uid="{00000000-0005-0000-0000-000072010000}"/>
    <cellStyle name="_MultipleSpace" xfId="529" xr:uid="{00000000-0005-0000-0000-000073010000}"/>
    <cellStyle name="_MultipleSpace_01 adj for merger plan" xfId="1085" xr:uid="{00000000-0005-0000-0000-000074010000}"/>
    <cellStyle name="_MultipleSpace_Ability to Pay Analysis" xfId="1086" xr:uid="{00000000-0005-0000-0000-000075010000}"/>
    <cellStyle name="_MultipleSpace_AFL" xfId="1087" xr:uid="{00000000-0005-0000-0000-000076010000}"/>
    <cellStyle name="_MultipleSpace_AIZ" xfId="1088" xr:uid="{00000000-0005-0000-0000-000077010000}"/>
    <cellStyle name="_MultipleSpace_AMP" xfId="1089" xr:uid="{00000000-0005-0000-0000-000078010000}"/>
    <cellStyle name="_MultipleSpace_Balance Sheet" xfId="1090" xr:uid="{00000000-0005-0000-0000-000079010000}"/>
    <cellStyle name="_MultipleSpace_Book1" xfId="1091" xr:uid="{00000000-0005-0000-0000-00007A010000}"/>
    <cellStyle name="_MultipleSpace_Book29" xfId="1092" xr:uid="{00000000-0005-0000-0000-00007B010000}"/>
    <cellStyle name="_MultipleSpace_Book3" xfId="1093" xr:uid="{00000000-0005-0000-0000-00007C010000}"/>
    <cellStyle name="_MultipleSpace_Book3_1" xfId="1094" xr:uid="{00000000-0005-0000-0000-00007D010000}"/>
    <cellStyle name="_MultipleSpace_CNO" xfId="1095" xr:uid="{00000000-0005-0000-0000-00007E010000}"/>
    <cellStyle name="_MultipleSpace_DCF Alexander Forbes" xfId="1096" xr:uid="{00000000-0005-0000-0000-00007F010000}"/>
    <cellStyle name="_MultipleSpace_fmbi counties" xfId="1097" xr:uid="{00000000-0005-0000-0000-000080010000}"/>
    <cellStyle name="_MultipleSpace_FMBI MBHI Graphs" xfId="1098" xr:uid="{00000000-0005-0000-0000-000081010000}"/>
    <cellStyle name="_MultipleSpace_FMBI MBHI Graphs 07102001" xfId="1099" xr:uid="{00000000-0005-0000-0000-000082010000}"/>
    <cellStyle name="_MultipleSpace_FMBI MBHI Graphs_7601" xfId="1100" xr:uid="{00000000-0005-0000-0000-000083010000}"/>
    <cellStyle name="_MultipleSpace_GNW" xfId="1101" xr:uid="{00000000-0005-0000-0000-000084010000}"/>
    <cellStyle name="_MultipleSpace_Insurance Brokerage CSC_1Q2002" xfId="1102" xr:uid="{00000000-0005-0000-0000-000085010000}"/>
    <cellStyle name="_MultipleSpace_JP" xfId="1103" xr:uid="{00000000-0005-0000-0000-000086010000}"/>
    <cellStyle name="_MultipleSpace_LNC" xfId="1104" xr:uid="{00000000-0005-0000-0000-000087010000}"/>
    <cellStyle name="_MultipleSpace_MET" xfId="1105" xr:uid="{00000000-0005-0000-0000-000088010000}"/>
    <cellStyle name="_MultipleSpace_MET04" xfId="1106" xr:uid="{00000000-0005-0000-0000-000089010000}"/>
    <cellStyle name="_MultipleSpace_NFS" xfId="1107" xr:uid="{00000000-0005-0000-0000-00008A010000}"/>
    <cellStyle name="_MultipleSpace_Overview3" xfId="1108" xr:uid="{00000000-0005-0000-0000-00008B010000}"/>
    <cellStyle name="_MultipleSpace_phil data" xfId="1109" xr:uid="{00000000-0005-0000-0000-00008C010000}"/>
    <cellStyle name="_MultipleSpace_Price Performance Charts" xfId="1110" xr:uid="{00000000-0005-0000-0000-00008D010000}"/>
    <cellStyle name="_MultipleSpace_PRU" xfId="1111" xr:uid="{00000000-0005-0000-0000-00008E010000}"/>
    <cellStyle name="_MultipleSpace_PRU04" xfId="1112" xr:uid="{00000000-0005-0000-0000-00008F010000}"/>
    <cellStyle name="_MultipleSpace_RiskReward" xfId="1113" xr:uid="{00000000-0005-0000-0000-000090010000}"/>
    <cellStyle name="_MultipleSpace_SFG" xfId="1114" xr:uid="{00000000-0005-0000-0000-000091010000}"/>
    <cellStyle name="_MultipleSpace_Sheet1" xfId="1115" xr:uid="{00000000-0005-0000-0000-000092010000}"/>
    <cellStyle name="_MultipleSpace_Stock-QTR1 FDS" xfId="1116" xr:uid="{00000000-0005-0000-0000-000093010000}"/>
    <cellStyle name="_MultipleSpace_TMK" xfId="1117" xr:uid="{00000000-0005-0000-0000-000094010000}"/>
    <cellStyle name="_MultipleSpace_Updated Valuation Changes" xfId="1118" xr:uid="{00000000-0005-0000-0000-000095010000}"/>
    <cellStyle name="_MultipleSpace_Valuation Graphs" xfId="1119" xr:uid="{00000000-0005-0000-0000-000096010000}"/>
    <cellStyle name="_MultipleSpace_xratio - historical mkt val" xfId="1120" xr:uid="{00000000-0005-0000-0000-000097010000}"/>
    <cellStyle name="_NTMK forecast 2006-1" xfId="50" xr:uid="{00000000-0005-0000-0000-000098010000}"/>
    <cellStyle name="_NTMK forecast 2006-1 2" xfId="51" xr:uid="{00000000-0005-0000-0000-000099010000}"/>
    <cellStyle name="_NTMK forecast 2006-1 3" xfId="52" xr:uid="{00000000-0005-0000-0000-00009A010000}"/>
    <cellStyle name="_Percent" xfId="1121" xr:uid="{00000000-0005-0000-0000-00009B010000}"/>
    <cellStyle name="_Percent_DCF Alexander Forbes" xfId="1122" xr:uid="{00000000-0005-0000-0000-00009C010000}"/>
    <cellStyle name="_Percent_FMBI MBHI Graphs" xfId="1123" xr:uid="{00000000-0005-0000-0000-00009D010000}"/>
    <cellStyle name="_Percent_FMBI MBHI Graphs 07102001" xfId="1124" xr:uid="{00000000-0005-0000-0000-00009E010000}"/>
    <cellStyle name="_Percent_FMBI MBHI Graphs_7601" xfId="1125" xr:uid="{00000000-0005-0000-0000-00009F010000}"/>
    <cellStyle name="_PercentSpace" xfId="1126" xr:uid="{00000000-0005-0000-0000-0000A0010000}"/>
    <cellStyle name="_PercentSpace_01 adj for merger plan" xfId="1127" xr:uid="{00000000-0005-0000-0000-0000A1010000}"/>
    <cellStyle name="_PercentSpace_DCF Alexander Forbes" xfId="1128" xr:uid="{00000000-0005-0000-0000-0000A2010000}"/>
    <cellStyle name="_PercentSpace_FMBI MBHI Graphs" xfId="1129" xr:uid="{00000000-0005-0000-0000-0000A3010000}"/>
    <cellStyle name="_PercentSpace_FMBI MBHI Graphs 07102001" xfId="1130" xr:uid="{00000000-0005-0000-0000-0000A4010000}"/>
    <cellStyle name="_PercentSpace_FMBI MBHI Graphs_7601" xfId="1131" xr:uid="{00000000-0005-0000-0000-0000A5010000}"/>
    <cellStyle name="_Sales Template Budget 2008 revised" xfId="53" xr:uid="{00000000-0005-0000-0000-0000A6010000}"/>
    <cellStyle name="_SubHeading" xfId="530" xr:uid="{00000000-0005-0000-0000-0000A7010000}"/>
    <cellStyle name="_SubHeading_Ability to Pay Analysis" xfId="1132" xr:uid="{00000000-0005-0000-0000-0000A8010000}"/>
    <cellStyle name="_SubHeading_BankUnited Model" xfId="1133" xr:uid="{00000000-0005-0000-0000-0000A9010000}"/>
    <cellStyle name="_SubHeading_fmbi counties" xfId="1134" xr:uid="{00000000-0005-0000-0000-0000AA010000}"/>
    <cellStyle name="_SubHeading_FMBI MBHI Graphs" xfId="1135" xr:uid="{00000000-0005-0000-0000-0000AB010000}"/>
    <cellStyle name="_SubHeading_FMBI MBHI Graphs 07102001" xfId="1136" xr:uid="{00000000-0005-0000-0000-0000AC010000}"/>
    <cellStyle name="_SubHeading_FMBI MBHI Graphs_7601" xfId="1137" xr:uid="{00000000-0005-0000-0000-0000AD010000}"/>
    <cellStyle name="_SubHeading_prestemp" xfId="1138" xr:uid="{00000000-0005-0000-0000-0000AE010000}"/>
    <cellStyle name="_SubHeading_prestemp_Insurance Brokerage CSC_1Q2002" xfId="1139" xr:uid="{00000000-0005-0000-0000-0000AF010000}"/>
    <cellStyle name="_SubHeading_prestemp_Overview3" xfId="1140" xr:uid="{00000000-0005-0000-0000-0000B0010000}"/>
    <cellStyle name="_SubHeading_prestemp_Updated Valuation Changes" xfId="1141" xr:uid="{00000000-0005-0000-0000-0000B1010000}"/>
    <cellStyle name="_SubHeading_xratio - historical mkt val" xfId="1142" xr:uid="{00000000-0005-0000-0000-0000B2010000}"/>
    <cellStyle name="_SUMMARY " xfId="1143" xr:uid="{00000000-0005-0000-0000-0000B3010000}"/>
    <cellStyle name="_Table" xfId="531" xr:uid="{00000000-0005-0000-0000-0000B4010000}"/>
    <cellStyle name="_Table_Ability to Pay Analysis" xfId="1144" xr:uid="{00000000-0005-0000-0000-0000B5010000}"/>
    <cellStyle name="_Table_BankUnited Model" xfId="1145" xr:uid="{00000000-0005-0000-0000-0000B6010000}"/>
    <cellStyle name="_Table_fmbi counties" xfId="1146" xr:uid="{00000000-0005-0000-0000-0000B7010000}"/>
    <cellStyle name="_Table_xratio - historical mkt val" xfId="1147" xr:uid="{00000000-0005-0000-0000-0000B8010000}"/>
    <cellStyle name="_TableHead" xfId="532" xr:uid="{00000000-0005-0000-0000-0000B9010000}"/>
    <cellStyle name="_TableRowHead" xfId="533" xr:uid="{00000000-0005-0000-0000-0000BA010000}"/>
    <cellStyle name="_TableSuperHead" xfId="534" xr:uid="{00000000-0005-0000-0000-0000BB010000}"/>
    <cellStyle name="_TableSuperHead_Ability to Pay Analysis" xfId="1148" xr:uid="{00000000-0005-0000-0000-0000BC010000}"/>
    <cellStyle name="_TableSuperHead_BankUnited Model" xfId="1149" xr:uid="{00000000-0005-0000-0000-0000BD010000}"/>
    <cellStyle name="_TableSuperHead_fmbi counties" xfId="1150" xr:uid="{00000000-0005-0000-0000-0000BE010000}"/>
    <cellStyle name="_TableSuperHead_xratio - historical mkt val" xfId="1151" xr:uid="{00000000-0005-0000-0000-0000BF010000}"/>
    <cellStyle name="_UFOP" xfId="54" xr:uid="{00000000-0005-0000-0000-0000C0010000}"/>
    <cellStyle name="_VBAModel" xfId="1152" xr:uid="{00000000-0005-0000-0000-0000C1010000}"/>
    <cellStyle name="_Аналитические_признаки" xfId="55" xr:uid="{00000000-0005-0000-0000-0000C2010000}"/>
    <cellStyle name="_Аналитические_признаки - исправленная версия" xfId="56" xr:uid="{00000000-0005-0000-0000-0000C3010000}"/>
    <cellStyle name="_Единица отчетности_update" xfId="57" xr:uid="{00000000-0005-0000-0000-0000C4010000}"/>
    <cellStyle name="_ЗСМК отчет за январь 2006 (2005.12.27) план ЕХ" xfId="58" xr:uid="{00000000-0005-0000-0000-0000C5010000}"/>
    <cellStyle name="_ЗСМК отчет за январь 2006 (2006.01.10) план2 ЕХ" xfId="59" xr:uid="{00000000-0005-0000-0000-0000C6010000}"/>
    <cellStyle name="_Книга3__Расчет презентации бюджета_2008 рабоч " xfId="60" xr:uid="{00000000-0005-0000-0000-0000C7010000}"/>
    <cellStyle name="_Консолидация и отчетность - мастерданные" xfId="61" xr:uid="{00000000-0005-0000-0000-0000C8010000}"/>
    <cellStyle name="_Мощности_МП_исх_формы_ручного_ввода" xfId="62" xr:uid="{00000000-0005-0000-0000-0000C9010000}"/>
    <cellStyle name="_НКМК отчет по осв-ю квартальный " xfId="63" xr:uid="{00000000-0005-0000-0000-0000CA010000}"/>
    <cellStyle name="_Пакет №1 (Coal)" xfId="64" xr:uid="{00000000-0005-0000-0000-0000CB010000}"/>
    <cellStyle name="_Пакет ГОКи" xfId="65" xr:uid="{00000000-0005-0000-0000-0000CC010000}"/>
    <cellStyle name="_Пакет по МП" xfId="66" xr:uid="{00000000-0005-0000-0000-0000CD010000}"/>
    <cellStyle name="_Пакет_форм_2_уровня_ГОКи_модель" xfId="67" xr:uid="{00000000-0005-0000-0000-0000CE010000}"/>
    <cellStyle name="_Презентация бюджета 2006" xfId="68" xr:uid="{00000000-0005-0000-0000-0000CF010000}"/>
    <cellStyle name="_Прогноз освоения'05 ЗСМК (2005.11.02)ЕХ" xfId="69" xr:uid="{00000000-0005-0000-0000-0000D0010000}"/>
    <cellStyle name="_слайд КВ 2006" xfId="70" xr:uid="{00000000-0005-0000-0000-0000D1010000}"/>
    <cellStyle name="_Формуляры форм ручного ввода" xfId="71" xr:uid="{00000000-0005-0000-0000-0000D2010000}"/>
    <cellStyle name="_Формы - утверждено на СД" xfId="72" xr:uid="{00000000-0005-0000-0000-0000D3010000}"/>
    <cellStyle name="_Формы 2 уровня ЗСМК баз." xfId="73" xr:uid="{00000000-0005-0000-0000-0000D4010000}"/>
    <cellStyle name="_Формы 2 уровня ЗСМК баз.15.11 от Паньшина." xfId="74" xr:uid="{00000000-0005-0000-0000-0000D5010000}"/>
    <cellStyle name="_Формы 2 уровня(баз)" xfId="75" xr:uid="{00000000-0005-0000-0000-0000D6010000}"/>
    <cellStyle name="_Формы 2 уровня(баз)СД" xfId="76" xr:uid="{00000000-0005-0000-0000-0000D7010000}"/>
    <cellStyle name="’Ê‰Ý [0.00]_GE 3 MINIMUM" xfId="1153" xr:uid="{00000000-0005-0000-0000-0000D8010000}"/>
    <cellStyle name="’Ê‰Ý_GE 3 MINIMUM" xfId="1154" xr:uid="{00000000-0005-0000-0000-0000D9010000}"/>
    <cellStyle name="”ќђќ‘ћ‚›‰" xfId="77" xr:uid="{00000000-0005-0000-0000-0000DA010000}"/>
    <cellStyle name="”љ‘ђћ‚ђќќ›‰" xfId="78" xr:uid="{00000000-0005-0000-0000-0000DB010000}"/>
    <cellStyle name="„…ќ…†ќ›‰" xfId="79" xr:uid="{00000000-0005-0000-0000-0000DC010000}"/>
    <cellStyle name="„ђ’ђ" xfId="80" xr:uid="{00000000-0005-0000-0000-0000DD010000}"/>
    <cellStyle name="£ BP" xfId="535" xr:uid="{00000000-0005-0000-0000-0000DE010000}"/>
    <cellStyle name="¥ JY" xfId="536" xr:uid="{00000000-0005-0000-0000-0000DF010000}"/>
    <cellStyle name="=C:\WINNT35\SYSTEM32\COMMAND.COM" xfId="537" xr:uid="{00000000-0005-0000-0000-0000E0010000}"/>
    <cellStyle name="‡ђѓћ‹ћ‚ћљ1" xfId="81" xr:uid="{00000000-0005-0000-0000-0000E1010000}"/>
    <cellStyle name="‡ђѓћ‹ћ‚ћљ2" xfId="82" xr:uid="{00000000-0005-0000-0000-0000E2010000}"/>
    <cellStyle name="•W?_Pacific Region P&amp;L" xfId="1155" xr:uid="{00000000-0005-0000-0000-0000E3010000}"/>
    <cellStyle name="•W€_Comparables" xfId="1156" xr:uid="{00000000-0005-0000-0000-0000E4010000}"/>
    <cellStyle name="•W_GE 3 MINIMUM" xfId="1157" xr:uid="{00000000-0005-0000-0000-0000E5010000}"/>
    <cellStyle name="’ћѓћ‚›‰" xfId="83" xr:uid="{00000000-0005-0000-0000-0000E6010000}"/>
    <cellStyle name="0" xfId="538" xr:uid="{00000000-0005-0000-0000-0000E7010000}"/>
    <cellStyle name="0%" xfId="1158" xr:uid="{00000000-0005-0000-0000-0000E8010000}"/>
    <cellStyle name="0.0" xfId="1159" xr:uid="{00000000-0005-0000-0000-0000E9010000}"/>
    <cellStyle name="0.0%" xfId="1160" xr:uid="{00000000-0005-0000-0000-0000EA010000}"/>
    <cellStyle name="0.0_CALMODC-Modelware-test" xfId="1161" xr:uid="{00000000-0005-0000-0000-0000EB010000}"/>
    <cellStyle name="0.00" xfId="1162" xr:uid="{00000000-0005-0000-0000-0000EC010000}"/>
    <cellStyle name="0.00%" xfId="1163" xr:uid="{00000000-0005-0000-0000-0000ED010000}"/>
    <cellStyle name="0_BAYTRAF" xfId="1164" xr:uid="{00000000-0005-0000-0000-0000EE010000}"/>
    <cellStyle name="0_CALMODC-Modelware-test" xfId="1165" xr:uid="{00000000-0005-0000-0000-0000EF010000}"/>
    <cellStyle name="0_Capacity Module" xfId="1166" xr:uid="{00000000-0005-0000-0000-0000F0010000}"/>
    <cellStyle name="0_Capex &amp; Depreciation " xfId="1167" xr:uid="{00000000-0005-0000-0000-0000F1010000}"/>
    <cellStyle name="0_Cashflow" xfId="1168" xr:uid="{00000000-0005-0000-0000-0000F2010000}"/>
    <cellStyle name="0_Debt Module" xfId="1169" xr:uid="{00000000-0005-0000-0000-0000F3010000}"/>
    <cellStyle name="0_Eva-fs" xfId="1170" xr:uid="{00000000-0005-0000-0000-0000F4010000}"/>
    <cellStyle name="0_EVAMODC-Modelware" xfId="1171" xr:uid="{00000000-0005-0000-0000-0000F5010000}"/>
    <cellStyle name="0_Lease examples 04082004" xfId="1172" xr:uid="{00000000-0005-0000-0000-0000F6010000}"/>
    <cellStyle name="0_Lease examples 23072004" xfId="1173" xr:uid="{00000000-0005-0000-0000-0000F7010000}"/>
    <cellStyle name="0_Lease Module" xfId="1174" xr:uid="{00000000-0005-0000-0000-0000F8010000}"/>
    <cellStyle name="0_Lease Module Neptune Orient example 2004-06-29" xfId="1175" xr:uid="{00000000-0005-0000-0000-0000F9010000}"/>
    <cellStyle name="0_M&amp;S" xfId="1176" xr:uid="{00000000-0005-0000-0000-0000FA010000}"/>
    <cellStyle name="0_Next_Master" xfId="1177" xr:uid="{00000000-0005-0000-0000-0000FB010000}"/>
    <cellStyle name="0_NOLMODC-Modelware" xfId="1178" xr:uid="{00000000-0005-0000-0000-0000FC010000}"/>
    <cellStyle name="0_SIA-FS" xfId="1179" xr:uid="{00000000-0005-0000-0000-0000FD010000}"/>
    <cellStyle name="0_SIAMODC-Modelware" xfId="1180" xr:uid="{00000000-0005-0000-0000-0000FE010000}"/>
    <cellStyle name="0_Spreads" xfId="539" xr:uid="{00000000-0005-0000-0000-0000FF010000}"/>
    <cellStyle name="0_Valuing BP " xfId="1181" xr:uid="{00000000-0005-0000-0000-000000020000}"/>
    <cellStyle name="1" xfId="2" xr:uid="{00000000-0005-0000-0000-000001020000}"/>
    <cellStyle name="1,comma" xfId="1182" xr:uid="{00000000-0005-0000-0000-000002020000}"/>
    <cellStyle name="1000" xfId="84" xr:uid="{00000000-0005-0000-0000-000003020000}"/>
    <cellStyle name="1dec" xfId="1183" xr:uid="{00000000-0005-0000-0000-000004020000}"/>
    <cellStyle name="1Outputbox1" xfId="85" xr:uid="{00000000-0005-0000-0000-000005020000}"/>
    <cellStyle name="1Outputbox2" xfId="86" xr:uid="{00000000-0005-0000-0000-000006020000}"/>
    <cellStyle name="1Outputheader" xfId="87" xr:uid="{00000000-0005-0000-0000-000007020000}"/>
    <cellStyle name="1Outputheader2" xfId="88" xr:uid="{00000000-0005-0000-0000-000008020000}"/>
    <cellStyle name="1Outputsubtitle" xfId="89" xr:uid="{00000000-0005-0000-0000-000009020000}"/>
    <cellStyle name="1Outputtitle" xfId="90" xr:uid="{00000000-0005-0000-0000-00000A020000}"/>
    <cellStyle name="1Profileheader" xfId="91" xr:uid="{00000000-0005-0000-0000-00000B020000}"/>
    <cellStyle name="1Profilelowerbox" xfId="92" xr:uid="{00000000-0005-0000-0000-00000C020000}"/>
    <cellStyle name="1Profilesubheader" xfId="93" xr:uid="{00000000-0005-0000-0000-00000D020000}"/>
    <cellStyle name="1Profiletitle" xfId="94" xr:uid="{00000000-0005-0000-0000-00000E020000}"/>
    <cellStyle name="1Profiletopbox" xfId="95" xr:uid="{00000000-0005-0000-0000-00000F020000}"/>
    <cellStyle name="20% - Colore 1" xfId="96" xr:uid="{00000000-0005-0000-0000-000010020000}"/>
    <cellStyle name="20% - Colore 2" xfId="97" xr:uid="{00000000-0005-0000-0000-000011020000}"/>
    <cellStyle name="20% - Colore 3" xfId="98" xr:uid="{00000000-0005-0000-0000-000012020000}"/>
    <cellStyle name="20% - Colore 4" xfId="99" xr:uid="{00000000-0005-0000-0000-000013020000}"/>
    <cellStyle name="20% - Colore 5" xfId="100" xr:uid="{00000000-0005-0000-0000-000014020000}"/>
    <cellStyle name="20% - Colore 6" xfId="101" xr:uid="{00000000-0005-0000-0000-000015020000}"/>
    <cellStyle name="2wide" xfId="540" xr:uid="{00000000-0005-0000-0000-000016020000}"/>
    <cellStyle name="40% - Colore 1" xfId="102" xr:uid="{00000000-0005-0000-0000-000017020000}"/>
    <cellStyle name="40% - Colore 2" xfId="103" xr:uid="{00000000-0005-0000-0000-000018020000}"/>
    <cellStyle name="40% - Colore 3" xfId="104" xr:uid="{00000000-0005-0000-0000-000019020000}"/>
    <cellStyle name="40% - Colore 4" xfId="105" xr:uid="{00000000-0005-0000-0000-00001A020000}"/>
    <cellStyle name="40% - Colore 5" xfId="106" xr:uid="{00000000-0005-0000-0000-00001B020000}"/>
    <cellStyle name="40% - Colore 6" xfId="107" xr:uid="{00000000-0005-0000-0000-00001C020000}"/>
    <cellStyle name="60% - Colore 1" xfId="108" xr:uid="{00000000-0005-0000-0000-00001D020000}"/>
    <cellStyle name="60% - Colore 2" xfId="109" xr:uid="{00000000-0005-0000-0000-00001E020000}"/>
    <cellStyle name="60% - Colore 3" xfId="110" xr:uid="{00000000-0005-0000-0000-00001F020000}"/>
    <cellStyle name="60% - Colore 4" xfId="111" xr:uid="{00000000-0005-0000-0000-000020020000}"/>
    <cellStyle name="60% - Colore 5" xfId="112" xr:uid="{00000000-0005-0000-0000-000021020000}"/>
    <cellStyle name="60% - Colore 6" xfId="113" xr:uid="{00000000-0005-0000-0000-000022020000}"/>
    <cellStyle name="752131" xfId="1184" xr:uid="{00000000-0005-0000-0000-000023020000}"/>
    <cellStyle name="8pt" xfId="114" xr:uid="{00000000-0005-0000-0000-000024020000}"/>
    <cellStyle name="a" xfId="541" xr:uid="{00000000-0005-0000-0000-000025020000}"/>
    <cellStyle name="a_Simple lease example_guidance for % asset over liability" xfId="1185" xr:uid="{00000000-0005-0000-0000-000026020000}"/>
    <cellStyle name="Aaia?iue [0]_vaqduGfTSN7qyUJNWHRlcWo3H" xfId="115" xr:uid="{00000000-0005-0000-0000-000027020000}"/>
    <cellStyle name="Aaia?iue_vaqduGfTSN7qyUJNWHRlcWo3H" xfId="116" xr:uid="{00000000-0005-0000-0000-000028020000}"/>
    <cellStyle name="Äåíåæíûé [0]_vaqduGfTSN7qyUJNWHRlcWo3H" xfId="117" xr:uid="{00000000-0005-0000-0000-000029020000}"/>
    <cellStyle name="Äåíåæíûé_vaqduGfTSN7qyUJNWHRlcWo3H" xfId="118" xr:uid="{00000000-0005-0000-0000-00002A020000}"/>
    <cellStyle name="acct" xfId="119" xr:uid="{00000000-0005-0000-0000-00002B020000}"/>
    <cellStyle name="Acctg" xfId="1189" xr:uid="{00000000-0005-0000-0000-00002C020000}"/>
    <cellStyle name="Actual data" xfId="1190" xr:uid="{00000000-0005-0000-0000-00002D020000}"/>
    <cellStyle name="Actual year" xfId="1191" xr:uid="{00000000-0005-0000-0000-00002E020000}"/>
    <cellStyle name="Actuals Cells" xfId="1192" xr:uid="{00000000-0005-0000-0000-00002F020000}"/>
    <cellStyle name="AeE­ [0]_?A°??µAoC?" xfId="120" xr:uid="{00000000-0005-0000-0000-000030020000}"/>
    <cellStyle name="AeE­_?A°??µAoC?" xfId="121" xr:uid="{00000000-0005-0000-0000-000031020000}"/>
    <cellStyle name="Aeia?nnueea" xfId="122" xr:uid="{00000000-0005-0000-0000-000032020000}"/>
    <cellStyle name="AFE" xfId="123" xr:uid="{00000000-0005-0000-0000-000033020000}"/>
    <cellStyle name="AFE 2" xfId="124" xr:uid="{00000000-0005-0000-0000-000034020000}"/>
    <cellStyle name="AFE 3" xfId="125" xr:uid="{00000000-0005-0000-0000-000035020000}"/>
    <cellStyle name="afl" xfId="1193" xr:uid="{00000000-0005-0000-0000-000036020000}"/>
    <cellStyle name="Andre's Title" xfId="1194" xr:uid="{00000000-0005-0000-0000-000037020000}"/>
    <cellStyle name="args.style" xfId="542" xr:uid="{00000000-0005-0000-0000-000038020000}"/>
    <cellStyle name="Arial 10" xfId="126" xr:uid="{00000000-0005-0000-0000-000039020000}"/>
    <cellStyle name="Arial 10 2" xfId="127" xr:uid="{00000000-0005-0000-0000-00003A020000}"/>
    <cellStyle name="Arial 10 3" xfId="128" xr:uid="{00000000-0005-0000-0000-00003B020000}"/>
    <cellStyle name="Arial 12" xfId="129" xr:uid="{00000000-0005-0000-0000-00003C020000}"/>
    <cellStyle name="Arial 12 2" xfId="130" xr:uid="{00000000-0005-0000-0000-00003D020000}"/>
    <cellStyle name="Arial 12 3" xfId="131" xr:uid="{00000000-0005-0000-0000-00003E020000}"/>
    <cellStyle name="ArialNormal" xfId="543" xr:uid="{00000000-0005-0000-0000-00003F020000}"/>
    <cellStyle name="Balance" xfId="132" xr:uid="{00000000-0005-0000-0000-000040020000}"/>
    <cellStyle name="BalanceBold" xfId="133" xr:uid="{00000000-0005-0000-0000-000041020000}"/>
    <cellStyle name="Band 2" xfId="1195" xr:uid="{00000000-0005-0000-0000-000042020000}"/>
    <cellStyle name="BLACK" xfId="134" xr:uid="{00000000-0005-0000-0000-000043020000}"/>
    <cellStyle name="BlackStrike" xfId="544" xr:uid="{00000000-0005-0000-0000-000044020000}"/>
    <cellStyle name="BlackText" xfId="545" xr:uid="{00000000-0005-0000-0000-000045020000}"/>
    <cellStyle name="Blank" xfId="1196" xr:uid="{00000000-0005-0000-0000-000046020000}"/>
    <cellStyle name="blp_column_header" xfId="1197" xr:uid="{00000000-0005-0000-0000-000047020000}"/>
    <cellStyle name="Blue" xfId="135" xr:uid="{00000000-0005-0000-0000-000048020000}"/>
    <cellStyle name="Blue 2" xfId="1198" xr:uid="{00000000-0005-0000-0000-000049020000}"/>
    <cellStyle name="Blue Title" xfId="1199" xr:uid="{00000000-0005-0000-0000-00004A020000}"/>
    <cellStyle name="Body" xfId="136" xr:uid="{00000000-0005-0000-0000-00004B020000}"/>
    <cellStyle name="bold" xfId="546" xr:uid="{00000000-0005-0000-0000-00004C020000}"/>
    <cellStyle name="bold big" xfId="547" xr:uid="{00000000-0005-0000-0000-00004D020000}"/>
    <cellStyle name="Bold/Border" xfId="548" xr:uid="{00000000-0005-0000-0000-00004E020000}"/>
    <cellStyle name="bold_Spreads" xfId="549" xr:uid="{00000000-0005-0000-0000-00004F020000}"/>
    <cellStyle name="BoldText" xfId="550" xr:uid="{00000000-0005-0000-0000-000050020000}"/>
    <cellStyle name="Border" xfId="551" xr:uid="{00000000-0005-0000-0000-000051020000}"/>
    <cellStyle name="Border Heavy" xfId="552" xr:uid="{00000000-0005-0000-0000-000052020000}"/>
    <cellStyle name="Border Thin" xfId="553" xr:uid="{00000000-0005-0000-0000-000053020000}"/>
    <cellStyle name="Border_adsf" xfId="554" xr:uid="{00000000-0005-0000-0000-000054020000}"/>
    <cellStyle name="BRACKET" xfId="1200" xr:uid="{00000000-0005-0000-0000-000055020000}"/>
    <cellStyle name="British Pound" xfId="137" xr:uid="{00000000-0005-0000-0000-000056020000}"/>
    <cellStyle name="British Pound 2" xfId="138" xr:uid="{00000000-0005-0000-0000-000057020000}"/>
    <cellStyle name="British Pound 3" xfId="139" xr:uid="{00000000-0005-0000-0000-000058020000}"/>
    <cellStyle name="Bullet" xfId="555" xr:uid="{00000000-0005-0000-0000-000059020000}"/>
    <cellStyle name="C?AO_?A°??µAoC?" xfId="140" xr:uid="{00000000-0005-0000-0000-00005A020000}"/>
    <cellStyle name="c_HardInc " xfId="1201" xr:uid="{00000000-0005-0000-0000-00005B020000}"/>
    <cellStyle name="C05_Style E Text" xfId="1202" xr:uid="{00000000-0005-0000-0000-00005C020000}"/>
    <cellStyle name="Calc Cells" xfId="1203" xr:uid="{00000000-0005-0000-0000-00005D020000}"/>
    <cellStyle name="Calc Currency (0)" xfId="141" xr:uid="{00000000-0005-0000-0000-00005E020000}"/>
    <cellStyle name="Calc Currency (2)" xfId="556" xr:uid="{00000000-0005-0000-0000-00005F020000}"/>
    <cellStyle name="Calc Percent (0)" xfId="557" xr:uid="{00000000-0005-0000-0000-000060020000}"/>
    <cellStyle name="Calc Percent (1)" xfId="558" xr:uid="{00000000-0005-0000-0000-000061020000}"/>
    <cellStyle name="Calc Percent (2)" xfId="559" xr:uid="{00000000-0005-0000-0000-000062020000}"/>
    <cellStyle name="Calc Units (0)" xfId="560" xr:uid="{00000000-0005-0000-0000-000063020000}"/>
    <cellStyle name="Calc Units (1)" xfId="561" xr:uid="{00000000-0005-0000-0000-000064020000}"/>
    <cellStyle name="Calc Units (2)" xfId="562" xr:uid="{00000000-0005-0000-0000-000065020000}"/>
    <cellStyle name="Calcolo" xfId="142" xr:uid="{00000000-0005-0000-0000-000066020000}"/>
    <cellStyle name="CAPS1" xfId="563" xr:uid="{00000000-0005-0000-0000-000067020000}"/>
    <cellStyle name="čárky [0]_09-him-nim" xfId="143" xr:uid="{00000000-0005-0000-0000-000068020000}"/>
    <cellStyle name="čárky_Budget 2007_VS_level 1 (8A) -4.12.2006" xfId="144" xr:uid="{00000000-0005-0000-0000-000069020000}"/>
    <cellStyle name="Case" xfId="145" xr:uid="{00000000-0005-0000-0000-00006A020000}"/>
    <cellStyle name="Cella collegata" xfId="146" xr:uid="{00000000-0005-0000-0000-00006B020000}"/>
    <cellStyle name="Cella da controllare" xfId="147" xr:uid="{00000000-0005-0000-0000-00006C020000}"/>
    <cellStyle name="Center Across" xfId="148" xr:uid="{00000000-0005-0000-0000-00006D020000}"/>
    <cellStyle name="Centered Heading" xfId="564" xr:uid="{00000000-0005-0000-0000-00006E020000}"/>
    <cellStyle name="Cents" xfId="1204" xr:uid="{00000000-0005-0000-0000-00006F020000}"/>
    <cellStyle name="Change" xfId="1205" xr:uid="{00000000-0005-0000-0000-000070020000}"/>
    <cellStyle name="Changeable" xfId="565" xr:uid="{00000000-0005-0000-0000-000071020000}"/>
    <cellStyle name="ChartingText" xfId="501" xr:uid="{00000000-0005-0000-0000-000072020000}"/>
    <cellStyle name="Check" xfId="149" xr:uid="{00000000-0005-0000-0000-000073020000}"/>
    <cellStyle name="Check 2" xfId="150" xr:uid="{00000000-0005-0000-0000-000074020000}"/>
    <cellStyle name="Check 3" xfId="151" xr:uid="{00000000-0005-0000-0000-000075020000}"/>
    <cellStyle name="CHPAboveAverage" xfId="502" xr:uid="{00000000-0005-0000-0000-000076020000}"/>
    <cellStyle name="CHPBelowAverage" xfId="503" xr:uid="{00000000-0005-0000-0000-000077020000}"/>
    <cellStyle name="CHPBottom" xfId="504" xr:uid="{00000000-0005-0000-0000-000078020000}"/>
    <cellStyle name="CHPTop" xfId="505" xr:uid="{00000000-0005-0000-0000-000079020000}"/>
    <cellStyle name="čiarky [0]_SPT_Telecom" xfId="152" xr:uid="{00000000-0005-0000-0000-00007A020000}"/>
    <cellStyle name="čiarky_SPT_Telecom" xfId="153" xr:uid="{00000000-0005-0000-0000-00007B020000}"/>
    <cellStyle name="City" xfId="1206" xr:uid="{00000000-0005-0000-0000-00007C020000}"/>
    <cellStyle name="Co. Names" xfId="1207" xr:uid="{00000000-0005-0000-0000-00007D020000}"/>
    <cellStyle name="Co. Names - Bold" xfId="1208" xr:uid="{00000000-0005-0000-0000-00007E020000}"/>
    <cellStyle name="Co. Names_Blend" xfId="1209" xr:uid="{00000000-0005-0000-0000-00007F020000}"/>
    <cellStyle name="Col Head" xfId="1210" xr:uid="{00000000-0005-0000-0000-000080020000}"/>
    <cellStyle name="Collateral" xfId="1211" xr:uid="{00000000-0005-0000-0000-000081020000}"/>
    <cellStyle name="Color" xfId="566" xr:uid="{00000000-0005-0000-0000-000082020000}"/>
    <cellStyle name="Colore 1" xfId="154" xr:uid="{00000000-0005-0000-0000-000083020000}"/>
    <cellStyle name="Colore 2" xfId="155" xr:uid="{00000000-0005-0000-0000-000084020000}"/>
    <cellStyle name="Colore 3" xfId="156" xr:uid="{00000000-0005-0000-0000-000085020000}"/>
    <cellStyle name="Colore 4" xfId="157" xr:uid="{00000000-0005-0000-0000-000086020000}"/>
    <cellStyle name="Colore 5" xfId="158" xr:uid="{00000000-0005-0000-0000-000087020000}"/>
    <cellStyle name="Colore 6" xfId="159" xr:uid="{00000000-0005-0000-0000-000088020000}"/>
    <cellStyle name="Column Heading" xfId="160" xr:uid="{00000000-0005-0000-0000-000089020000}"/>
    <cellStyle name="Column_Title" xfId="161" xr:uid="{00000000-0005-0000-0000-00008A020000}"/>
    <cellStyle name="ColumnHeaderNormal" xfId="506" xr:uid="{00000000-0005-0000-0000-00008B020000}"/>
    <cellStyle name="ColumnHeadings" xfId="1212" xr:uid="{00000000-0005-0000-0000-00008C020000}"/>
    <cellStyle name="ColumnHeadings2" xfId="1213" xr:uid="{00000000-0005-0000-0000-00008D020000}"/>
    <cellStyle name="Com - Zero (0)" xfId="567" xr:uid="{00000000-0005-0000-0000-00008E020000}"/>
    <cellStyle name="Comma  - Style1" xfId="568" xr:uid="{00000000-0005-0000-0000-00008F020000}"/>
    <cellStyle name="Comma  - Style2" xfId="569" xr:uid="{00000000-0005-0000-0000-000090020000}"/>
    <cellStyle name="Comma  - Style3" xfId="570" xr:uid="{00000000-0005-0000-0000-000091020000}"/>
    <cellStyle name="Comma  - Style4" xfId="571" xr:uid="{00000000-0005-0000-0000-000092020000}"/>
    <cellStyle name="Comma  - Style5" xfId="572" xr:uid="{00000000-0005-0000-0000-000093020000}"/>
    <cellStyle name="Comma  - Style6" xfId="573" xr:uid="{00000000-0005-0000-0000-000094020000}"/>
    <cellStyle name="Comma  - Style7" xfId="574" xr:uid="{00000000-0005-0000-0000-000095020000}"/>
    <cellStyle name="Comma  - Style8" xfId="575" xr:uid="{00000000-0005-0000-0000-000096020000}"/>
    <cellStyle name="Comma [0] 2" xfId="162" xr:uid="{00000000-0005-0000-0000-000097020000}"/>
    <cellStyle name="Comma [00]" xfId="576" xr:uid="{00000000-0005-0000-0000-000098020000}"/>
    <cellStyle name="Comma [1]" xfId="163" xr:uid="{00000000-0005-0000-0000-000099020000}"/>
    <cellStyle name="Comma [2]" xfId="577" xr:uid="{00000000-0005-0000-0000-00009A020000}"/>
    <cellStyle name="Comma [3]" xfId="578" xr:uid="{00000000-0005-0000-0000-00009B020000}"/>
    <cellStyle name="Comma 0" xfId="164" xr:uid="{00000000-0005-0000-0000-00009C020000}"/>
    <cellStyle name="Comma 0*" xfId="165" xr:uid="{00000000-0005-0000-0000-00009D020000}"/>
    <cellStyle name="Comma 0.0" xfId="579" xr:uid="{00000000-0005-0000-0000-00009E020000}"/>
    <cellStyle name="Comma 0.00" xfId="580" xr:uid="{00000000-0005-0000-0000-00009F020000}"/>
    <cellStyle name="Comma 0.000" xfId="581" xr:uid="{00000000-0005-0000-0000-0000A0020000}"/>
    <cellStyle name="Comma 0.0000" xfId="582" xr:uid="{00000000-0005-0000-0000-0000A1020000}"/>
    <cellStyle name="Comma 0.00000" xfId="583" xr:uid="{00000000-0005-0000-0000-0000A2020000}"/>
    <cellStyle name="Comma 1" xfId="584" xr:uid="{00000000-0005-0000-0000-0000A3020000}"/>
    <cellStyle name="Comma 10" xfId="32" xr:uid="{00000000-0005-0000-0000-0000A4020000}"/>
    <cellStyle name="Comma 2" xfId="8" xr:uid="{00000000-0005-0000-0000-0000A5020000}"/>
    <cellStyle name="Comma 2 2" xfId="166" xr:uid="{00000000-0005-0000-0000-0000A6020000}"/>
    <cellStyle name="Comma 2 3" xfId="167" xr:uid="{00000000-0005-0000-0000-0000A7020000}"/>
    <cellStyle name="Comma 3" xfId="12" xr:uid="{00000000-0005-0000-0000-0000A8020000}"/>
    <cellStyle name="Comma 3 2" xfId="168" xr:uid="{00000000-0005-0000-0000-0000A9020000}"/>
    <cellStyle name="Comma 3 3" xfId="169" xr:uid="{00000000-0005-0000-0000-0000AA020000}"/>
    <cellStyle name="Comma 3 4" xfId="170" xr:uid="{00000000-0005-0000-0000-0000AB020000}"/>
    <cellStyle name="Comma 3*" xfId="585" xr:uid="{00000000-0005-0000-0000-0000AC020000}"/>
    <cellStyle name="Comma 339" xfId="171" xr:uid="{00000000-0005-0000-0000-0000AD020000}"/>
    <cellStyle name="Comma 4" xfId="34" xr:uid="{00000000-0005-0000-0000-0000AE020000}"/>
    <cellStyle name="Comma 4 2" xfId="172" xr:uid="{00000000-0005-0000-0000-0000AF020000}"/>
    <cellStyle name="Comma 4 2 2" xfId="1361" xr:uid="{00000000-0005-0000-0000-0000B0020000}"/>
    <cellStyle name="Comma 4 3" xfId="173" xr:uid="{00000000-0005-0000-0000-0000B1020000}"/>
    <cellStyle name="Comma 5" xfId="174" xr:uid="{00000000-0005-0000-0000-0000B2020000}"/>
    <cellStyle name="Comma 6" xfId="175" xr:uid="{00000000-0005-0000-0000-0000B3020000}"/>
    <cellStyle name="Comma 7" xfId="176" xr:uid="{00000000-0005-0000-0000-0000B4020000}"/>
    <cellStyle name="Comma 8" xfId="496" xr:uid="{00000000-0005-0000-0000-0000B5020000}"/>
    <cellStyle name="Comma(1)" xfId="1214" xr:uid="{00000000-0005-0000-0000-0000B6020000}"/>
    <cellStyle name="Comma0" xfId="177" xr:uid="{00000000-0005-0000-0000-0000B7020000}"/>
    <cellStyle name="Comma0 - Style1" xfId="586" xr:uid="{00000000-0005-0000-0000-0000B8020000}"/>
    <cellStyle name="Comma0_Floating Bar 2.28.05" xfId="587" xr:uid="{00000000-0005-0000-0000-0000B9020000}"/>
    <cellStyle name="Comma2" xfId="1215" xr:uid="{00000000-0005-0000-0000-0000BA020000}"/>
    <cellStyle name="Comment" xfId="1216" xr:uid="{00000000-0005-0000-0000-0000BB020000}"/>
    <cellStyle name="Company Name" xfId="588" xr:uid="{00000000-0005-0000-0000-0000BC020000}"/>
    <cellStyle name="CompanyName" xfId="589" xr:uid="{00000000-0005-0000-0000-0000BD020000}"/>
    <cellStyle name="CompanyTitle" xfId="1217" xr:uid="{00000000-0005-0000-0000-0000BE020000}"/>
    <cellStyle name="Copied" xfId="590" xr:uid="{00000000-0005-0000-0000-0000BF020000}"/>
    <cellStyle name="Curren - Style2" xfId="591" xr:uid="{00000000-0005-0000-0000-0000C0020000}"/>
    <cellStyle name="Currency [00]" xfId="592" xr:uid="{00000000-0005-0000-0000-0000C1020000}"/>
    <cellStyle name="Currency [1]" xfId="178" xr:uid="{00000000-0005-0000-0000-0000C2020000}"/>
    <cellStyle name="Currency [2]" xfId="593" xr:uid="{00000000-0005-0000-0000-0000C3020000}"/>
    <cellStyle name="Currency [3]" xfId="594" xr:uid="{00000000-0005-0000-0000-0000C4020000}"/>
    <cellStyle name="Currency 0" xfId="179" xr:uid="{00000000-0005-0000-0000-0000C5020000}"/>
    <cellStyle name="Currency 0.0" xfId="595" xr:uid="{00000000-0005-0000-0000-0000C6020000}"/>
    <cellStyle name="Currency 0.00" xfId="596" xr:uid="{00000000-0005-0000-0000-0000C7020000}"/>
    <cellStyle name="Currency 0.000" xfId="597" xr:uid="{00000000-0005-0000-0000-0000C8020000}"/>
    <cellStyle name="Currency 0.0000" xfId="598" xr:uid="{00000000-0005-0000-0000-0000C9020000}"/>
    <cellStyle name="Currency 0.00000" xfId="599" xr:uid="{00000000-0005-0000-0000-0000CA020000}"/>
    <cellStyle name="Currency 2" xfId="7" xr:uid="{00000000-0005-0000-0000-0000CB020000}"/>
    <cellStyle name="Currency 2 2" xfId="180" xr:uid="{00000000-0005-0000-0000-0000CC020000}"/>
    <cellStyle name="Currency 2 3" xfId="181" xr:uid="{00000000-0005-0000-0000-0000CD020000}"/>
    <cellStyle name="Currency 3" xfId="11" xr:uid="{00000000-0005-0000-0000-0000CE020000}"/>
    <cellStyle name="Currency 3 2" xfId="182" xr:uid="{00000000-0005-0000-0000-0000CF020000}"/>
    <cellStyle name="Currency 3*" xfId="600" xr:uid="{00000000-0005-0000-0000-0000D0020000}"/>
    <cellStyle name="Currency 307" xfId="183" xr:uid="{00000000-0005-0000-0000-0000D1020000}"/>
    <cellStyle name="Currency 4" xfId="184" xr:uid="{00000000-0005-0000-0000-0000D2020000}"/>
    <cellStyle name="Currency 5" xfId="185" xr:uid="{00000000-0005-0000-0000-0000D3020000}"/>
    <cellStyle name="Currency 6" xfId="186" xr:uid="{00000000-0005-0000-0000-0000D4020000}"/>
    <cellStyle name="Currency 7" xfId="938" xr:uid="{00000000-0005-0000-0000-0000D5020000}"/>
    <cellStyle name="Currency 8" xfId="1188" xr:uid="{00000000-0005-0000-0000-0000D6020000}"/>
    <cellStyle name="Currency0" xfId="187" xr:uid="{00000000-0005-0000-0000-0000D7020000}"/>
    <cellStyle name="Currency1Blue" xfId="601" xr:uid="{00000000-0005-0000-0000-0000D8020000}"/>
    <cellStyle name="Currsmall" xfId="602" xr:uid="{00000000-0005-0000-0000-0000D9020000}"/>
    <cellStyle name="custom" xfId="603" xr:uid="{00000000-0005-0000-0000-0000DA020000}"/>
    <cellStyle name="Dash" xfId="604" xr:uid="{00000000-0005-0000-0000-0000DB020000}"/>
    <cellStyle name="Data" xfId="188" xr:uid="{00000000-0005-0000-0000-0000DC020000}"/>
    <cellStyle name="Data Link" xfId="605" xr:uid="{00000000-0005-0000-0000-0000DD020000}"/>
    <cellStyle name="DataBold" xfId="189" xr:uid="{00000000-0005-0000-0000-0000DE020000}"/>
    <cellStyle name="Date" xfId="190" xr:uid="{00000000-0005-0000-0000-0000DF020000}"/>
    <cellStyle name="Date [d-mmm-yy]" xfId="606" xr:uid="{00000000-0005-0000-0000-0000E0020000}"/>
    <cellStyle name="Date [mm-d-yy]" xfId="607" xr:uid="{00000000-0005-0000-0000-0000E1020000}"/>
    <cellStyle name="Date [mm-d-yyyy]" xfId="608" xr:uid="{00000000-0005-0000-0000-0000E2020000}"/>
    <cellStyle name="Date [mmm-yy]" xfId="609" xr:uid="{00000000-0005-0000-0000-0000E3020000}"/>
    <cellStyle name="Date 2" xfId="191" xr:uid="{00000000-0005-0000-0000-0000E4020000}"/>
    <cellStyle name="Date 3" xfId="192" xr:uid="{00000000-0005-0000-0000-0000E5020000}"/>
    <cellStyle name="Date Aligned" xfId="193" xr:uid="{00000000-0005-0000-0000-0000E6020000}"/>
    <cellStyle name="Date Short" xfId="610" xr:uid="{00000000-0005-0000-0000-0000E7020000}"/>
    <cellStyle name="Date_07.12.2005  КЭШ и баланс " xfId="194" xr:uid="{00000000-0005-0000-0000-0000E8020000}"/>
    <cellStyle name="Date1" xfId="611" xr:uid="{00000000-0005-0000-0000-0000E9020000}"/>
    <cellStyle name="Date2" xfId="1218" xr:uid="{00000000-0005-0000-0000-0000EA020000}"/>
    <cellStyle name="Deal" xfId="1219" xr:uid="{00000000-0005-0000-0000-0000EB020000}"/>
    <cellStyle name="Dec_0" xfId="195" xr:uid="{00000000-0005-0000-0000-0000EC020000}"/>
    <cellStyle name="Decimal" xfId="1220" xr:uid="{00000000-0005-0000-0000-0000ED020000}"/>
    <cellStyle name="decimal 1" xfId="1221" xr:uid="{00000000-0005-0000-0000-0000EE020000}"/>
    <cellStyle name="Default" xfId="612" xr:uid="{00000000-0005-0000-0000-0000EF020000}"/>
    <cellStyle name="Deviant" xfId="196" xr:uid="{00000000-0005-0000-0000-0000F0020000}"/>
    <cellStyle name="Dollar" xfId="613" xr:uid="{00000000-0005-0000-0000-0000F1020000}"/>
    <cellStyle name="Dollar 2" xfId="1222" xr:uid="{00000000-0005-0000-0000-0000F2020000}"/>
    <cellStyle name="Dollar1" xfId="614" xr:uid="{00000000-0005-0000-0000-0000F3020000}"/>
    <cellStyle name="Dollar1Blue" xfId="615" xr:uid="{00000000-0005-0000-0000-0000F4020000}"/>
    <cellStyle name="Dollar2" xfId="616" xr:uid="{00000000-0005-0000-0000-0000F5020000}"/>
    <cellStyle name="Dollars" xfId="197" xr:uid="{00000000-0005-0000-0000-0000F6020000}"/>
    <cellStyle name="Dotted Line" xfId="198" xr:uid="{00000000-0005-0000-0000-0000F7020000}"/>
    <cellStyle name="Double Accounting" xfId="199" xr:uid="{00000000-0005-0000-0000-0000F8020000}"/>
    <cellStyle name="Dziesiêtny [0]_1" xfId="200" xr:uid="{00000000-0005-0000-0000-0000F9020000}"/>
    <cellStyle name="Dziesiêtny_1" xfId="201" xr:uid="{00000000-0005-0000-0000-0000FA020000}"/>
    <cellStyle name="eárky [0]_1.LIST" xfId="202" xr:uid="{00000000-0005-0000-0000-0000FB020000}"/>
    <cellStyle name="eárky_1.LIST" xfId="203" xr:uid="{00000000-0005-0000-0000-0000FC020000}"/>
    <cellStyle name="emp" xfId="1223" xr:uid="{00000000-0005-0000-0000-0000FD020000}"/>
    <cellStyle name="Enter Currency (0)" xfId="617" xr:uid="{00000000-0005-0000-0000-0000FE020000}"/>
    <cellStyle name="Enter Currency (2)" xfId="618" xr:uid="{00000000-0005-0000-0000-0000FF020000}"/>
    <cellStyle name="Enter Units (0)" xfId="619" xr:uid="{00000000-0005-0000-0000-000000030000}"/>
    <cellStyle name="Enter Units (1)" xfId="620" xr:uid="{00000000-0005-0000-0000-000001030000}"/>
    <cellStyle name="Enter Units (2)" xfId="621" xr:uid="{00000000-0005-0000-0000-000002030000}"/>
    <cellStyle name="Entered" xfId="622" xr:uid="{00000000-0005-0000-0000-000003030000}"/>
    <cellStyle name="EPS" xfId="623" xr:uid="{00000000-0005-0000-0000-000004030000}"/>
    <cellStyle name="Euro" xfId="204" xr:uid="{00000000-0005-0000-0000-000005030000}"/>
    <cellStyle name="Euro 2" xfId="205" xr:uid="{00000000-0005-0000-0000-000006030000}"/>
    <cellStyle name="Euro 3" xfId="206" xr:uid="{00000000-0005-0000-0000-000007030000}"/>
    <cellStyle name="External File Cells" xfId="1224" xr:uid="{00000000-0005-0000-0000-000008030000}"/>
    <cellStyle name="EY Narrative text" xfId="24" xr:uid="{00000000-0005-0000-0000-000009030000}"/>
    <cellStyle name="EY0dp" xfId="22" xr:uid="{00000000-0005-0000-0000-00000A030000}"/>
    <cellStyle name="EY1dp" xfId="23" xr:uid="{00000000-0005-0000-0000-00000B030000}"/>
    <cellStyle name="EYColumnHeading" xfId="20" xr:uid="{00000000-0005-0000-0000-00000C030000}"/>
    <cellStyle name="EYCurrency" xfId="18" xr:uid="{00000000-0005-0000-0000-00000D030000}"/>
    <cellStyle name="EYNotes" xfId="21" xr:uid="{00000000-0005-0000-0000-00000E030000}"/>
    <cellStyle name="EYNotesHeading" xfId="19" xr:uid="{00000000-0005-0000-0000-00000F030000}"/>
    <cellStyle name="EYnumber" xfId="17" xr:uid="{00000000-0005-0000-0000-000010030000}"/>
    <cellStyle name="EYSectionHeading" xfId="13" xr:uid="{00000000-0005-0000-0000-000011030000}"/>
    <cellStyle name="EYSheetHeading" xfId="16" xr:uid="{00000000-0005-0000-0000-000012030000}"/>
    <cellStyle name="EYsmallheading" xfId="14" xr:uid="{00000000-0005-0000-0000-000013030000}"/>
    <cellStyle name="EYSource" xfId="25" xr:uid="{00000000-0005-0000-0000-000014030000}"/>
    <cellStyle name="EYtext" xfId="15" xr:uid="{00000000-0005-0000-0000-000015030000}"/>
    <cellStyle name="Ezres [0]_Document" xfId="207" xr:uid="{00000000-0005-0000-0000-000016030000}"/>
    <cellStyle name="Ezres_Document" xfId="208" xr:uid="{00000000-0005-0000-0000-000017030000}"/>
    <cellStyle name="F2" xfId="209" xr:uid="{00000000-0005-0000-0000-000018030000}"/>
    <cellStyle name="F3" xfId="210" xr:uid="{00000000-0005-0000-0000-000019030000}"/>
    <cellStyle name="F4" xfId="211" xr:uid="{00000000-0005-0000-0000-00001A030000}"/>
    <cellStyle name="F5" xfId="212" xr:uid="{00000000-0005-0000-0000-00001B030000}"/>
    <cellStyle name="F6" xfId="213" xr:uid="{00000000-0005-0000-0000-00001C030000}"/>
    <cellStyle name="F7" xfId="214" xr:uid="{00000000-0005-0000-0000-00001D030000}"/>
    <cellStyle name="F8" xfId="215" xr:uid="{00000000-0005-0000-0000-00001E030000}"/>
    <cellStyle name="Factor" xfId="216" xr:uid="{00000000-0005-0000-0000-00001F030000}"/>
    <cellStyle name="Factor 2" xfId="217" xr:uid="{00000000-0005-0000-0000-000020030000}"/>
    <cellStyle name="Factor 3" xfId="218" xr:uid="{00000000-0005-0000-0000-000021030000}"/>
    <cellStyle name="FF_EURO" xfId="624" xr:uid="{00000000-0005-0000-0000-000022030000}"/>
    <cellStyle name="FieldName" xfId="1225" xr:uid="{00000000-0005-0000-0000-000023030000}"/>
    <cellStyle name="Fit" xfId="1226" xr:uid="{00000000-0005-0000-0000-000024030000}"/>
    <cellStyle name="Fixed" xfId="219" xr:uid="{00000000-0005-0000-0000-000025030000}"/>
    <cellStyle name="Fixed [0]" xfId="625" xr:uid="{00000000-0005-0000-0000-000026030000}"/>
    <cellStyle name="Fixed 2" xfId="1227" xr:uid="{00000000-0005-0000-0000-000027030000}"/>
    <cellStyle name="Fixlong" xfId="626" xr:uid="{00000000-0005-0000-0000-000028030000}"/>
    <cellStyle name="footer" xfId="220" xr:uid="{00000000-0005-0000-0000-000029030000}"/>
    <cellStyle name="Footnote" xfId="221" xr:uid="{00000000-0005-0000-0000-00002A030000}"/>
    <cellStyle name="Footnotes" xfId="1228" xr:uid="{00000000-0005-0000-0000-00002B030000}"/>
    <cellStyle name="Forecast Cells" xfId="1229" xr:uid="{00000000-0005-0000-0000-00002C030000}"/>
    <cellStyle name="Formula" xfId="627" xr:uid="{00000000-0005-0000-0000-00002D030000}"/>
    <cellStyle name="fourdecplace" xfId="628" xr:uid="{00000000-0005-0000-0000-00002E030000}"/>
    <cellStyle name="From" xfId="222" xr:uid="{00000000-0005-0000-0000-00002F030000}"/>
    <cellStyle name="From 2" xfId="223" xr:uid="{00000000-0005-0000-0000-000030030000}"/>
    <cellStyle name="From 3" xfId="224" xr:uid="{00000000-0005-0000-0000-000031030000}"/>
    <cellStyle name="G02 Table Text" xfId="1230" xr:uid="{00000000-0005-0000-0000-000032030000}"/>
    <cellStyle name="G04_Main head" xfId="1231" xr:uid="{00000000-0005-0000-0000-000033030000}"/>
    <cellStyle name="G05 Tab Head Bold" xfId="1232" xr:uid="{00000000-0005-0000-0000-000034030000}"/>
    <cellStyle name="G05 Tab Head Light" xfId="1233" xr:uid="{00000000-0005-0000-0000-000035030000}"/>
    <cellStyle name="G1_1999 figures" xfId="1234" xr:uid="{00000000-0005-0000-0000-000036030000}"/>
    <cellStyle name="Global" xfId="629" xr:uid="{00000000-0005-0000-0000-000037030000}"/>
    <cellStyle name="Green" xfId="225" xr:uid="{00000000-0005-0000-0000-000038030000}"/>
    <cellStyle name="Grey" xfId="226" xr:uid="{00000000-0005-0000-0000-000039030000}"/>
    <cellStyle name="Grey 2" xfId="227" xr:uid="{00000000-0005-0000-0000-00003A030000}"/>
    <cellStyle name="Grey 3" xfId="228" xr:uid="{00000000-0005-0000-0000-00003B030000}"/>
    <cellStyle name="H_1998_col_head" xfId="1235" xr:uid="{00000000-0005-0000-0000-00003C030000}"/>
    <cellStyle name="H_1999_col_head" xfId="1236" xr:uid="{00000000-0005-0000-0000-00003D030000}"/>
    <cellStyle name="H1_1998 figures" xfId="1237" xr:uid="{00000000-0005-0000-0000-00003E030000}"/>
    <cellStyle name="hard no" xfId="1238" xr:uid="{00000000-0005-0000-0000-00003F030000}"/>
    <cellStyle name="Hard Percent" xfId="229" xr:uid="{00000000-0005-0000-0000-000040030000}"/>
    <cellStyle name="hardno" xfId="1239" xr:uid="{00000000-0005-0000-0000-000041030000}"/>
    <cellStyle name="Header" xfId="230" xr:uid="{00000000-0005-0000-0000-000042030000}"/>
    <cellStyle name="Header1" xfId="231" xr:uid="{00000000-0005-0000-0000-000043030000}"/>
    <cellStyle name="Header1 2" xfId="232" xr:uid="{00000000-0005-0000-0000-000044030000}"/>
    <cellStyle name="Header1 3" xfId="233" xr:uid="{00000000-0005-0000-0000-000045030000}"/>
    <cellStyle name="Header2" xfId="234" xr:uid="{00000000-0005-0000-0000-000046030000}"/>
    <cellStyle name="Header2 2" xfId="235" xr:uid="{00000000-0005-0000-0000-000047030000}"/>
    <cellStyle name="Header2 3" xfId="236" xr:uid="{00000000-0005-0000-0000-000048030000}"/>
    <cellStyle name="heading" xfId="237" xr:uid="{00000000-0005-0000-0000-000049030000}"/>
    <cellStyle name="Heading Left" xfId="630" xr:uid="{00000000-0005-0000-0000-00004A030000}"/>
    <cellStyle name="Heading No Underline" xfId="631" xr:uid="{00000000-0005-0000-0000-00004B030000}"/>
    <cellStyle name="Heading Right" xfId="632" xr:uid="{00000000-0005-0000-0000-00004C030000}"/>
    <cellStyle name="Heading With Underline" xfId="633" xr:uid="{00000000-0005-0000-0000-00004D030000}"/>
    <cellStyle name="HEADING1" xfId="238" xr:uid="{00000000-0005-0000-0000-00004E030000}"/>
    <cellStyle name="HEADING2" xfId="239" xr:uid="{00000000-0005-0000-0000-00004F030000}"/>
    <cellStyle name="Heading3" xfId="634" xr:uid="{00000000-0005-0000-0000-000050030000}"/>
    <cellStyle name="HeadingS" xfId="240" xr:uid="{00000000-0005-0000-0000-000051030000}"/>
    <cellStyle name="HEADINGSTOP" xfId="635" xr:uid="{00000000-0005-0000-0000-000052030000}"/>
    <cellStyle name="Hidden" xfId="636" xr:uid="{00000000-0005-0000-0000-000053030000}"/>
    <cellStyle name="Hide" xfId="241" xr:uid="{00000000-0005-0000-0000-000054030000}"/>
    <cellStyle name="Historicals" xfId="1240" xr:uid="{00000000-0005-0000-0000-000055030000}"/>
    <cellStyle name="Hyperlink 2" xfId="242" xr:uid="{00000000-0005-0000-0000-000056030000}"/>
    <cellStyle name="Hyperlink 3" xfId="243" xr:uid="{00000000-0005-0000-0000-000057030000}"/>
    <cellStyle name="Iau?iue_o10-n" xfId="244" xr:uid="{00000000-0005-0000-0000-000058030000}"/>
    <cellStyle name="Îáû÷íûé_vaqduGfTSN7qyUJNWHRlcWo3H" xfId="245" xr:uid="{00000000-0005-0000-0000-000059030000}"/>
    <cellStyle name="Inapplivable" xfId="637" xr:uid="{00000000-0005-0000-0000-00005A030000}"/>
    <cellStyle name="Input [yellow]" xfId="246" xr:uid="{00000000-0005-0000-0000-00005B030000}"/>
    <cellStyle name="Input [yellow] 2" xfId="247" xr:uid="{00000000-0005-0000-0000-00005C030000}"/>
    <cellStyle name="Input [yellow] 3" xfId="248" xr:uid="{00000000-0005-0000-0000-00005D030000}"/>
    <cellStyle name="Input 10" xfId="249" xr:uid="{00000000-0005-0000-0000-00005E030000}"/>
    <cellStyle name="Input 11" xfId="250" xr:uid="{00000000-0005-0000-0000-00005F030000}"/>
    <cellStyle name="Input 12" xfId="251" xr:uid="{00000000-0005-0000-0000-000060030000}"/>
    <cellStyle name="Input 13" xfId="252" xr:uid="{00000000-0005-0000-0000-000061030000}"/>
    <cellStyle name="Input 14" xfId="253" xr:uid="{00000000-0005-0000-0000-000062030000}"/>
    <cellStyle name="Input 15" xfId="254" xr:uid="{00000000-0005-0000-0000-000063030000}"/>
    <cellStyle name="Input 16" xfId="255" xr:uid="{00000000-0005-0000-0000-000064030000}"/>
    <cellStyle name="Input 2" xfId="256" xr:uid="{00000000-0005-0000-0000-000065030000}"/>
    <cellStyle name="Input 3" xfId="257" xr:uid="{00000000-0005-0000-0000-000066030000}"/>
    <cellStyle name="Input 4" xfId="258" xr:uid="{00000000-0005-0000-0000-000067030000}"/>
    <cellStyle name="Input 5" xfId="259" xr:uid="{00000000-0005-0000-0000-000068030000}"/>
    <cellStyle name="Input 6" xfId="260" xr:uid="{00000000-0005-0000-0000-000069030000}"/>
    <cellStyle name="Input 7" xfId="261" xr:uid="{00000000-0005-0000-0000-00006A030000}"/>
    <cellStyle name="Input 8" xfId="262" xr:uid="{00000000-0005-0000-0000-00006B030000}"/>
    <cellStyle name="Input 9" xfId="263" xr:uid="{00000000-0005-0000-0000-00006C030000}"/>
    <cellStyle name="Input Cells" xfId="1241" xr:uid="{00000000-0005-0000-0000-00006D030000}"/>
    <cellStyle name="Input Currency" xfId="638" xr:uid="{00000000-0005-0000-0000-00006E030000}"/>
    <cellStyle name="Input Date" xfId="639" xr:uid="{00000000-0005-0000-0000-00006F030000}"/>
    <cellStyle name="Input Fixed [0]" xfId="640" xr:uid="{00000000-0005-0000-0000-000070030000}"/>
    <cellStyle name="Input Normal" xfId="641" xr:uid="{00000000-0005-0000-0000-000071030000}"/>
    <cellStyle name="Input Percent" xfId="642" xr:uid="{00000000-0005-0000-0000-000072030000}"/>
    <cellStyle name="Input Percent [2]" xfId="643" xr:uid="{00000000-0005-0000-0000-000073030000}"/>
    <cellStyle name="Input Titles" xfId="644" xr:uid="{00000000-0005-0000-0000-000074030000}"/>
    <cellStyle name="Input1" xfId="645" xr:uid="{00000000-0005-0000-0000-000075030000}"/>
    <cellStyle name="Input2" xfId="646" xr:uid="{00000000-0005-0000-0000-000076030000}"/>
    <cellStyle name="InputBlueFont" xfId="1242" xr:uid="{00000000-0005-0000-0000-000077030000}"/>
    <cellStyle name="Inputs" xfId="1243" xr:uid="{00000000-0005-0000-0000-000078030000}"/>
    <cellStyle name="Integer" xfId="647" xr:uid="{00000000-0005-0000-0000-000079030000}"/>
    <cellStyle name="Invisible" xfId="507" xr:uid="{00000000-0005-0000-0000-00007A030000}"/>
    <cellStyle name="Ioe?uaaaoayny aeia?nnueea" xfId="264" xr:uid="{00000000-0005-0000-0000-00007B030000}"/>
    <cellStyle name="ISO" xfId="265" xr:uid="{00000000-0005-0000-0000-00007C030000}"/>
    <cellStyle name="ITAL1" xfId="648" xr:uid="{00000000-0005-0000-0000-00007D030000}"/>
    <cellStyle name="italics" xfId="1244" xr:uid="{00000000-0005-0000-0000-00007E030000}"/>
    <cellStyle name="Item Descriptions" xfId="1245" xr:uid="{00000000-0005-0000-0000-00007F030000}"/>
    <cellStyle name="Komma [0]_Arcen" xfId="266" xr:uid="{00000000-0005-0000-0000-000080030000}"/>
    <cellStyle name="Komma_Arcen" xfId="267" xr:uid="{00000000-0005-0000-0000-000081030000}"/>
    <cellStyle name="kopregel" xfId="649" xr:uid="{00000000-0005-0000-0000-000082030000}"/>
    <cellStyle name="KP_Normal" xfId="1246" xr:uid="{00000000-0005-0000-0000-000083030000}"/>
    <cellStyle name="Label" xfId="650" xr:uid="{00000000-0005-0000-0000-000084030000}"/>
    <cellStyle name="Lable8Left" xfId="651" xr:uid="{00000000-0005-0000-0000-000085030000}"/>
    <cellStyle name="Line" xfId="1247" xr:uid="{00000000-0005-0000-0000-000086030000}"/>
    <cellStyle name="Link Currency (0)" xfId="652" xr:uid="{00000000-0005-0000-0000-000087030000}"/>
    <cellStyle name="Link Currency (2)" xfId="653" xr:uid="{00000000-0005-0000-0000-000088030000}"/>
    <cellStyle name="Link Units (0)" xfId="654" xr:uid="{00000000-0005-0000-0000-000089030000}"/>
    <cellStyle name="Link Units (1)" xfId="655" xr:uid="{00000000-0005-0000-0000-00008A030000}"/>
    <cellStyle name="Link Units (2)" xfId="656" xr:uid="{00000000-0005-0000-0000-00008B030000}"/>
    <cellStyle name="Linked" xfId="657" xr:uid="{00000000-0005-0000-0000-00008C030000}"/>
    <cellStyle name="Loan Amount" xfId="1248" xr:uid="{00000000-0005-0000-0000-00008D030000}"/>
    <cellStyle name="M" xfId="658" xr:uid="{00000000-0005-0000-0000-00008E030000}"/>
    <cellStyle name="M CURRENCY" xfId="659" xr:uid="{00000000-0005-0000-0000-00008F030000}"/>
    <cellStyle name="Mainhead" xfId="1249" xr:uid="{00000000-0005-0000-0000-000090030000}"/>
    <cellStyle name="meny_SPT_Telecom" xfId="268" xr:uid="{00000000-0005-0000-0000-000091030000}"/>
    <cellStyle name="Merrill" xfId="1250" xr:uid="{00000000-0005-0000-0000-000092030000}"/>
    <cellStyle name="Migliaia (0)_Cartel2" xfId="1251" xr:uid="{00000000-0005-0000-0000-000093030000}"/>
    <cellStyle name="Millares [0]_Crecimiento de líneas" xfId="660" xr:uid="{00000000-0005-0000-0000-000094030000}"/>
    <cellStyle name="Millares_Crecimiento de líneas" xfId="661" xr:uid="{00000000-0005-0000-0000-000095030000}"/>
    <cellStyle name="Milliers [0]_!!!GO" xfId="662" xr:uid="{00000000-0005-0000-0000-000096030000}"/>
    <cellStyle name="Milliers_!!!GO" xfId="663" xr:uid="{00000000-0005-0000-0000-000097030000}"/>
    <cellStyle name="miny_1.LIST" xfId="269" xr:uid="{00000000-0005-0000-0000-000098030000}"/>
    <cellStyle name="Mix" xfId="1252" xr:uid="{00000000-0005-0000-0000-000099030000}"/>
    <cellStyle name="Moeda [0]_Proyección de ingresos" xfId="664" xr:uid="{00000000-0005-0000-0000-00009A030000}"/>
    <cellStyle name="Moeda_Proyección de ingresos" xfId="665" xr:uid="{00000000-0005-0000-0000-00009B030000}"/>
    <cellStyle name="Moneda [0]_Crecimiento de líneas" xfId="666" xr:uid="{00000000-0005-0000-0000-00009C030000}"/>
    <cellStyle name="Moneda_Crecimiento de líneas" xfId="667" xr:uid="{00000000-0005-0000-0000-00009D030000}"/>
    <cellStyle name="Monétaire [0]_!!!GO" xfId="668" xr:uid="{00000000-0005-0000-0000-00009E030000}"/>
    <cellStyle name="Monétaire_!!!GO" xfId="669" xr:uid="{00000000-0005-0000-0000-00009F030000}"/>
    <cellStyle name="Monitor" xfId="1253" xr:uid="{00000000-0005-0000-0000-0000A0030000}"/>
    <cellStyle name="MonthYears" xfId="1254" xr:uid="{00000000-0005-0000-0000-0000A1030000}"/>
    <cellStyle name="MS_English" xfId="670" xr:uid="{00000000-0005-0000-0000-0000A2030000}"/>
    <cellStyle name="Multiple" xfId="270" xr:uid="{00000000-0005-0000-0000-0000A3030000}"/>
    <cellStyle name="Multiple [0]" xfId="271" xr:uid="{00000000-0005-0000-0000-0000A4030000}"/>
    <cellStyle name="Multiple [1]" xfId="272" xr:uid="{00000000-0005-0000-0000-0000A5030000}"/>
    <cellStyle name="Multiple_1 Dec" xfId="273" xr:uid="{00000000-0005-0000-0000-0000A6030000}"/>
    <cellStyle name="NA is zero" xfId="671" xr:uid="{00000000-0005-0000-0000-0000A7030000}"/>
    <cellStyle name="Name" xfId="1255" xr:uid="{00000000-0005-0000-0000-0000A8030000}"/>
    <cellStyle name="Neutrale" xfId="274" xr:uid="{00000000-0005-0000-0000-0000A9030000}"/>
    <cellStyle name="NewAcct" xfId="1256" xr:uid="{00000000-0005-0000-0000-0000AA030000}"/>
    <cellStyle name="NewColumnHeaderNormal" xfId="508" xr:uid="{00000000-0005-0000-0000-0000AB030000}"/>
    <cellStyle name="NewSectionHeaderNormal" xfId="509" xr:uid="{00000000-0005-0000-0000-0000AC030000}"/>
    <cellStyle name="NewTitleNormal" xfId="510" xr:uid="{00000000-0005-0000-0000-0000AD030000}"/>
    <cellStyle name="no dec" xfId="275" xr:uid="{00000000-0005-0000-0000-0000AE030000}"/>
    <cellStyle name="No.s to 1dp" xfId="1257" xr:uid="{00000000-0005-0000-0000-0000AF030000}"/>
    <cellStyle name="NONE" xfId="672" xr:uid="{00000000-0005-0000-0000-0000B0030000}"/>
    <cellStyle name="Norm" xfId="1258" xr:uid="{00000000-0005-0000-0000-0000B1030000}"/>
    <cellStyle name="Normal" xfId="0" builtinId="0"/>
    <cellStyle name="Normal - Style1" xfId="276" xr:uid="{00000000-0005-0000-0000-0000B3030000}"/>
    <cellStyle name="Normal - Style1 2" xfId="1259" xr:uid="{00000000-0005-0000-0000-0000B4030000}"/>
    <cellStyle name="Normal [0]" xfId="673" xr:uid="{00000000-0005-0000-0000-0000B5030000}"/>
    <cellStyle name="Normal [1]" xfId="674" xr:uid="{00000000-0005-0000-0000-0000B6030000}"/>
    <cellStyle name="Normal [2]" xfId="675" xr:uid="{00000000-0005-0000-0000-0000B7030000}"/>
    <cellStyle name="Normal [3]" xfId="676" xr:uid="{00000000-0005-0000-0000-0000B8030000}"/>
    <cellStyle name="Normal 0.0" xfId="1260" xr:uid="{00000000-0005-0000-0000-0000B9030000}"/>
    <cellStyle name="Normal 10" xfId="277" xr:uid="{00000000-0005-0000-0000-0000BA030000}"/>
    <cellStyle name="Normal 10 2" xfId="9" xr:uid="{00000000-0005-0000-0000-0000BB030000}"/>
    <cellStyle name="Normal 11" xfId="278" xr:uid="{00000000-0005-0000-0000-0000BC030000}"/>
    <cellStyle name="Normal 12" xfId="33" xr:uid="{00000000-0005-0000-0000-0000BD030000}"/>
    <cellStyle name="Normal 13" xfId="279" xr:uid="{00000000-0005-0000-0000-0000BE030000}"/>
    <cellStyle name="Normal 14" xfId="280" xr:uid="{00000000-0005-0000-0000-0000BF030000}"/>
    <cellStyle name="Normal 15" xfId="495" xr:uid="{00000000-0005-0000-0000-0000C0030000}"/>
    <cellStyle name="Normal 15 2" xfId="1360" xr:uid="{00000000-0005-0000-0000-0000C1030000}"/>
    <cellStyle name="Normal 16" xfId="936" xr:uid="{00000000-0005-0000-0000-0000C2030000}"/>
    <cellStyle name="Normal 17" xfId="1186" xr:uid="{00000000-0005-0000-0000-0000C3030000}"/>
    <cellStyle name="Normal 18" xfId="1261" xr:uid="{00000000-0005-0000-0000-0000C4030000}"/>
    <cellStyle name="Normal 19" xfId="1262" xr:uid="{00000000-0005-0000-0000-0000C5030000}"/>
    <cellStyle name="Normal 2" xfId="6" xr:uid="{00000000-0005-0000-0000-0000C6030000}"/>
    <cellStyle name="Normal 2 10" xfId="1356" xr:uid="{00000000-0005-0000-0000-0000C7030000}"/>
    <cellStyle name="Normal 2 2" xfId="281" xr:uid="{00000000-0005-0000-0000-0000C8030000}"/>
    <cellStyle name="Normal 2 3" xfId="935" xr:uid="{00000000-0005-0000-0000-0000C9030000}"/>
    <cellStyle name="Normal 20" xfId="1263" xr:uid="{00000000-0005-0000-0000-0000CA030000}"/>
    <cellStyle name="Normal 21" xfId="1264" xr:uid="{00000000-0005-0000-0000-0000CB030000}"/>
    <cellStyle name="Normal 22" xfId="1265" xr:uid="{00000000-0005-0000-0000-0000CC030000}"/>
    <cellStyle name="Normal 23" xfId="1266" xr:uid="{00000000-0005-0000-0000-0000CD030000}"/>
    <cellStyle name="Normal 24" xfId="1267" xr:uid="{00000000-0005-0000-0000-0000CE030000}"/>
    <cellStyle name="Normal 25" xfId="1268" xr:uid="{00000000-0005-0000-0000-0000CF030000}"/>
    <cellStyle name="Normal 26" xfId="1269" xr:uid="{00000000-0005-0000-0000-0000D0030000}"/>
    <cellStyle name="Normal 27" xfId="1270" xr:uid="{00000000-0005-0000-0000-0000D1030000}"/>
    <cellStyle name="Normal 28" xfId="1271" xr:uid="{00000000-0005-0000-0000-0000D2030000}"/>
    <cellStyle name="Normal 29" xfId="1272" xr:uid="{00000000-0005-0000-0000-0000D3030000}"/>
    <cellStyle name="Normal 3" xfId="282" xr:uid="{00000000-0005-0000-0000-0000D4030000}"/>
    <cellStyle name="Normal 3 2" xfId="283" xr:uid="{00000000-0005-0000-0000-0000D5030000}"/>
    <cellStyle name="Normal 3 3" xfId="284" xr:uid="{00000000-0005-0000-0000-0000D6030000}"/>
    <cellStyle name="Normal 3 4" xfId="285" xr:uid="{00000000-0005-0000-0000-0000D7030000}"/>
    <cellStyle name="Normal 30" xfId="1273" xr:uid="{00000000-0005-0000-0000-0000D8030000}"/>
    <cellStyle name="Normal 31" xfId="1274" xr:uid="{00000000-0005-0000-0000-0000D9030000}"/>
    <cellStyle name="Normal 32" xfId="1275" xr:uid="{00000000-0005-0000-0000-0000DA030000}"/>
    <cellStyle name="Normal 33" xfId="1276" xr:uid="{00000000-0005-0000-0000-0000DB030000}"/>
    <cellStyle name="Normal 34" xfId="1277" xr:uid="{00000000-0005-0000-0000-0000DC030000}"/>
    <cellStyle name="Normal 35" xfId="1278" xr:uid="{00000000-0005-0000-0000-0000DD030000}"/>
    <cellStyle name="Normal 36" xfId="1279" xr:uid="{00000000-0005-0000-0000-0000DE030000}"/>
    <cellStyle name="Normal 37" xfId="1280" xr:uid="{00000000-0005-0000-0000-0000DF030000}"/>
    <cellStyle name="Normal 38" xfId="1281" xr:uid="{00000000-0005-0000-0000-0000E0030000}"/>
    <cellStyle name="Normal 39" xfId="1282" xr:uid="{00000000-0005-0000-0000-0000E1030000}"/>
    <cellStyle name="Normal 4" xfId="286" xr:uid="{00000000-0005-0000-0000-0000E2030000}"/>
    <cellStyle name="Normal 4 2" xfId="287" xr:uid="{00000000-0005-0000-0000-0000E3030000}"/>
    <cellStyle name="Normal 4 3" xfId="288" xr:uid="{00000000-0005-0000-0000-0000E4030000}"/>
    <cellStyle name="Normal 4 4" xfId="289" xr:uid="{00000000-0005-0000-0000-0000E5030000}"/>
    <cellStyle name="Normal 40" xfId="1359" xr:uid="{00000000-0005-0000-0000-0000E6030000}"/>
    <cellStyle name="Normal 45" xfId="26" xr:uid="{00000000-0005-0000-0000-0000E7030000}"/>
    <cellStyle name="Normal 5" xfId="290" xr:uid="{00000000-0005-0000-0000-0000E8030000}"/>
    <cellStyle name="Normal 51 2" xfId="27" xr:uid="{00000000-0005-0000-0000-0000E9030000}"/>
    <cellStyle name="Normal 56" xfId="291" xr:uid="{00000000-0005-0000-0000-0000EA030000}"/>
    <cellStyle name="Normal 59" xfId="10" xr:uid="{00000000-0005-0000-0000-0000EB030000}"/>
    <cellStyle name="Normal 6" xfId="292" xr:uid="{00000000-0005-0000-0000-0000EC030000}"/>
    <cellStyle name="Normal 7" xfId="293" xr:uid="{00000000-0005-0000-0000-0000ED030000}"/>
    <cellStyle name="Normal 7 2" xfId="1283" xr:uid="{00000000-0005-0000-0000-0000EE030000}"/>
    <cellStyle name="Normal 71" xfId="1358" xr:uid="{00000000-0005-0000-0000-0000EF030000}"/>
    <cellStyle name="Normal 8" xfId="294" xr:uid="{00000000-0005-0000-0000-0000F0030000}"/>
    <cellStyle name="Normal 9" xfId="295" xr:uid="{00000000-0005-0000-0000-0000F1030000}"/>
    <cellStyle name="Normal Bold" xfId="677" xr:uid="{00000000-0005-0000-0000-0000F2030000}"/>
    <cellStyle name="Normal Cells" xfId="1284" xr:uid="{00000000-0005-0000-0000-0000F3030000}"/>
    <cellStyle name="Normal Pct" xfId="678" xr:uid="{00000000-0005-0000-0000-0000F4030000}"/>
    <cellStyle name="Normál_1." xfId="296" xr:uid="{00000000-0005-0000-0000-0000F5030000}"/>
    <cellStyle name="NormalBlue" xfId="679" xr:uid="{00000000-0005-0000-0000-0000F6030000}"/>
    <cellStyle name="NormalBold" xfId="680" xr:uid="{00000000-0005-0000-0000-0000F7030000}"/>
    <cellStyle name="Normale_giocate incassi 2000(valentina)" xfId="1285" xr:uid="{00000000-0005-0000-0000-0000F8030000}"/>
    <cellStyle name="NormalGB" xfId="297" xr:uid="{00000000-0005-0000-0000-0000F9030000}"/>
    <cellStyle name="NormalHelv" xfId="681" xr:uid="{00000000-0005-0000-0000-0000FA030000}"/>
    <cellStyle name="normálne_SPT_Telecom" xfId="298" xr:uid="{00000000-0005-0000-0000-0000FB030000}"/>
    <cellStyle name="normální_200.51-EVRAZ-Tabulky pro 200.51" xfId="299" xr:uid="{00000000-0005-0000-0000-0000FC030000}"/>
    <cellStyle name="Normalny_0" xfId="300" xr:uid="{00000000-0005-0000-0000-0000FD030000}"/>
    <cellStyle name="NOT" xfId="682" xr:uid="{00000000-0005-0000-0000-0000FE030000}"/>
    <cellStyle name="Nota" xfId="301" xr:uid="{00000000-0005-0000-0000-0000FF030000}"/>
    <cellStyle name="NPPESalesPct" xfId="683" xr:uid="{00000000-0005-0000-0000-000000040000}"/>
    <cellStyle name="Num0Un" xfId="684" xr:uid="{00000000-0005-0000-0000-000001040000}"/>
    <cellStyle name="Num1" xfId="685" xr:uid="{00000000-0005-0000-0000-000002040000}"/>
    <cellStyle name="Num1Blue" xfId="686" xr:uid="{00000000-0005-0000-0000-000003040000}"/>
    <cellStyle name="Num2" xfId="687" xr:uid="{00000000-0005-0000-0000-000004040000}"/>
    <cellStyle name="Num2Un" xfId="688" xr:uid="{00000000-0005-0000-0000-000005040000}"/>
    <cellStyle name="Number" xfId="689" xr:uid="{00000000-0005-0000-0000-000006040000}"/>
    <cellStyle name="number 2" xfId="1286" xr:uid="{00000000-0005-0000-0000-000007040000}"/>
    <cellStyle name="Numbers" xfId="1287" xr:uid="{00000000-0005-0000-0000-000008040000}"/>
    <cellStyle name="Numbers - Bold" xfId="1288" xr:uid="{00000000-0005-0000-0000-000009040000}"/>
    <cellStyle name="Numbers - Bold - Italic" xfId="1289" xr:uid="{00000000-0005-0000-0000-00000A040000}"/>
    <cellStyle name="Numbers - Bold_Blend" xfId="1290" xr:uid="{00000000-0005-0000-0000-00000B040000}"/>
    <cellStyle name="Numbers - Large" xfId="1291" xr:uid="{00000000-0005-0000-0000-00000C040000}"/>
    <cellStyle name="Numbers_Accretion " xfId="3" xr:uid="{00000000-0005-0000-0000-00000D040000}"/>
    <cellStyle name="NWI%S" xfId="690" xr:uid="{00000000-0005-0000-0000-00000E040000}"/>
    <cellStyle name="Œ…‹æØ‚è [0.00]_GE 3 MINIMUM" xfId="691" xr:uid="{00000000-0005-0000-0000-00000F040000}"/>
    <cellStyle name="Œ…‹æØ‚è_GE 3 MINIMUM" xfId="692" xr:uid="{00000000-0005-0000-0000-000010040000}"/>
    <cellStyle name="OSW_ColumnLabels" xfId="1292" xr:uid="{00000000-0005-0000-0000-000011040000}"/>
    <cellStyle name="outh America" xfId="1293" xr:uid="{00000000-0005-0000-0000-000012040000}"/>
    <cellStyle name="Output Amounts" xfId="302" xr:uid="{00000000-0005-0000-0000-000013040000}"/>
    <cellStyle name="Output Column Headings" xfId="303" xr:uid="{00000000-0005-0000-0000-000014040000}"/>
    <cellStyle name="Output Line Items" xfId="304" xr:uid="{00000000-0005-0000-0000-000015040000}"/>
    <cellStyle name="Output Report Heading" xfId="305" xr:uid="{00000000-0005-0000-0000-000016040000}"/>
    <cellStyle name="Output Report Title" xfId="306" xr:uid="{00000000-0005-0000-0000-000017040000}"/>
    <cellStyle name="Outputtitle" xfId="307" xr:uid="{00000000-0005-0000-0000-000018040000}"/>
    <cellStyle name="Outputtitle 2" xfId="308" xr:uid="{00000000-0005-0000-0000-000019040000}"/>
    <cellStyle name="Outputtitle 3" xfId="309" xr:uid="{00000000-0005-0000-0000-00001A040000}"/>
    <cellStyle name="p " xfId="1294" xr:uid="{00000000-0005-0000-0000-00001B040000}"/>
    <cellStyle name="Paaotsikko" xfId="310" xr:uid="{00000000-0005-0000-0000-00001C040000}"/>
    <cellStyle name="Page" xfId="1295" xr:uid="{00000000-0005-0000-0000-00001D040000}"/>
    <cellStyle name="Page header" xfId="1296" xr:uid="{00000000-0005-0000-0000-00001E040000}"/>
    <cellStyle name="Page Heading" xfId="693" xr:uid="{00000000-0005-0000-0000-00001F040000}"/>
    <cellStyle name="Page Heading Large" xfId="694" xr:uid="{00000000-0005-0000-0000-000020040000}"/>
    <cellStyle name="Page Heading Small" xfId="695" xr:uid="{00000000-0005-0000-0000-000021040000}"/>
    <cellStyle name="Page Number" xfId="311" xr:uid="{00000000-0005-0000-0000-000022040000}"/>
    <cellStyle name="pc1" xfId="696" xr:uid="{00000000-0005-0000-0000-000023040000}"/>
    <cellStyle name="Pénznem [0]_Document" xfId="312" xr:uid="{00000000-0005-0000-0000-000024040000}"/>
    <cellStyle name="Pénznem_Document" xfId="313" xr:uid="{00000000-0005-0000-0000-000025040000}"/>
    <cellStyle name="per.style" xfId="697" xr:uid="{00000000-0005-0000-0000-000026040000}"/>
    <cellStyle name="Perc1" xfId="698" xr:uid="{00000000-0005-0000-0000-000027040000}"/>
    <cellStyle name="Percent" xfId="494" builtinId="5"/>
    <cellStyle name="Percent %" xfId="699" xr:uid="{00000000-0005-0000-0000-000029040000}"/>
    <cellStyle name="Percent % Long Underline" xfId="700" xr:uid="{00000000-0005-0000-0000-00002A040000}"/>
    <cellStyle name="Percent %_Mini-LBO" xfId="701" xr:uid="{00000000-0005-0000-0000-00002B040000}"/>
    <cellStyle name="Percent (0)" xfId="702" xr:uid="{00000000-0005-0000-0000-00002C040000}"/>
    <cellStyle name="Percent (LTV, DSC)" xfId="1297" xr:uid="{00000000-0005-0000-0000-00002D040000}"/>
    <cellStyle name="Percent [0]" xfId="314" xr:uid="{00000000-0005-0000-0000-00002E040000}"/>
    <cellStyle name="Percent [00]" xfId="703" xr:uid="{00000000-0005-0000-0000-00002F040000}"/>
    <cellStyle name="Percent [1]" xfId="315" xr:uid="{00000000-0005-0000-0000-000030040000}"/>
    <cellStyle name="Percent [2]" xfId="316" xr:uid="{00000000-0005-0000-0000-000031040000}"/>
    <cellStyle name="Percent [3]" xfId="704" xr:uid="{00000000-0005-0000-0000-000032040000}"/>
    <cellStyle name="Percent 0.0" xfId="705" xr:uid="{00000000-0005-0000-0000-000033040000}"/>
    <cellStyle name="Percent 0.0%" xfId="706" xr:uid="{00000000-0005-0000-0000-000034040000}"/>
    <cellStyle name="Percent 0.0% Long Underline" xfId="707" xr:uid="{00000000-0005-0000-0000-000035040000}"/>
    <cellStyle name="Percent 0.0%_Mini-LBO" xfId="708" xr:uid="{00000000-0005-0000-0000-000036040000}"/>
    <cellStyle name="Percent 0.0_Spreads" xfId="709" xr:uid="{00000000-0005-0000-0000-000037040000}"/>
    <cellStyle name="Percent 0.00%" xfId="710" xr:uid="{00000000-0005-0000-0000-000038040000}"/>
    <cellStyle name="Percent 0.00% Long Underline" xfId="711" xr:uid="{00000000-0005-0000-0000-000039040000}"/>
    <cellStyle name="Percent 0.00%_Mini-LBO" xfId="712" xr:uid="{00000000-0005-0000-0000-00003A040000}"/>
    <cellStyle name="Percent 0.000%" xfId="713" xr:uid="{00000000-0005-0000-0000-00003B040000}"/>
    <cellStyle name="Percent 0.000% Long Underline" xfId="714" xr:uid="{00000000-0005-0000-0000-00003C040000}"/>
    <cellStyle name="Percent 0.000%_Mini-LBO" xfId="715" xr:uid="{00000000-0005-0000-0000-00003D040000}"/>
    <cellStyle name="Percent 0.0000%" xfId="716" xr:uid="{00000000-0005-0000-0000-00003E040000}"/>
    <cellStyle name="Percent 0.0000% Long Underline" xfId="717" xr:uid="{00000000-0005-0000-0000-00003F040000}"/>
    <cellStyle name="Percent 0.0000%_Mini-LBO" xfId="718" xr:uid="{00000000-0005-0000-0000-000040040000}"/>
    <cellStyle name="Percent 0.00000%" xfId="719" xr:uid="{00000000-0005-0000-0000-000041040000}"/>
    <cellStyle name="Percent 1" xfId="720" xr:uid="{00000000-0005-0000-0000-000042040000}"/>
    <cellStyle name="Percent 10 4" xfId="29" xr:uid="{00000000-0005-0000-0000-000043040000}"/>
    <cellStyle name="Percent 2" xfId="31" xr:uid="{00000000-0005-0000-0000-000044040000}"/>
    <cellStyle name="Percent 2 2" xfId="28" xr:uid="{00000000-0005-0000-0000-000045040000}"/>
    <cellStyle name="Percent 3" xfId="317" xr:uid="{00000000-0005-0000-0000-000046040000}"/>
    <cellStyle name="Percent 3 2" xfId="318" xr:uid="{00000000-0005-0000-0000-000047040000}"/>
    <cellStyle name="Percent 3 3" xfId="319" xr:uid="{00000000-0005-0000-0000-000048040000}"/>
    <cellStyle name="Percent 4" xfId="30" xr:uid="{00000000-0005-0000-0000-000049040000}"/>
    <cellStyle name="Percent 5" xfId="320" xr:uid="{00000000-0005-0000-0000-00004A040000}"/>
    <cellStyle name="Percent 5 2" xfId="321" xr:uid="{00000000-0005-0000-0000-00004B040000}"/>
    <cellStyle name="Percent 6" xfId="497" xr:uid="{00000000-0005-0000-0000-00004C040000}"/>
    <cellStyle name="Percent 6 2" xfId="1362" xr:uid="{00000000-0005-0000-0000-00004D040000}"/>
    <cellStyle name="Percent 7" xfId="937" xr:uid="{00000000-0005-0000-0000-00004E040000}"/>
    <cellStyle name="Percent 8" xfId="1187" xr:uid="{00000000-0005-0000-0000-00004F040000}"/>
    <cellStyle name="Percent Hard" xfId="721" xr:uid="{00000000-0005-0000-0000-000050040000}"/>
    <cellStyle name="Percent(1)" xfId="1298" xr:uid="{00000000-0005-0000-0000-000051040000}"/>
    <cellStyle name="Percent_LULU Model" xfId="1357" xr:uid="{00000000-0005-0000-0000-000052040000}"/>
    <cellStyle name="Percent0" xfId="722" xr:uid="{00000000-0005-0000-0000-000053040000}"/>
    <cellStyle name="Percent1" xfId="723" xr:uid="{00000000-0005-0000-0000-000054040000}"/>
    <cellStyle name="Percent1Blue" xfId="724" xr:uid="{00000000-0005-0000-0000-000055040000}"/>
    <cellStyle name="Percent2" xfId="725" xr:uid="{00000000-0005-0000-0000-000056040000}"/>
    <cellStyle name="Percent2Blue" xfId="726" xr:uid="{00000000-0005-0000-0000-000057040000}"/>
    <cellStyle name="Percentage" xfId="1299" xr:uid="{00000000-0005-0000-0000-000058040000}"/>
    <cellStyle name="PercentSales" xfId="727" xr:uid="{00000000-0005-0000-0000-000059040000}"/>
    <cellStyle name="Perlong" xfId="728" xr:uid="{00000000-0005-0000-0000-00005A040000}"/>
    <cellStyle name="PlainDollar" xfId="1300" xr:uid="{00000000-0005-0000-0000-00005B040000}"/>
    <cellStyle name="Pool/Single" xfId="1301" xr:uid="{00000000-0005-0000-0000-00005C040000}"/>
    <cellStyle name="Preffered" xfId="1302" xr:uid="{00000000-0005-0000-0000-00005D040000}"/>
    <cellStyle name="PrePop Currency (0)" xfId="729" xr:uid="{00000000-0005-0000-0000-00005E040000}"/>
    <cellStyle name="PrePop Currency (2)" xfId="730" xr:uid="{00000000-0005-0000-0000-00005F040000}"/>
    <cellStyle name="PrePop Units (0)" xfId="731" xr:uid="{00000000-0005-0000-0000-000060040000}"/>
    <cellStyle name="PrePop Units (1)" xfId="732" xr:uid="{00000000-0005-0000-0000-000061040000}"/>
    <cellStyle name="PrePop Units (2)" xfId="733" xr:uid="{00000000-0005-0000-0000-000062040000}"/>
    <cellStyle name="Price" xfId="734" xr:uid="{00000000-0005-0000-0000-000063040000}"/>
    <cellStyle name="PriceUn" xfId="735" xr:uid="{00000000-0005-0000-0000-000064040000}"/>
    <cellStyle name="pricing" xfId="736" xr:uid="{00000000-0005-0000-0000-000065040000}"/>
    <cellStyle name="prin" xfId="737" xr:uid="{00000000-0005-0000-0000-000066040000}"/>
    <cellStyle name="Private" xfId="738" xr:uid="{00000000-0005-0000-0000-000067040000}"/>
    <cellStyle name="Private1" xfId="739" xr:uid="{00000000-0005-0000-0000-000068040000}"/>
    <cellStyle name="Procent_BINV" xfId="740" xr:uid="{00000000-0005-0000-0000-000069040000}"/>
    <cellStyle name="prot" xfId="1303" xr:uid="{00000000-0005-0000-0000-00006A040000}"/>
    <cellStyle name="ProtectedDates" xfId="1304" xr:uid="{00000000-0005-0000-0000-00006B040000}"/>
    <cellStyle name="Provisional" xfId="741" xr:uid="{00000000-0005-0000-0000-00006C040000}"/>
    <cellStyle name="PSChar" xfId="742" xr:uid="{00000000-0005-0000-0000-00006D040000}"/>
    <cellStyle name="PSDate" xfId="743" xr:uid="{00000000-0005-0000-0000-00006E040000}"/>
    <cellStyle name="PSDec" xfId="744" xr:uid="{00000000-0005-0000-0000-00006F040000}"/>
    <cellStyle name="PSHeading" xfId="745" xr:uid="{00000000-0005-0000-0000-000070040000}"/>
    <cellStyle name="PSInt" xfId="746" xr:uid="{00000000-0005-0000-0000-000071040000}"/>
    <cellStyle name="PSSpacer" xfId="747" xr:uid="{00000000-0005-0000-0000-000072040000}"/>
    <cellStyle name="Punto" xfId="1305" xr:uid="{00000000-0005-0000-0000-000073040000}"/>
    <cellStyle name="Pддotsikko" xfId="322" xr:uid="{00000000-0005-0000-0000-000074040000}"/>
    <cellStyle name="r" xfId="1306" xr:uid="{00000000-0005-0000-0000-000075040000}"/>
    <cellStyle name="r_Accretion " xfId="4" xr:uid="{00000000-0005-0000-0000-000076040000}"/>
    <cellStyle name="Red" xfId="323" xr:uid="{00000000-0005-0000-0000-000077040000}"/>
    <cellStyle name="Red (#,###0)" xfId="748" xr:uid="{00000000-0005-0000-0000-000078040000}"/>
    <cellStyle name="Red font" xfId="749" xr:uid="{00000000-0005-0000-0000-000079040000}"/>
    <cellStyle name="regstoresfromspecstores" xfId="750" xr:uid="{00000000-0005-0000-0000-00007A040000}"/>
    <cellStyle name="Restruct" xfId="1307" xr:uid="{00000000-0005-0000-0000-00007B040000}"/>
    <cellStyle name="Reuters Cells" xfId="1308" xr:uid="{00000000-0005-0000-0000-00007C040000}"/>
    <cellStyle name="RevList" xfId="751" xr:uid="{00000000-0005-0000-0000-00007D040000}"/>
    <cellStyle name="Right" xfId="1309" xr:uid="{00000000-0005-0000-0000-00007E040000}"/>
    <cellStyle name="RRSInstruction" xfId="1310" xr:uid="{00000000-0005-0000-0000-00007F040000}"/>
    <cellStyle name="s" xfId="752" xr:uid="{00000000-0005-0000-0000-000080040000}"/>
    <cellStyle name="s_HardInc " xfId="1311" xr:uid="{00000000-0005-0000-0000-000081040000}"/>
    <cellStyle name="s_Valuation " xfId="5" xr:uid="{00000000-0005-0000-0000-000082040000}"/>
    <cellStyle name="Salomon Logo" xfId="324" xr:uid="{00000000-0005-0000-0000-000083040000}"/>
    <cellStyle name="SAPBEXaggData" xfId="325" xr:uid="{00000000-0005-0000-0000-000084040000}"/>
    <cellStyle name="SAPBEXaggDataEmph" xfId="326" xr:uid="{00000000-0005-0000-0000-000085040000}"/>
    <cellStyle name="SAPBEXaggItem" xfId="327" xr:uid="{00000000-0005-0000-0000-000086040000}"/>
    <cellStyle name="SAPBEXaggItemX" xfId="328" xr:uid="{00000000-0005-0000-0000-000087040000}"/>
    <cellStyle name="SAPBEXchaText" xfId="329" xr:uid="{00000000-0005-0000-0000-000088040000}"/>
    <cellStyle name="SAPBEXexcBad7" xfId="330" xr:uid="{00000000-0005-0000-0000-000089040000}"/>
    <cellStyle name="SAPBEXexcBad8" xfId="331" xr:uid="{00000000-0005-0000-0000-00008A040000}"/>
    <cellStyle name="SAPBEXexcBad9" xfId="332" xr:uid="{00000000-0005-0000-0000-00008B040000}"/>
    <cellStyle name="SAPBEXexcCritical4" xfId="333" xr:uid="{00000000-0005-0000-0000-00008C040000}"/>
    <cellStyle name="SAPBEXexcCritical5" xfId="334" xr:uid="{00000000-0005-0000-0000-00008D040000}"/>
    <cellStyle name="SAPBEXexcCritical6" xfId="335" xr:uid="{00000000-0005-0000-0000-00008E040000}"/>
    <cellStyle name="SAPBEXexcGood1" xfId="336" xr:uid="{00000000-0005-0000-0000-00008F040000}"/>
    <cellStyle name="SAPBEXexcGood2" xfId="337" xr:uid="{00000000-0005-0000-0000-000090040000}"/>
    <cellStyle name="SAPBEXexcGood3" xfId="338" xr:uid="{00000000-0005-0000-0000-000091040000}"/>
    <cellStyle name="SAPBEXfilterDrill" xfId="339" xr:uid="{00000000-0005-0000-0000-000092040000}"/>
    <cellStyle name="SAPBEXfilterItem" xfId="340" xr:uid="{00000000-0005-0000-0000-000093040000}"/>
    <cellStyle name="SAPBEXfilterText" xfId="341" xr:uid="{00000000-0005-0000-0000-000094040000}"/>
    <cellStyle name="SAPBEXformats" xfId="342" xr:uid="{00000000-0005-0000-0000-000095040000}"/>
    <cellStyle name="SAPBEXheaderItem" xfId="343" xr:uid="{00000000-0005-0000-0000-000096040000}"/>
    <cellStyle name="SAPBEXheaderItem 2" xfId="344" xr:uid="{00000000-0005-0000-0000-000097040000}"/>
    <cellStyle name="SAPBEXheaderItem 3" xfId="345" xr:uid="{00000000-0005-0000-0000-000098040000}"/>
    <cellStyle name="SAPBEXheaderText" xfId="346" xr:uid="{00000000-0005-0000-0000-000099040000}"/>
    <cellStyle name="SAPBEXheaderText 2" xfId="347" xr:uid="{00000000-0005-0000-0000-00009A040000}"/>
    <cellStyle name="SAPBEXheaderText 3" xfId="348" xr:uid="{00000000-0005-0000-0000-00009B040000}"/>
    <cellStyle name="SAPBEXHLevel0" xfId="349" xr:uid="{00000000-0005-0000-0000-00009C040000}"/>
    <cellStyle name="SAPBEXHLevel0X" xfId="350" xr:uid="{00000000-0005-0000-0000-00009D040000}"/>
    <cellStyle name="SAPBEXHLevel1" xfId="351" xr:uid="{00000000-0005-0000-0000-00009E040000}"/>
    <cellStyle name="SAPBEXHLevel1X" xfId="352" xr:uid="{00000000-0005-0000-0000-00009F040000}"/>
    <cellStyle name="SAPBEXHLevel2" xfId="353" xr:uid="{00000000-0005-0000-0000-0000A0040000}"/>
    <cellStyle name="SAPBEXHLevel2X" xfId="354" xr:uid="{00000000-0005-0000-0000-0000A1040000}"/>
    <cellStyle name="SAPBEXHLevel3" xfId="355" xr:uid="{00000000-0005-0000-0000-0000A2040000}"/>
    <cellStyle name="SAPBEXHLevel3X" xfId="356" xr:uid="{00000000-0005-0000-0000-0000A3040000}"/>
    <cellStyle name="SAPBEXresData" xfId="357" xr:uid="{00000000-0005-0000-0000-0000A4040000}"/>
    <cellStyle name="SAPBEXresDataEmph" xfId="358" xr:uid="{00000000-0005-0000-0000-0000A5040000}"/>
    <cellStyle name="SAPBEXresItem" xfId="359" xr:uid="{00000000-0005-0000-0000-0000A6040000}"/>
    <cellStyle name="SAPBEXresItemX" xfId="360" xr:uid="{00000000-0005-0000-0000-0000A7040000}"/>
    <cellStyle name="SAPBEXstdData" xfId="361" xr:uid="{00000000-0005-0000-0000-0000A8040000}"/>
    <cellStyle name="SAPBEXstdDataEmph" xfId="362" xr:uid="{00000000-0005-0000-0000-0000A9040000}"/>
    <cellStyle name="SAPBEXstdItem" xfId="363" xr:uid="{00000000-0005-0000-0000-0000AA040000}"/>
    <cellStyle name="SAPBEXstdItemX" xfId="364" xr:uid="{00000000-0005-0000-0000-0000AB040000}"/>
    <cellStyle name="SAPBEXtitle" xfId="365" xr:uid="{00000000-0005-0000-0000-0000AC040000}"/>
    <cellStyle name="SAPBEXundefined" xfId="366" xr:uid="{00000000-0005-0000-0000-0000AD040000}"/>
    <cellStyle name="SAPBEXundefined 2" xfId="367" xr:uid="{00000000-0005-0000-0000-0000AE040000}"/>
    <cellStyle name="SAPBEXundefined 3" xfId="368" xr:uid="{00000000-0005-0000-0000-0000AF040000}"/>
    <cellStyle name="SAPBorder" xfId="467" xr:uid="{00000000-0005-0000-0000-0000B0040000}"/>
    <cellStyle name="SAPDataCell" xfId="468" xr:uid="{00000000-0005-0000-0000-0000B1040000}"/>
    <cellStyle name="SAPDataTotalCell" xfId="469" xr:uid="{00000000-0005-0000-0000-0000B2040000}"/>
    <cellStyle name="SAPDimensionCell" xfId="470" xr:uid="{00000000-0005-0000-0000-0000B3040000}"/>
    <cellStyle name="SAPEditableDataCell" xfId="471" xr:uid="{00000000-0005-0000-0000-0000B4040000}"/>
    <cellStyle name="SAPEditableDataTotalCell" xfId="472" xr:uid="{00000000-0005-0000-0000-0000B5040000}"/>
    <cellStyle name="SAPEmphasized" xfId="473" xr:uid="{00000000-0005-0000-0000-0000B6040000}"/>
    <cellStyle name="SAPExceptionLevel1" xfId="474" xr:uid="{00000000-0005-0000-0000-0000B7040000}"/>
    <cellStyle name="SAPExceptionLevel2" xfId="475" xr:uid="{00000000-0005-0000-0000-0000B8040000}"/>
    <cellStyle name="SAPExceptionLevel3" xfId="476" xr:uid="{00000000-0005-0000-0000-0000B9040000}"/>
    <cellStyle name="SAPExceptionLevel4" xfId="477" xr:uid="{00000000-0005-0000-0000-0000BA040000}"/>
    <cellStyle name="SAPExceptionLevel5" xfId="478" xr:uid="{00000000-0005-0000-0000-0000BB040000}"/>
    <cellStyle name="SAPExceptionLevel6" xfId="479" xr:uid="{00000000-0005-0000-0000-0000BC040000}"/>
    <cellStyle name="SAPExceptionLevel7" xfId="480" xr:uid="{00000000-0005-0000-0000-0000BD040000}"/>
    <cellStyle name="SAPExceptionLevel8" xfId="481" xr:uid="{00000000-0005-0000-0000-0000BE040000}"/>
    <cellStyle name="SAPExceptionLevel9" xfId="482" xr:uid="{00000000-0005-0000-0000-0000BF040000}"/>
    <cellStyle name="SAPHierarchyCell0" xfId="483" xr:uid="{00000000-0005-0000-0000-0000C0040000}"/>
    <cellStyle name="SAPHierarchyCell1" xfId="484" xr:uid="{00000000-0005-0000-0000-0000C1040000}"/>
    <cellStyle name="SAPHierarchyCell2" xfId="485" xr:uid="{00000000-0005-0000-0000-0000C2040000}"/>
    <cellStyle name="SAPHierarchyCell3" xfId="486" xr:uid="{00000000-0005-0000-0000-0000C3040000}"/>
    <cellStyle name="SAPHierarchyCell4" xfId="487" xr:uid="{00000000-0005-0000-0000-0000C4040000}"/>
    <cellStyle name="SAPLockedDataCell" xfId="488" xr:uid="{00000000-0005-0000-0000-0000C5040000}"/>
    <cellStyle name="SAPLockedDataTotalCell" xfId="489" xr:uid="{00000000-0005-0000-0000-0000C6040000}"/>
    <cellStyle name="SAPMemberCell" xfId="490" xr:uid="{00000000-0005-0000-0000-0000C7040000}"/>
    <cellStyle name="SAPMemberTotalCell" xfId="491" xr:uid="{00000000-0005-0000-0000-0000C8040000}"/>
    <cellStyle name="SAPReadonlyDataCell" xfId="492" xr:uid="{00000000-0005-0000-0000-0000C9040000}"/>
    <cellStyle name="SAPReadonlyDataTotalCell" xfId="493" xr:uid="{00000000-0005-0000-0000-0000CA040000}"/>
    <cellStyle name="ScotchRule" xfId="369" xr:uid="{00000000-0005-0000-0000-0000CB040000}"/>
    <cellStyle name="SectionHeaderNormal" xfId="511" xr:uid="{00000000-0005-0000-0000-0000CC040000}"/>
    <cellStyle name="Separador de milhares [0]_Proyección de ingresos" xfId="753" xr:uid="{00000000-0005-0000-0000-0000CD040000}"/>
    <cellStyle name="Separador de milhares_Proyección de ingresos" xfId="754" xr:uid="{00000000-0005-0000-0000-0000CE040000}"/>
    <cellStyle name="Shaded" xfId="755" xr:uid="{00000000-0005-0000-0000-0000CF040000}"/>
    <cellStyle name="ShadedCells_Database" xfId="1312" xr:uid="{00000000-0005-0000-0000-0000D0040000}"/>
    <cellStyle name="SHADEDSTORES" xfId="756" xr:uid="{00000000-0005-0000-0000-0000D1040000}"/>
    <cellStyle name="Sheet Title" xfId="1313" xr:uid="{00000000-0005-0000-0000-0000D2040000}"/>
    <cellStyle name="ShOut" xfId="1314" xr:uid="{00000000-0005-0000-0000-0000D3040000}"/>
    <cellStyle name="Single Accounting" xfId="370" xr:uid="{00000000-0005-0000-0000-0000D4040000}"/>
    <cellStyle name="Single Accounting 2" xfId="371" xr:uid="{00000000-0005-0000-0000-0000D5040000}"/>
    <cellStyle name="Single Accounting 3" xfId="372" xr:uid="{00000000-0005-0000-0000-0000D6040000}"/>
    <cellStyle name="Size" xfId="1315" xr:uid="{00000000-0005-0000-0000-0000D7040000}"/>
    <cellStyle name="small" xfId="373" xr:uid="{00000000-0005-0000-0000-0000D8040000}"/>
    <cellStyle name="Source" xfId="1316" xr:uid="{00000000-0005-0000-0000-0000D9040000}"/>
    <cellStyle name="specstores" xfId="757" xr:uid="{00000000-0005-0000-0000-0000DA040000}"/>
    <cellStyle name="SSComma0" xfId="1317" xr:uid="{00000000-0005-0000-0000-0000DB040000}"/>
    <cellStyle name="SSComma2" xfId="1318" xr:uid="{00000000-0005-0000-0000-0000DC040000}"/>
    <cellStyle name="SSDecs3" xfId="1319" xr:uid="{00000000-0005-0000-0000-0000DD040000}"/>
    <cellStyle name="SSDflt" xfId="1320" xr:uid="{00000000-0005-0000-0000-0000DE040000}"/>
    <cellStyle name="SSDfltPct" xfId="1321" xr:uid="{00000000-0005-0000-0000-0000DF040000}"/>
    <cellStyle name="SSDfltPct0" xfId="1322" xr:uid="{00000000-0005-0000-0000-0000E0040000}"/>
    <cellStyle name="SSFixed2" xfId="1323" xr:uid="{00000000-0005-0000-0000-0000E1040000}"/>
    <cellStyle name="ssp " xfId="1324" xr:uid="{00000000-0005-0000-0000-0000E2040000}"/>
    <cellStyle name="Standaard_BINV" xfId="758" xr:uid="{00000000-0005-0000-0000-0000E3040000}"/>
    <cellStyle name="Standard_tabelle" xfId="374" xr:uid="{00000000-0005-0000-0000-0000E4040000}"/>
    <cellStyle name="Status" xfId="1325" xr:uid="{00000000-0005-0000-0000-0000E5040000}"/>
    <cellStyle name="STCelkem" xfId="375" xr:uid="{00000000-0005-0000-0000-0000E6040000}"/>
    <cellStyle name="STHide" xfId="376" xr:uid="{00000000-0005-0000-0000-0000E7040000}"/>
    <cellStyle name="STNadpis1" xfId="377" xr:uid="{00000000-0005-0000-0000-0000E8040000}"/>
    <cellStyle name="STNazRadku1" xfId="378" xr:uid="{00000000-0005-0000-0000-0000E9040000}"/>
    <cellStyle name="STNazRadku2" xfId="379" xr:uid="{00000000-0005-0000-0000-0000EA040000}"/>
    <cellStyle name="STNazTab" xfId="380" xr:uid="{00000000-0005-0000-0000-0000EB040000}"/>
    <cellStyle name="STNonEdit" xfId="381" xr:uid="{00000000-0005-0000-0000-0000EC040000}"/>
    <cellStyle name="STPodnik" xfId="382" xr:uid="{00000000-0005-0000-0000-0000ED040000}"/>
    <cellStyle name="STPopis1" xfId="383" xr:uid="{00000000-0005-0000-0000-0000EE040000}"/>
    <cellStyle name="Strange" xfId="759" xr:uid="{00000000-0005-0000-0000-0000EF040000}"/>
    <cellStyle name="STRoky" xfId="384" xr:uid="{00000000-0005-0000-0000-0000F0040000}"/>
    <cellStyle name="STTempa" xfId="385" xr:uid="{00000000-0005-0000-0000-0000F1040000}"/>
    <cellStyle name="STYL1 - Style1" xfId="760" xr:uid="{00000000-0005-0000-0000-0000F2040000}"/>
    <cellStyle name="STYL2 - Style2" xfId="761" xr:uid="{00000000-0005-0000-0000-0000F3040000}"/>
    <cellStyle name="Style 1" xfId="386" xr:uid="{00000000-0005-0000-0000-0000F4040000}"/>
    <cellStyle name="Style 1 2" xfId="1326" xr:uid="{00000000-0005-0000-0000-0000F5040000}"/>
    <cellStyle name="Style 100" xfId="762" xr:uid="{00000000-0005-0000-0000-0000F6040000}"/>
    <cellStyle name="Style 101" xfId="763" xr:uid="{00000000-0005-0000-0000-0000F7040000}"/>
    <cellStyle name="Style 102" xfId="764" xr:uid="{00000000-0005-0000-0000-0000F8040000}"/>
    <cellStyle name="Style 103" xfId="765" xr:uid="{00000000-0005-0000-0000-0000F9040000}"/>
    <cellStyle name="Style 104" xfId="766" xr:uid="{00000000-0005-0000-0000-0000FA040000}"/>
    <cellStyle name="Style 2" xfId="387" xr:uid="{00000000-0005-0000-0000-0000FB040000}"/>
    <cellStyle name="Style 2 2" xfId="388" xr:uid="{00000000-0005-0000-0000-0000FC040000}"/>
    <cellStyle name="Style 2 3" xfId="389" xr:uid="{00000000-0005-0000-0000-0000FD040000}"/>
    <cellStyle name="Style 21" xfId="767" xr:uid="{00000000-0005-0000-0000-0000FE040000}"/>
    <cellStyle name="Style 22" xfId="768" xr:uid="{00000000-0005-0000-0000-0000FF040000}"/>
    <cellStyle name="Style 23" xfId="769" xr:uid="{00000000-0005-0000-0000-000000050000}"/>
    <cellStyle name="Style 24" xfId="770" xr:uid="{00000000-0005-0000-0000-000001050000}"/>
    <cellStyle name="Style 25" xfId="771" xr:uid="{00000000-0005-0000-0000-000002050000}"/>
    <cellStyle name="Style 26" xfId="772" xr:uid="{00000000-0005-0000-0000-000003050000}"/>
    <cellStyle name="Style 27" xfId="773" xr:uid="{00000000-0005-0000-0000-000004050000}"/>
    <cellStyle name="Style 28" xfId="774" xr:uid="{00000000-0005-0000-0000-000005050000}"/>
    <cellStyle name="Style 29" xfId="775" xr:uid="{00000000-0005-0000-0000-000006050000}"/>
    <cellStyle name="Style 3" xfId="390" xr:uid="{00000000-0005-0000-0000-000007050000}"/>
    <cellStyle name="Style 3 2" xfId="391" xr:uid="{00000000-0005-0000-0000-000008050000}"/>
    <cellStyle name="Style 3 3" xfId="392" xr:uid="{00000000-0005-0000-0000-000009050000}"/>
    <cellStyle name="Style 30" xfId="776" xr:uid="{00000000-0005-0000-0000-00000A050000}"/>
    <cellStyle name="Style 31" xfId="777" xr:uid="{00000000-0005-0000-0000-00000B050000}"/>
    <cellStyle name="Style 32" xfId="778" xr:uid="{00000000-0005-0000-0000-00000C050000}"/>
    <cellStyle name="Style 33" xfId="779" xr:uid="{00000000-0005-0000-0000-00000D050000}"/>
    <cellStyle name="Style 34" xfId="780" xr:uid="{00000000-0005-0000-0000-00000E050000}"/>
    <cellStyle name="Style 35" xfId="781" xr:uid="{00000000-0005-0000-0000-00000F050000}"/>
    <cellStyle name="Style 36" xfId="782" xr:uid="{00000000-0005-0000-0000-000010050000}"/>
    <cellStyle name="Style 37" xfId="783" xr:uid="{00000000-0005-0000-0000-000011050000}"/>
    <cellStyle name="Style 38" xfId="784" xr:uid="{00000000-0005-0000-0000-000012050000}"/>
    <cellStyle name="Style 39" xfId="785" xr:uid="{00000000-0005-0000-0000-000013050000}"/>
    <cellStyle name="Style 4" xfId="393" xr:uid="{00000000-0005-0000-0000-000014050000}"/>
    <cellStyle name="Style 4 2" xfId="394" xr:uid="{00000000-0005-0000-0000-000015050000}"/>
    <cellStyle name="Style 4 3" xfId="395" xr:uid="{00000000-0005-0000-0000-000016050000}"/>
    <cellStyle name="Style 40" xfId="786" xr:uid="{00000000-0005-0000-0000-000017050000}"/>
    <cellStyle name="Style 41" xfId="787" xr:uid="{00000000-0005-0000-0000-000018050000}"/>
    <cellStyle name="Style 42" xfId="788" xr:uid="{00000000-0005-0000-0000-000019050000}"/>
    <cellStyle name="Style 43" xfId="789" xr:uid="{00000000-0005-0000-0000-00001A050000}"/>
    <cellStyle name="Style 44" xfId="790" xr:uid="{00000000-0005-0000-0000-00001B050000}"/>
    <cellStyle name="Style 45" xfId="791" xr:uid="{00000000-0005-0000-0000-00001C050000}"/>
    <cellStyle name="Style 46" xfId="792" xr:uid="{00000000-0005-0000-0000-00001D050000}"/>
    <cellStyle name="Style 47" xfId="793" xr:uid="{00000000-0005-0000-0000-00001E050000}"/>
    <cellStyle name="Style 48" xfId="794" xr:uid="{00000000-0005-0000-0000-00001F050000}"/>
    <cellStyle name="Style 49" xfId="795" xr:uid="{00000000-0005-0000-0000-000020050000}"/>
    <cellStyle name="Style 5" xfId="396" xr:uid="{00000000-0005-0000-0000-000021050000}"/>
    <cellStyle name="Style 50" xfId="796" xr:uid="{00000000-0005-0000-0000-000022050000}"/>
    <cellStyle name="Style 51" xfId="797" xr:uid="{00000000-0005-0000-0000-000023050000}"/>
    <cellStyle name="Style 52" xfId="798" xr:uid="{00000000-0005-0000-0000-000024050000}"/>
    <cellStyle name="Style 53" xfId="799" xr:uid="{00000000-0005-0000-0000-000025050000}"/>
    <cellStyle name="Style 54" xfId="800" xr:uid="{00000000-0005-0000-0000-000026050000}"/>
    <cellStyle name="Style 55" xfId="801" xr:uid="{00000000-0005-0000-0000-000027050000}"/>
    <cellStyle name="Style 56" xfId="802" xr:uid="{00000000-0005-0000-0000-000028050000}"/>
    <cellStyle name="Style 57" xfId="803" xr:uid="{00000000-0005-0000-0000-000029050000}"/>
    <cellStyle name="Style 58" xfId="804" xr:uid="{00000000-0005-0000-0000-00002A050000}"/>
    <cellStyle name="Style 59" xfId="805" xr:uid="{00000000-0005-0000-0000-00002B050000}"/>
    <cellStyle name="Style 60" xfId="806" xr:uid="{00000000-0005-0000-0000-00002C050000}"/>
    <cellStyle name="Style 61" xfId="807" xr:uid="{00000000-0005-0000-0000-00002D050000}"/>
    <cellStyle name="Style 62" xfId="808" xr:uid="{00000000-0005-0000-0000-00002E050000}"/>
    <cellStyle name="Style 63" xfId="809" xr:uid="{00000000-0005-0000-0000-00002F050000}"/>
    <cellStyle name="Style 64" xfId="810" xr:uid="{00000000-0005-0000-0000-000030050000}"/>
    <cellStyle name="Style 65" xfId="811" xr:uid="{00000000-0005-0000-0000-000031050000}"/>
    <cellStyle name="Style 66" xfId="812" xr:uid="{00000000-0005-0000-0000-000032050000}"/>
    <cellStyle name="Style 67" xfId="813" xr:uid="{00000000-0005-0000-0000-000033050000}"/>
    <cellStyle name="Style 68" xfId="814" xr:uid="{00000000-0005-0000-0000-000034050000}"/>
    <cellStyle name="Style 69" xfId="815" xr:uid="{00000000-0005-0000-0000-000035050000}"/>
    <cellStyle name="Style 70" xfId="816" xr:uid="{00000000-0005-0000-0000-000036050000}"/>
    <cellStyle name="Style 71" xfId="817" xr:uid="{00000000-0005-0000-0000-000037050000}"/>
    <cellStyle name="Style 72" xfId="818" xr:uid="{00000000-0005-0000-0000-000038050000}"/>
    <cellStyle name="Style 73" xfId="819" xr:uid="{00000000-0005-0000-0000-000039050000}"/>
    <cellStyle name="Style 74" xfId="820" xr:uid="{00000000-0005-0000-0000-00003A050000}"/>
    <cellStyle name="Style 75" xfId="821" xr:uid="{00000000-0005-0000-0000-00003B050000}"/>
    <cellStyle name="Style 76" xfId="822" xr:uid="{00000000-0005-0000-0000-00003C050000}"/>
    <cellStyle name="Style 77" xfId="823" xr:uid="{00000000-0005-0000-0000-00003D050000}"/>
    <cellStyle name="Style 78" xfId="824" xr:uid="{00000000-0005-0000-0000-00003E050000}"/>
    <cellStyle name="Style 79" xfId="825" xr:uid="{00000000-0005-0000-0000-00003F050000}"/>
    <cellStyle name="Style 80" xfId="826" xr:uid="{00000000-0005-0000-0000-000040050000}"/>
    <cellStyle name="Style 81" xfId="827" xr:uid="{00000000-0005-0000-0000-000041050000}"/>
    <cellStyle name="Style 82" xfId="828" xr:uid="{00000000-0005-0000-0000-000042050000}"/>
    <cellStyle name="Style 83" xfId="829" xr:uid="{00000000-0005-0000-0000-000043050000}"/>
    <cellStyle name="Style 84" xfId="830" xr:uid="{00000000-0005-0000-0000-000044050000}"/>
    <cellStyle name="Style 85" xfId="831" xr:uid="{00000000-0005-0000-0000-000045050000}"/>
    <cellStyle name="Style 86" xfId="832" xr:uid="{00000000-0005-0000-0000-000046050000}"/>
    <cellStyle name="Style 87" xfId="833" xr:uid="{00000000-0005-0000-0000-000047050000}"/>
    <cellStyle name="Style 88" xfId="834" xr:uid="{00000000-0005-0000-0000-000048050000}"/>
    <cellStyle name="Style 89" xfId="835" xr:uid="{00000000-0005-0000-0000-000049050000}"/>
    <cellStyle name="Style 90" xfId="836" xr:uid="{00000000-0005-0000-0000-00004A050000}"/>
    <cellStyle name="Style 91" xfId="837" xr:uid="{00000000-0005-0000-0000-00004B050000}"/>
    <cellStyle name="Style 92" xfId="838" xr:uid="{00000000-0005-0000-0000-00004C050000}"/>
    <cellStyle name="Style 93" xfId="839" xr:uid="{00000000-0005-0000-0000-00004D050000}"/>
    <cellStyle name="Style 94" xfId="840" xr:uid="{00000000-0005-0000-0000-00004E050000}"/>
    <cellStyle name="Style 95" xfId="841" xr:uid="{00000000-0005-0000-0000-00004F050000}"/>
    <cellStyle name="Style 96" xfId="842" xr:uid="{00000000-0005-0000-0000-000050050000}"/>
    <cellStyle name="Style 97" xfId="843" xr:uid="{00000000-0005-0000-0000-000051050000}"/>
    <cellStyle name="Style 98" xfId="844" xr:uid="{00000000-0005-0000-0000-000052050000}"/>
    <cellStyle name="Style 99" xfId="845" xr:uid="{00000000-0005-0000-0000-000053050000}"/>
    <cellStyle name="Style D green" xfId="1327" xr:uid="{00000000-0005-0000-0000-000054050000}"/>
    <cellStyle name="Style E" xfId="1328" xr:uid="{00000000-0005-0000-0000-000055050000}"/>
    <cellStyle name="Style H" xfId="1329" xr:uid="{00000000-0005-0000-0000-000056050000}"/>
    <cellStyle name="STYLE1" xfId="846" xr:uid="{00000000-0005-0000-0000-000057050000}"/>
    <cellStyle name="STYLE1 - Style1" xfId="397" xr:uid="{00000000-0005-0000-0000-000058050000}"/>
    <cellStyle name="STYLE1 - Style1 2" xfId="398" xr:uid="{00000000-0005-0000-0000-000059050000}"/>
    <cellStyle name="STYLE1 - Style1 3" xfId="399" xr:uid="{00000000-0005-0000-0000-00005A050000}"/>
    <cellStyle name="STYLE10" xfId="847" xr:uid="{00000000-0005-0000-0000-00005B050000}"/>
    <cellStyle name="STYLE11" xfId="848" xr:uid="{00000000-0005-0000-0000-00005C050000}"/>
    <cellStyle name="STYLE2" xfId="849" xr:uid="{00000000-0005-0000-0000-00005D050000}"/>
    <cellStyle name="STYLE3" xfId="850" xr:uid="{00000000-0005-0000-0000-00005E050000}"/>
    <cellStyle name="STYLE4" xfId="851" xr:uid="{00000000-0005-0000-0000-00005F050000}"/>
    <cellStyle name="STYLE5" xfId="852" xr:uid="{00000000-0005-0000-0000-000060050000}"/>
    <cellStyle name="STYLE6" xfId="853" xr:uid="{00000000-0005-0000-0000-000061050000}"/>
    <cellStyle name="STYLE7" xfId="854" xr:uid="{00000000-0005-0000-0000-000062050000}"/>
    <cellStyle name="STYLE8" xfId="855" xr:uid="{00000000-0005-0000-0000-000063050000}"/>
    <cellStyle name="STYLE9" xfId="856" xr:uid="{00000000-0005-0000-0000-000064050000}"/>
    <cellStyle name="StyleName1" xfId="857" xr:uid="{00000000-0005-0000-0000-000065050000}"/>
    <cellStyle name="StyleName2" xfId="858" xr:uid="{00000000-0005-0000-0000-000066050000}"/>
    <cellStyle name="StyleName3" xfId="859" xr:uid="{00000000-0005-0000-0000-000067050000}"/>
    <cellStyle name="StyleName4" xfId="860" xr:uid="{00000000-0005-0000-0000-000068050000}"/>
    <cellStyle name="StyleName5" xfId="861" xr:uid="{00000000-0005-0000-0000-000069050000}"/>
    <cellStyle name="StyleName6" xfId="862" xr:uid="{00000000-0005-0000-0000-00006A050000}"/>
    <cellStyle name="StyleName7" xfId="863" xr:uid="{00000000-0005-0000-0000-00006B050000}"/>
    <cellStyle name="StyleName8" xfId="864" xr:uid="{00000000-0005-0000-0000-00006C050000}"/>
    <cellStyle name="STZdroj" xfId="400" xr:uid="{00000000-0005-0000-0000-00006D050000}"/>
    <cellStyle name="Sub total" xfId="1330" xr:uid="{00000000-0005-0000-0000-00006E050000}"/>
    <cellStyle name="SubCategory" xfId="865" xr:uid="{00000000-0005-0000-0000-00006F050000}"/>
    <cellStyle name="SubScript" xfId="512" xr:uid="{00000000-0005-0000-0000-000070050000}"/>
    <cellStyle name="Subtitle" xfId="401" xr:uid="{00000000-0005-0000-0000-000071050000}"/>
    <cellStyle name="Subtotal" xfId="866" xr:uid="{00000000-0005-0000-0000-000072050000}"/>
    <cellStyle name="Sum" xfId="867" xr:uid="{00000000-0005-0000-0000-000073050000}"/>
    <cellStyle name="Sum EPS" xfId="868" xr:uid="{00000000-0005-0000-0000-000074050000}"/>
    <cellStyle name="Sum IRR" xfId="869" xr:uid="{00000000-0005-0000-0000-000075050000}"/>
    <cellStyle name="Sum Margin" xfId="870" xr:uid="{00000000-0005-0000-0000-000076050000}"/>
    <cellStyle name="Sum Payback" xfId="871" xr:uid="{00000000-0005-0000-0000-000077050000}"/>
    <cellStyle name="Sum Title 1" xfId="872" xr:uid="{00000000-0005-0000-0000-000078050000}"/>
    <cellStyle name="Sum Title 2" xfId="873" xr:uid="{00000000-0005-0000-0000-000079050000}"/>
    <cellStyle name="Sum Title 3" xfId="874" xr:uid="{00000000-0005-0000-0000-00007A050000}"/>
    <cellStyle name="Sum Title 4" xfId="875" xr:uid="{00000000-0005-0000-0000-00007B050000}"/>
    <cellStyle name="Summary" xfId="876" xr:uid="{00000000-0005-0000-0000-00007C050000}"/>
    <cellStyle name="Summary numbers" xfId="877" xr:uid="{00000000-0005-0000-0000-00007D050000}"/>
    <cellStyle name="SuperScript" xfId="513" xr:uid="{00000000-0005-0000-0000-00007E050000}"/>
    <cellStyle name="Swiss" xfId="1331" xr:uid="{00000000-0005-0000-0000-00007F050000}"/>
    <cellStyle name="t" xfId="1332" xr:uid="{00000000-0005-0000-0000-000080050000}"/>
    <cellStyle name="Table" xfId="878" xr:uid="{00000000-0005-0000-0000-000081050000}"/>
    <cellStyle name="Table Col Head" xfId="879" xr:uid="{00000000-0005-0000-0000-000082050000}"/>
    <cellStyle name="Table end" xfId="1333" xr:uid="{00000000-0005-0000-0000-000083050000}"/>
    <cellStyle name="Table Head" xfId="402" xr:uid="{00000000-0005-0000-0000-000084050000}"/>
    <cellStyle name="Table Head Aligned" xfId="403" xr:uid="{00000000-0005-0000-0000-000085050000}"/>
    <cellStyle name="Table Head Blue" xfId="404" xr:uid="{00000000-0005-0000-0000-000086050000}"/>
    <cellStyle name="Table Head Green" xfId="405" xr:uid="{00000000-0005-0000-0000-000087050000}"/>
    <cellStyle name="Table Head_Val_Sum_Graph" xfId="406" xr:uid="{00000000-0005-0000-0000-000088050000}"/>
    <cellStyle name="Table Sub Head" xfId="880" xr:uid="{00000000-0005-0000-0000-000089050000}"/>
    <cellStyle name="Table Text" xfId="407" xr:uid="{00000000-0005-0000-0000-00008A050000}"/>
    <cellStyle name="table text bold" xfId="1334" xr:uid="{00000000-0005-0000-0000-00008B050000}"/>
    <cellStyle name="table text bold green" xfId="1335" xr:uid="{00000000-0005-0000-0000-00008C050000}"/>
    <cellStyle name="table text light" xfId="1336" xr:uid="{00000000-0005-0000-0000-00008D050000}"/>
    <cellStyle name="Table Title" xfId="408" xr:uid="{00000000-0005-0000-0000-00008E050000}"/>
    <cellStyle name="Table Units" xfId="409" xr:uid="{00000000-0005-0000-0000-00008F050000}"/>
    <cellStyle name="Table_Header" xfId="410" xr:uid="{00000000-0005-0000-0000-000090050000}"/>
    <cellStyle name="TableBase" xfId="881" xr:uid="{00000000-0005-0000-0000-000091050000}"/>
    <cellStyle name="TableBody" xfId="882" xr:uid="{00000000-0005-0000-0000-000092050000}"/>
    <cellStyle name="TableBodyR" xfId="883" xr:uid="{00000000-0005-0000-0000-000093050000}"/>
    <cellStyle name="TableColHeads" xfId="884" xr:uid="{00000000-0005-0000-0000-000094050000}"/>
    <cellStyle name="TableHead" xfId="885" xr:uid="{00000000-0005-0000-0000-000095050000}"/>
    <cellStyle name="Term" xfId="1337" xr:uid="{00000000-0005-0000-0000-000096050000}"/>
    <cellStyle name="Test [green]" xfId="886" xr:uid="{00000000-0005-0000-0000-000097050000}"/>
    <cellStyle name="Testo avviso" xfId="411" xr:uid="{00000000-0005-0000-0000-000098050000}"/>
    <cellStyle name="Testo descrittivo" xfId="412" xr:uid="{00000000-0005-0000-0000-000099050000}"/>
    <cellStyle name="Text" xfId="887" xr:uid="{00000000-0005-0000-0000-00009A050000}"/>
    <cellStyle name="Text 1" xfId="413" xr:uid="{00000000-0005-0000-0000-00009B050000}"/>
    <cellStyle name="Text 8" xfId="888" xr:uid="{00000000-0005-0000-0000-00009C050000}"/>
    <cellStyle name="Text Head 1" xfId="414" xr:uid="{00000000-0005-0000-0000-00009D050000}"/>
    <cellStyle name="Text Indent A" xfId="889" xr:uid="{00000000-0005-0000-0000-00009E050000}"/>
    <cellStyle name="Text Indent B" xfId="890" xr:uid="{00000000-0005-0000-0000-00009F050000}"/>
    <cellStyle name="Text Indent C" xfId="891" xr:uid="{00000000-0005-0000-0000-0000A0050000}"/>
    <cellStyle name="Text_ATNI Access Minimerger 4.30.08" xfId="892" xr:uid="{00000000-0005-0000-0000-0000A1050000}"/>
    <cellStyle name="TextBold" xfId="514" xr:uid="{00000000-0005-0000-0000-0000A2050000}"/>
    <cellStyle name="textbold 2" xfId="1338" xr:uid="{00000000-0005-0000-0000-0000A3050000}"/>
    <cellStyle name="TextItalic" xfId="515" xr:uid="{00000000-0005-0000-0000-0000A4050000}"/>
    <cellStyle name="TextNormal" xfId="516" xr:uid="{00000000-0005-0000-0000-0000A5050000}"/>
    <cellStyle name="TFCF" xfId="893" xr:uid="{00000000-0005-0000-0000-0000A6050000}"/>
    <cellStyle name="þ_x001d_ð·!–ý·&amp;FýU_x0001_Â_x0005_[_x0007__x0007__x0001__x0001_" xfId="894" xr:uid="{00000000-0005-0000-0000-0000A7050000}"/>
    <cellStyle name="threedecplace" xfId="895" xr:uid="{00000000-0005-0000-0000-0000A8050000}"/>
    <cellStyle name="Tickmark" xfId="896" xr:uid="{00000000-0005-0000-0000-0000A9050000}"/>
    <cellStyle name="Time" xfId="897" xr:uid="{00000000-0005-0000-0000-0000AA050000}"/>
    <cellStyle name="Times 10" xfId="415" xr:uid="{00000000-0005-0000-0000-0000AB050000}"/>
    <cellStyle name="Times 12" xfId="416" xr:uid="{00000000-0005-0000-0000-0000AC050000}"/>
    <cellStyle name="Times 12 2" xfId="417" xr:uid="{00000000-0005-0000-0000-0000AD050000}"/>
    <cellStyle name="Times 12 3" xfId="418" xr:uid="{00000000-0005-0000-0000-0000AE050000}"/>
    <cellStyle name="Times New Roman" xfId="898" xr:uid="{00000000-0005-0000-0000-0000AF050000}"/>
    <cellStyle name="Title - PROJECT" xfId="1339" xr:uid="{00000000-0005-0000-0000-0000B0050000}"/>
    <cellStyle name="Title - Underline" xfId="1340" xr:uid="{00000000-0005-0000-0000-0000B1050000}"/>
    <cellStyle name="Title 2" xfId="419" xr:uid="{00000000-0005-0000-0000-0000B2050000}"/>
    <cellStyle name="Title 3" xfId="420" xr:uid="{00000000-0005-0000-0000-0000B3050000}"/>
    <cellStyle name="Title1" xfId="1341" xr:uid="{00000000-0005-0000-0000-0000B4050000}"/>
    <cellStyle name="title1 2" xfId="1342" xr:uid="{00000000-0005-0000-0000-0000B5050000}"/>
    <cellStyle name="Title10" xfId="899" xr:uid="{00000000-0005-0000-0000-0000B6050000}"/>
    <cellStyle name="Title2" xfId="900" xr:uid="{00000000-0005-0000-0000-0000B7050000}"/>
    <cellStyle name="title2 2" xfId="1343" xr:uid="{00000000-0005-0000-0000-0000B8050000}"/>
    <cellStyle name="Title8" xfId="901" xr:uid="{00000000-0005-0000-0000-0000B9050000}"/>
    <cellStyle name="Title8Left" xfId="902" xr:uid="{00000000-0005-0000-0000-0000BA050000}"/>
    <cellStyle name="TitleCenter" xfId="903" xr:uid="{00000000-0005-0000-0000-0000BB050000}"/>
    <cellStyle name="TitleLeft" xfId="904" xr:uid="{00000000-0005-0000-0000-0000BC050000}"/>
    <cellStyle name="TitleNormal" xfId="517" xr:uid="{00000000-0005-0000-0000-0000BD050000}"/>
    <cellStyle name="Titles" xfId="1344" xr:uid="{00000000-0005-0000-0000-0000BE050000}"/>
    <cellStyle name="Titles - Col. Headings" xfId="1345" xr:uid="{00000000-0005-0000-0000-0000BF050000}"/>
    <cellStyle name="Titles - Other" xfId="1346" xr:uid="{00000000-0005-0000-0000-0000C0050000}"/>
    <cellStyle name="Titolo" xfId="421" xr:uid="{00000000-0005-0000-0000-0000C1050000}"/>
    <cellStyle name="Titolo 1" xfId="422" xr:uid="{00000000-0005-0000-0000-0000C2050000}"/>
    <cellStyle name="Titolo 2" xfId="423" xr:uid="{00000000-0005-0000-0000-0000C3050000}"/>
    <cellStyle name="Titolo 3" xfId="424" xr:uid="{00000000-0005-0000-0000-0000C4050000}"/>
    <cellStyle name="Titolo 4" xfId="425" xr:uid="{00000000-0005-0000-0000-0000C5050000}"/>
    <cellStyle name="tmsrmn8" xfId="1347" xr:uid="{00000000-0005-0000-0000-0000C6050000}"/>
    <cellStyle name="To" xfId="426" xr:uid="{00000000-0005-0000-0000-0000C7050000}"/>
    <cellStyle name="To 2" xfId="427" xr:uid="{00000000-0005-0000-0000-0000C8050000}"/>
    <cellStyle name="To 3" xfId="428" xr:uid="{00000000-0005-0000-0000-0000C9050000}"/>
    <cellStyle name="Top Line" xfId="1348" xr:uid="{00000000-0005-0000-0000-0000CA050000}"/>
    <cellStyle name="topline" xfId="905" xr:uid="{00000000-0005-0000-0000-0000CB050000}"/>
    <cellStyle name="Totale" xfId="429" xr:uid="{00000000-0005-0000-0000-0000CC050000}"/>
    <cellStyle name="Totals" xfId="1349" xr:uid="{00000000-0005-0000-0000-0000CD050000}"/>
    <cellStyle name="TransVal" xfId="906" xr:uid="{00000000-0005-0000-0000-0000CE050000}"/>
    <cellStyle name="twodecplace" xfId="907" xr:uid="{00000000-0005-0000-0000-0000CF050000}"/>
    <cellStyle name="Underline" xfId="908" xr:uid="{00000000-0005-0000-0000-0000D0050000}"/>
    <cellStyle name="underline 1 decimal" xfId="1350" xr:uid="{00000000-0005-0000-0000-0000D1050000}"/>
    <cellStyle name="UnderLine_Simple lease example_guidance for % asset over liability" xfId="1351" xr:uid="{00000000-0005-0000-0000-0000D2050000}"/>
    <cellStyle name="unm" xfId="1352" xr:uid="{00000000-0005-0000-0000-0000D3050000}"/>
    <cellStyle name="Unprotect" xfId="909" xr:uid="{00000000-0005-0000-0000-0000D4050000}"/>
    <cellStyle name="UnProtectedCalc" xfId="1353" xr:uid="{00000000-0005-0000-0000-0000D5050000}"/>
    <cellStyle name="Upload Only" xfId="1354" xr:uid="{00000000-0005-0000-0000-0000D6050000}"/>
    <cellStyle name="User input" xfId="910" xr:uid="{00000000-0005-0000-0000-0000D7050000}"/>
    <cellStyle name="Valiotsikko" xfId="430" xr:uid="{00000000-0005-0000-0000-0000D8050000}"/>
    <cellStyle name="Valore non valido" xfId="431" xr:uid="{00000000-0005-0000-0000-0000D9050000}"/>
    <cellStyle name="Valore valido" xfId="432" xr:uid="{00000000-0005-0000-0000-0000DA050000}"/>
    <cellStyle name="Valuta [0]_Arcen" xfId="433" xr:uid="{00000000-0005-0000-0000-0000DB050000}"/>
    <cellStyle name="Valuta_Arcen" xfId="434" xr:uid="{00000000-0005-0000-0000-0000DC050000}"/>
    <cellStyle name="Vдliotsikko" xfId="435" xr:uid="{00000000-0005-0000-0000-0000DD050000}"/>
    <cellStyle name="Währung [0]_laroux" xfId="436" xr:uid="{00000000-0005-0000-0000-0000DE050000}"/>
    <cellStyle name="Währung_laroux" xfId="437" xr:uid="{00000000-0005-0000-0000-0000DF050000}"/>
    <cellStyle name="Walutowy [0]_1" xfId="438" xr:uid="{00000000-0005-0000-0000-0000E0050000}"/>
    <cellStyle name="Walutowy_1" xfId="439" xr:uid="{00000000-0005-0000-0000-0000E1050000}"/>
    <cellStyle name="White" xfId="911" xr:uid="{00000000-0005-0000-0000-0000E2050000}"/>
    <cellStyle name="WhitePattern" xfId="912" xr:uid="{00000000-0005-0000-0000-0000E3050000}"/>
    <cellStyle name="WhitePattern1" xfId="913" xr:uid="{00000000-0005-0000-0000-0000E4050000}"/>
    <cellStyle name="WhiteText" xfId="914" xr:uid="{00000000-0005-0000-0000-0000E5050000}"/>
    <cellStyle name="WIP" xfId="440" xr:uid="{00000000-0005-0000-0000-0000E6050000}"/>
    <cellStyle name="WIP 2" xfId="441" xr:uid="{00000000-0005-0000-0000-0000E7050000}"/>
    <cellStyle name="WIP 3" xfId="442" xr:uid="{00000000-0005-0000-0000-0000E8050000}"/>
    <cellStyle name="XComma" xfId="915" xr:uid="{00000000-0005-0000-0000-0000E9050000}"/>
    <cellStyle name="XComma 0.0" xfId="916" xr:uid="{00000000-0005-0000-0000-0000EA050000}"/>
    <cellStyle name="XComma 0.00" xfId="917" xr:uid="{00000000-0005-0000-0000-0000EB050000}"/>
    <cellStyle name="XComma 0.000" xfId="918" xr:uid="{00000000-0005-0000-0000-0000EC050000}"/>
    <cellStyle name="XCurrency" xfId="919" xr:uid="{00000000-0005-0000-0000-0000ED050000}"/>
    <cellStyle name="XCurrency 0.0" xfId="920" xr:uid="{00000000-0005-0000-0000-0000EE050000}"/>
    <cellStyle name="XCurrency 0.00" xfId="921" xr:uid="{00000000-0005-0000-0000-0000EF050000}"/>
    <cellStyle name="XCurrency 0.000" xfId="922" xr:uid="{00000000-0005-0000-0000-0000F0050000}"/>
    <cellStyle name="year" xfId="443" xr:uid="{00000000-0005-0000-0000-0000F1050000}"/>
    <cellStyle name="year [1]" xfId="923" xr:uid="{00000000-0005-0000-0000-0000F2050000}"/>
    <cellStyle name="Year 2" xfId="1355" xr:uid="{00000000-0005-0000-0000-0000F3050000}"/>
    <cellStyle name="Year_5 Year Model 05-16-03 TA Q2" xfId="924" xr:uid="{00000000-0005-0000-0000-0000F4050000}"/>
    <cellStyle name="Year1" xfId="925" xr:uid="{00000000-0005-0000-0000-0000F5050000}"/>
    <cellStyle name="Year2" xfId="926" xr:uid="{00000000-0005-0000-0000-0000F6050000}"/>
    <cellStyle name="Yen" xfId="444" xr:uid="{00000000-0005-0000-0000-0000F7050000}"/>
    <cellStyle name="Yen 2" xfId="445" xr:uid="{00000000-0005-0000-0000-0000F8050000}"/>
    <cellStyle name="Yen 3" xfId="446" xr:uid="{00000000-0005-0000-0000-0000F9050000}"/>
    <cellStyle name="Zero" xfId="447" xr:uid="{00000000-0005-0000-0000-0000FA050000}"/>
    <cellStyle name="Zero 2" xfId="448" xr:uid="{00000000-0005-0000-0000-0000FB050000}"/>
    <cellStyle name="Zero 3" xfId="449" xr:uid="{00000000-0005-0000-0000-0000FC050000}"/>
    <cellStyle name="Ввод " xfId="450" xr:uid="{00000000-0005-0000-0000-0000FD050000}"/>
    <cellStyle name="Верт. заголовок" xfId="451" xr:uid="{00000000-0005-0000-0000-0000FE050000}"/>
    <cellStyle name="Дата" xfId="452" xr:uid="{00000000-0005-0000-0000-0000FF050000}"/>
    <cellStyle name="Невидимый" xfId="453" xr:uid="{00000000-0005-0000-0000-000000060000}"/>
    <cellStyle name="недельный" xfId="454" xr:uid="{00000000-0005-0000-0000-000001060000}"/>
    <cellStyle name="Обычный 2" xfId="455" xr:uid="{00000000-0005-0000-0000-000002060000}"/>
    <cellStyle name="Обычный_3.2.3. GA_exp" xfId="456" xr:uid="{00000000-0005-0000-0000-000003060000}"/>
    <cellStyle name="Процентный 2" xfId="457" xr:uid="{00000000-0005-0000-0000-000004060000}"/>
    <cellStyle name="Субсчет" xfId="458" xr:uid="{00000000-0005-0000-0000-000005060000}"/>
    <cellStyle name="Счет" xfId="459" xr:uid="{00000000-0005-0000-0000-000006060000}"/>
    <cellStyle name="тонны" xfId="460" xr:uid="{00000000-0005-0000-0000-000007060000}"/>
    <cellStyle name="Тысячи [0]_DVIZ_BL" xfId="461" xr:uid="{00000000-0005-0000-0000-000008060000}"/>
    <cellStyle name="Тысячи_DVIZ_BL" xfId="462" xr:uid="{00000000-0005-0000-0000-000009060000}"/>
    <cellStyle name="Финансовый 2" xfId="463" xr:uid="{00000000-0005-0000-0000-00000A060000}"/>
    <cellStyle name="Финансовый_Consol PL 05-2006 plan" xfId="464" xr:uid="{00000000-0005-0000-0000-00000B060000}"/>
    <cellStyle name="Џђћ–…ќ’ќ›‰" xfId="465" xr:uid="{00000000-0005-0000-0000-00000C060000}"/>
    <cellStyle name="ШАУ" xfId="466" xr:uid="{00000000-0005-0000-0000-00000D060000}"/>
    <cellStyle name="콤마 [0]_PLDT" xfId="927" xr:uid="{00000000-0005-0000-0000-00000E060000}"/>
    <cellStyle name="콤마_PLDT" xfId="928" xr:uid="{00000000-0005-0000-0000-00000F060000}"/>
    <cellStyle name="통화 [0]_PLDT" xfId="929" xr:uid="{00000000-0005-0000-0000-000010060000}"/>
    <cellStyle name="통화_PLDT" xfId="930" xr:uid="{00000000-0005-0000-0000-000011060000}"/>
    <cellStyle name="표준_PLDT" xfId="931" xr:uid="{00000000-0005-0000-0000-000012060000}"/>
    <cellStyle name="桁区切り [0.00]_Bookings Forecast 2000-1 Template" xfId="932" xr:uid="{00000000-0005-0000-0000-000013060000}"/>
    <cellStyle name="標準_Bookings Forecast 2000-1 Template" xfId="933" xr:uid="{00000000-0005-0000-0000-000014060000}"/>
    <cellStyle name="通貨 [0.00]_Bookings Forecast 2000-1 Template" xfId="934" xr:uid="{00000000-0005-0000-0000-000015060000}"/>
  </cellStyles>
  <dxfs count="4"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</dxfs>
  <tableStyles count="0" defaultTableStyle="TableStyleMedium2" defaultPivotStyle="PivotStyleLight16"/>
  <colors>
    <mruColors>
      <color rgb="FF0000FF"/>
      <color rgb="FFFFFFCC"/>
      <color rgb="FF6699FF"/>
      <color rgb="FF008000"/>
      <color rgb="FF99CCFF"/>
      <color rgb="FFFF9933"/>
      <color rgb="FFD9D9D9"/>
      <color rgb="FFCCECFF"/>
      <color rgb="FFFFCC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Yearly</a:t>
            </a:r>
            <a:r>
              <a:rPr lang="en-US" baseline="0"/>
              <a:t> Revenue Growth 2011-2014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cat>
            <c:numRef>
              <c:f>IS!$K$6:$Z$6</c:f>
              <c:numCache>
                <c:formatCode>#"Q"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1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1</c:v>
                </c:pt>
                <c:pt idx="9">
                  <c:v>2</c:v>
                </c:pt>
                <c:pt idx="10">
                  <c:v>3</c:v>
                </c:pt>
                <c:pt idx="11">
                  <c:v>4</c:v>
                </c:pt>
                <c:pt idx="12">
                  <c:v>1</c:v>
                </c:pt>
                <c:pt idx="13">
                  <c:v>2</c:v>
                </c:pt>
                <c:pt idx="14">
                  <c:v>3</c:v>
                </c:pt>
                <c:pt idx="15">
                  <c:v>4</c:v>
                </c:pt>
              </c:numCache>
            </c:numRef>
          </c:cat>
          <c:val>
            <c:numRef>
              <c:f>IS!$K$8:$Z$8</c:f>
              <c:numCache>
                <c:formatCode>0.0%</c:formatCode>
                <c:ptCount val="16"/>
                <c:pt idx="0">
                  <c:v>0.11</c:v>
                </c:pt>
                <c:pt idx="1">
                  <c:v>9.8000000000000004E-2</c:v>
                </c:pt>
                <c:pt idx="2">
                  <c:v>0.11</c:v>
                </c:pt>
                <c:pt idx="3">
                  <c:v>0.11</c:v>
                </c:pt>
                <c:pt idx="4">
                  <c:v>5.8241758241758257E-2</c:v>
                </c:pt>
                <c:pt idx="5">
                  <c:v>-6.9409582014623994E-2</c:v>
                </c:pt>
                <c:pt idx="6">
                  <c:v>-5.1492367281840923E-2</c:v>
                </c:pt>
                <c:pt idx="7">
                  <c:v>-1.9010228329372825E-2</c:v>
                </c:pt>
                <c:pt idx="8">
                  <c:v>8.8842736817815737E-3</c:v>
                </c:pt>
                <c:pt idx="9">
                  <c:v>7.9746686994253135E-3</c:v>
                </c:pt>
                <c:pt idx="10">
                  <c:v>1.753543117943801E-2</c:v>
                </c:pt>
                <c:pt idx="11">
                  <c:v>-7.3723012111637232E-4</c:v>
                </c:pt>
                <c:pt idx="12">
                  <c:v>-1.1779505946934998E-2</c:v>
                </c:pt>
                <c:pt idx="13">
                  <c:v>-1.8499127399650983E-2</c:v>
                </c:pt>
                <c:pt idx="14">
                  <c:v>-1.5934844192634579E-2</c:v>
                </c:pt>
                <c:pt idx="15">
                  <c:v>-6.9350758853288341E-2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E1D-498A-BD68-9348FCBF7F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481024"/>
        <c:axId val="92743360"/>
      </c:lineChart>
      <c:catAx>
        <c:axId val="116481024"/>
        <c:scaling>
          <c:orientation val="minMax"/>
        </c:scaling>
        <c:delete val="0"/>
        <c:axPos val="b"/>
        <c:numFmt formatCode="#&quot;Q&quot;" sourceLinked="1"/>
        <c:majorTickMark val="out"/>
        <c:minorTickMark val="none"/>
        <c:tickLblPos val="nextTo"/>
        <c:crossAx val="92743360"/>
        <c:crosses val="autoZero"/>
        <c:auto val="1"/>
        <c:lblAlgn val="ctr"/>
        <c:lblOffset val="100"/>
        <c:noMultiLvlLbl val="0"/>
      </c:catAx>
      <c:valAx>
        <c:axId val="92743360"/>
        <c:scaling>
          <c:orientation val="minMax"/>
        </c:scaling>
        <c:delete val="0"/>
        <c:axPos val="l"/>
        <c:majorGridlines/>
        <c:numFmt formatCode="0.0%" sourceLinked="1"/>
        <c:majorTickMark val="out"/>
        <c:minorTickMark val="none"/>
        <c:tickLblPos val="nextTo"/>
        <c:crossAx val="116481024"/>
        <c:crosses val="autoZero"/>
        <c:crossBetween val="between"/>
      </c:valAx>
      <c:spPr>
        <a:gradFill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Vol/Mix Q/Q:</a:t>
            </a:r>
            <a:r>
              <a:rPr lang="en-US" baseline="0"/>
              <a:t> 2012-2014</a:t>
            </a:r>
            <a:endParaRPr lang="en-US"/>
          </a:p>
          <a:p>
            <a:pPr>
              <a:defRPr/>
            </a:pPr>
            <a:endParaRPr lang="en-U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9.2751763436940984E-2"/>
          <c:y val="0.14015661025797188"/>
          <c:w val="0.73636486185582373"/>
          <c:h val="0.81895013123359561"/>
        </c:manualLayout>
      </c:layout>
      <c:lineChart>
        <c:grouping val="standard"/>
        <c:varyColors val="0"/>
        <c:ser>
          <c:idx val="0"/>
          <c:order val="0"/>
          <c:tx>
            <c:strRef>
              <c:f>'IS-Segments'!$N$85</c:f>
              <c:strCache>
                <c:ptCount val="1"/>
                <c:pt idx="0">
                  <c:v>America</c:v>
                </c:pt>
              </c:strCache>
            </c:strRef>
          </c:tx>
          <c:cat>
            <c:strRef>
              <c:f>'IS-Segments'!$O$84:$Z$84</c:f>
              <c:strCache>
                <c:ptCount val="8"/>
                <c:pt idx="0">
                  <c:v>1Q</c:v>
                </c:pt>
                <c:pt idx="1">
                  <c:v>2Q</c:v>
                </c:pt>
                <c:pt idx="2">
                  <c:v>3Q</c:v>
                </c:pt>
                <c:pt idx="3">
                  <c:v>4Q</c:v>
                </c:pt>
                <c:pt idx="4">
                  <c:v>1Q</c:v>
                </c:pt>
                <c:pt idx="5">
                  <c:v>2Q</c:v>
                </c:pt>
                <c:pt idx="6">
                  <c:v>3Q</c:v>
                </c:pt>
                <c:pt idx="7">
                  <c:v>4Q</c:v>
                </c:pt>
              </c:strCache>
            </c:strRef>
          </c:cat>
          <c:val>
            <c:numRef>
              <c:f>'IS-Segments'!$O$85:$Z$85</c:f>
              <c:numCache>
                <c:formatCode>0.0%</c:formatCode>
                <c:ptCount val="8"/>
                <c:pt idx="0">
                  <c:v>8.9999999999999993E-3</c:v>
                </c:pt>
                <c:pt idx="1">
                  <c:v>3.2000000000000001E-2</c:v>
                </c:pt>
                <c:pt idx="2">
                  <c:v>0.02</c:v>
                </c:pt>
                <c:pt idx="3">
                  <c:v>3.2000000000000001E-2</c:v>
                </c:pt>
                <c:pt idx="4">
                  <c:v>0.01</c:v>
                </c:pt>
                <c:pt idx="5">
                  <c:v>1.6E-2</c:v>
                </c:pt>
                <c:pt idx="6">
                  <c:v>3.0000000000000001E-3</c:v>
                </c:pt>
                <c:pt idx="7">
                  <c:v>-1E-3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F5-4C9F-8C88-2D1237D56D6C}"/>
            </c:ext>
          </c:extLst>
        </c:ser>
        <c:ser>
          <c:idx val="1"/>
          <c:order val="1"/>
          <c:tx>
            <c:strRef>
              <c:f>'IS-Segments'!$N$86</c:f>
              <c:strCache>
                <c:ptCount val="1"/>
                <c:pt idx="0">
                  <c:v>LatAm</c:v>
                </c:pt>
              </c:strCache>
            </c:strRef>
          </c:tx>
          <c:cat>
            <c:strRef>
              <c:f>'IS-Segments'!$O$84:$Z$84</c:f>
              <c:strCache>
                <c:ptCount val="8"/>
                <c:pt idx="0">
                  <c:v>1Q</c:v>
                </c:pt>
                <c:pt idx="1">
                  <c:v>2Q</c:v>
                </c:pt>
                <c:pt idx="2">
                  <c:v>3Q</c:v>
                </c:pt>
                <c:pt idx="3">
                  <c:v>4Q</c:v>
                </c:pt>
                <c:pt idx="4">
                  <c:v>1Q</c:v>
                </c:pt>
                <c:pt idx="5">
                  <c:v>2Q</c:v>
                </c:pt>
                <c:pt idx="6">
                  <c:v>3Q</c:v>
                </c:pt>
                <c:pt idx="7">
                  <c:v>4Q</c:v>
                </c:pt>
              </c:strCache>
            </c:strRef>
          </c:cat>
          <c:val>
            <c:numRef>
              <c:f>'IS-Segments'!$O$86:$Z$86</c:f>
              <c:numCache>
                <c:formatCode>0.0%</c:formatCode>
                <c:ptCount val="8"/>
                <c:pt idx="0">
                  <c:v>3.2000000000000001E-2</c:v>
                </c:pt>
                <c:pt idx="1">
                  <c:v>-0.02</c:v>
                </c:pt>
                <c:pt idx="2">
                  <c:v>3.7999999999999999E-2</c:v>
                </c:pt>
                <c:pt idx="3">
                  <c:v>-0.01</c:v>
                </c:pt>
                <c:pt idx="4">
                  <c:v>-1.4E-2</c:v>
                </c:pt>
                <c:pt idx="5">
                  <c:v>-6.9000000000000006E-2</c:v>
                </c:pt>
                <c:pt idx="6">
                  <c:v>-3.1E-2</c:v>
                </c:pt>
                <c:pt idx="7">
                  <c:v>-5.8000000000000003E-2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F5-4C9F-8C88-2D1237D56D6C}"/>
            </c:ext>
          </c:extLst>
        </c:ser>
        <c:ser>
          <c:idx val="2"/>
          <c:order val="2"/>
          <c:tx>
            <c:strRef>
              <c:f>'IS-Segments'!$N$87</c:f>
              <c:strCache>
                <c:ptCount val="1"/>
                <c:pt idx="0">
                  <c:v>AP</c:v>
                </c:pt>
              </c:strCache>
            </c:strRef>
          </c:tx>
          <c:cat>
            <c:strRef>
              <c:f>'IS-Segments'!$O$84:$Z$84</c:f>
              <c:strCache>
                <c:ptCount val="8"/>
                <c:pt idx="0">
                  <c:v>1Q</c:v>
                </c:pt>
                <c:pt idx="1">
                  <c:v>2Q</c:v>
                </c:pt>
                <c:pt idx="2">
                  <c:v>3Q</c:v>
                </c:pt>
                <c:pt idx="3">
                  <c:v>4Q</c:v>
                </c:pt>
                <c:pt idx="4">
                  <c:v>1Q</c:v>
                </c:pt>
                <c:pt idx="5">
                  <c:v>2Q</c:v>
                </c:pt>
                <c:pt idx="6">
                  <c:v>3Q</c:v>
                </c:pt>
                <c:pt idx="7">
                  <c:v>4Q</c:v>
                </c:pt>
              </c:strCache>
            </c:strRef>
          </c:cat>
          <c:val>
            <c:numRef>
              <c:f>'IS-Segments'!$O$87:$Z$87</c:f>
              <c:numCache>
                <c:formatCode>0.0%</c:formatCode>
                <c:ptCount val="8"/>
                <c:pt idx="0">
                  <c:v>4.1000000000000002E-2</c:v>
                </c:pt>
                <c:pt idx="1">
                  <c:v>3.5000000000000003E-2</c:v>
                </c:pt>
                <c:pt idx="2">
                  <c:v>4.7E-2</c:v>
                </c:pt>
                <c:pt idx="3">
                  <c:v>-1.7000000000000001E-2</c:v>
                </c:pt>
                <c:pt idx="4">
                  <c:v>-3.7999999999999999E-2</c:v>
                </c:pt>
                <c:pt idx="5">
                  <c:v>-9.9000000000000005E-2</c:v>
                </c:pt>
                <c:pt idx="6">
                  <c:v>-2.3E-2</c:v>
                </c:pt>
                <c:pt idx="7">
                  <c:v>-6.6000000000000003E-2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4F5-4C9F-8C88-2D1237D56D6C}"/>
            </c:ext>
          </c:extLst>
        </c:ser>
        <c:ser>
          <c:idx val="3"/>
          <c:order val="3"/>
          <c:tx>
            <c:strRef>
              <c:f>'IS-Segments'!$N$88</c:f>
              <c:strCache>
                <c:ptCount val="1"/>
                <c:pt idx="0">
                  <c:v>EEMEA</c:v>
                </c:pt>
              </c:strCache>
            </c:strRef>
          </c:tx>
          <c:cat>
            <c:strRef>
              <c:f>'IS-Segments'!$O$84:$Z$84</c:f>
              <c:strCache>
                <c:ptCount val="8"/>
                <c:pt idx="0">
                  <c:v>1Q</c:v>
                </c:pt>
                <c:pt idx="1">
                  <c:v>2Q</c:v>
                </c:pt>
                <c:pt idx="2">
                  <c:v>3Q</c:v>
                </c:pt>
                <c:pt idx="3">
                  <c:v>4Q</c:v>
                </c:pt>
                <c:pt idx="4">
                  <c:v>1Q</c:v>
                </c:pt>
                <c:pt idx="5">
                  <c:v>2Q</c:v>
                </c:pt>
                <c:pt idx="6">
                  <c:v>3Q</c:v>
                </c:pt>
                <c:pt idx="7">
                  <c:v>4Q</c:v>
                </c:pt>
              </c:strCache>
            </c:strRef>
          </c:cat>
          <c:val>
            <c:numRef>
              <c:f>'IS-Segments'!$O$88:$Z$88</c:f>
              <c:numCache>
                <c:formatCode>0.0%</c:formatCode>
                <c:ptCount val="8"/>
                <c:pt idx="0">
                  <c:v>7.3999999999999996E-2</c:v>
                </c:pt>
                <c:pt idx="1">
                  <c:v>0.123</c:v>
                </c:pt>
                <c:pt idx="2">
                  <c:v>0.16400000000000001</c:v>
                </c:pt>
                <c:pt idx="3">
                  <c:v>8.1000000000000003E-2</c:v>
                </c:pt>
                <c:pt idx="4">
                  <c:v>5.6000000000000001E-2</c:v>
                </c:pt>
                <c:pt idx="5">
                  <c:v>3.3000000000000002E-2</c:v>
                </c:pt>
                <c:pt idx="6">
                  <c:v>-2.3E-2</c:v>
                </c:pt>
                <c:pt idx="7">
                  <c:v>-2.8000000000000001E-2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4F5-4C9F-8C88-2D1237D56D6C}"/>
            </c:ext>
          </c:extLst>
        </c:ser>
        <c:ser>
          <c:idx val="4"/>
          <c:order val="4"/>
          <c:tx>
            <c:strRef>
              <c:f>'IS-Segments'!$N$89</c:f>
              <c:strCache>
                <c:ptCount val="1"/>
                <c:pt idx="0">
                  <c:v>Europe</c:v>
                </c:pt>
              </c:strCache>
            </c:strRef>
          </c:tx>
          <c:cat>
            <c:strRef>
              <c:f>'IS-Segments'!$O$84:$Z$84</c:f>
              <c:strCache>
                <c:ptCount val="8"/>
                <c:pt idx="0">
                  <c:v>1Q</c:v>
                </c:pt>
                <c:pt idx="1">
                  <c:v>2Q</c:v>
                </c:pt>
                <c:pt idx="2">
                  <c:v>3Q</c:v>
                </c:pt>
                <c:pt idx="3">
                  <c:v>4Q</c:v>
                </c:pt>
                <c:pt idx="4">
                  <c:v>1Q</c:v>
                </c:pt>
                <c:pt idx="5">
                  <c:v>2Q</c:v>
                </c:pt>
                <c:pt idx="6">
                  <c:v>3Q</c:v>
                </c:pt>
                <c:pt idx="7">
                  <c:v>4Q</c:v>
                </c:pt>
              </c:strCache>
            </c:strRef>
          </c:cat>
          <c:val>
            <c:numRef>
              <c:f>'IS-Segments'!$O$89:$Z$89</c:f>
              <c:numCache>
                <c:formatCode>0.0%</c:formatCode>
                <c:ptCount val="8"/>
                <c:pt idx="0">
                  <c:v>1.2999999999999999E-2</c:v>
                </c:pt>
                <c:pt idx="1">
                  <c:v>3.7999999999999999E-2</c:v>
                </c:pt>
                <c:pt idx="2">
                  <c:v>4.7E-2</c:v>
                </c:pt>
                <c:pt idx="3">
                  <c:v>0.03</c:v>
                </c:pt>
                <c:pt idx="4">
                  <c:v>8.9999999999999993E-3</c:v>
                </c:pt>
                <c:pt idx="5">
                  <c:v>-1.6E-2</c:v>
                </c:pt>
                <c:pt idx="6">
                  <c:v>-5.5E-2</c:v>
                </c:pt>
                <c:pt idx="7">
                  <c:v>-2.7E-2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4F5-4C9F-8C88-2D1237D56D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647424"/>
        <c:axId val="92745088"/>
      </c:lineChart>
      <c:catAx>
        <c:axId val="1166474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92745088"/>
        <c:crosses val="autoZero"/>
        <c:auto val="1"/>
        <c:lblAlgn val="ctr"/>
        <c:lblOffset val="100"/>
        <c:noMultiLvlLbl val="0"/>
      </c:catAx>
      <c:valAx>
        <c:axId val="92745088"/>
        <c:scaling>
          <c:orientation val="minMax"/>
          <c:max val="0.18000000000000002"/>
          <c:min val="-0.1"/>
        </c:scaling>
        <c:delete val="0"/>
        <c:axPos val="l"/>
        <c:majorGridlines/>
        <c:numFmt formatCode="0.0%" sourceLinked="1"/>
        <c:majorTickMark val="out"/>
        <c:minorTickMark val="none"/>
        <c:tickLblPos val="nextTo"/>
        <c:crossAx val="116647424"/>
        <c:crosses val="autoZero"/>
        <c:crossBetween val="between"/>
      </c:valAx>
      <c:spPr>
        <a:gradFill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c:spPr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13</xdr:row>
      <xdr:rowOff>0</xdr:rowOff>
    </xdr:from>
    <xdr:ext cx="304800" cy="309843"/>
    <xdr:sp macro="" textlink="">
      <xdr:nvSpPr>
        <xdr:cNvPr id="2" name="AutoShape 6" descr="https://www.capitaliq.com/ciqdotnet/Service/Documents/Render.axd?DocumentId=94769300&amp;DocumentVersion=1&amp;FormatTypeId=PNG&amp;Disposition=inlin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0972800" y="7048500"/>
          <a:ext cx="304800" cy="3098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14</xdr:col>
      <xdr:colOff>0</xdr:colOff>
      <xdr:row>13</xdr:row>
      <xdr:rowOff>0</xdr:rowOff>
    </xdr:from>
    <xdr:ext cx="304800" cy="309843"/>
    <xdr:sp macro="" textlink="">
      <xdr:nvSpPr>
        <xdr:cNvPr id="3" name="AutoShape 7" descr="https://www.capitaliq.com/ciqdotnet/Service/Documents/Render.axd?DocumentId=94769300&amp;DocumentVersion=1&amp;FormatTypeId=PNG&amp;Disposition=inline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0972800" y="7620000"/>
          <a:ext cx="304800" cy="3098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14</xdr:col>
      <xdr:colOff>0</xdr:colOff>
      <xdr:row>13</xdr:row>
      <xdr:rowOff>0</xdr:rowOff>
    </xdr:from>
    <xdr:ext cx="304800" cy="309842"/>
    <xdr:sp macro="" textlink="">
      <xdr:nvSpPr>
        <xdr:cNvPr id="4" name="AutoShape 8" descr="https://www.capitaliq.com/ciqdotnet/Service/Documents/Render.axd?DocumentId=94769300&amp;DocumentVersion=1&amp;FormatTypeId=PNG&amp;Disposition=inline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0972800" y="6286500"/>
          <a:ext cx="304800" cy="3098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42</xdr:col>
      <xdr:colOff>323850</xdr:colOff>
      <xdr:row>7</xdr:row>
      <xdr:rowOff>138112</xdr:rowOff>
    </xdr:from>
    <xdr:to>
      <xdr:col>49</xdr:col>
      <xdr:colOff>561975</xdr:colOff>
      <xdr:row>23</xdr:row>
      <xdr:rowOff>138112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96</xdr:row>
      <xdr:rowOff>142875</xdr:rowOff>
    </xdr:from>
    <xdr:to>
      <xdr:col>8</xdr:col>
      <xdr:colOff>495300</xdr:colOff>
      <xdr:row>118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16602075"/>
          <a:ext cx="6981825" cy="3686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38</xdr:col>
      <xdr:colOff>376236</xdr:colOff>
      <xdr:row>70</xdr:row>
      <xdr:rowOff>152400</xdr:rowOff>
    </xdr:from>
    <xdr:to>
      <xdr:col>49</xdr:col>
      <xdr:colOff>180974</xdr:colOff>
      <xdr:row>91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276225</xdr:colOff>
      <xdr:row>0</xdr:row>
      <xdr:rowOff>133350</xdr:rowOff>
    </xdr:from>
    <xdr:to>
      <xdr:col>28</xdr:col>
      <xdr:colOff>95250</xdr:colOff>
      <xdr:row>17</xdr:row>
      <xdr:rowOff>57150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D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133350"/>
          <a:ext cx="8353425" cy="2752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276225</xdr:colOff>
      <xdr:row>16</xdr:row>
      <xdr:rowOff>142875</xdr:rowOff>
    </xdr:from>
    <xdr:to>
      <xdr:col>28</xdr:col>
      <xdr:colOff>85725</xdr:colOff>
      <xdr:row>32</xdr:row>
      <xdr:rowOff>161925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D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58375" y="3143250"/>
          <a:ext cx="8343900" cy="2762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304800</xdr:colOff>
      <xdr:row>34</xdr:row>
      <xdr:rowOff>85725</xdr:rowOff>
    </xdr:from>
    <xdr:to>
      <xdr:col>28</xdr:col>
      <xdr:colOff>152400</xdr:colOff>
      <xdr:row>50</xdr:row>
      <xdr:rowOff>123825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D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6000750"/>
          <a:ext cx="8382000" cy="2781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IAS%20&amp;%20GAAP%20%20Reports\IAS%20&amp;%20GAAP%20YEAR%202002\2002%20Q3%20Consolidation%20Model\A%20Consolidation%20&amp;%20Reporting\GAAP%20&amp;%20IAS%20Group%20TB%20&amp;%20Reports%20Q3%2020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swfile04\Departments\Documents%20(Sotnikov)\Evraz%20files\KMK\Inproper%20model\Final%20model%20(KMK)%20-%20ver.19%20(AP%20corrections%20-%20variant%20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oup Comparative GAAP"/>
      <sheetName val="Group Comparative IAS"/>
      <sheetName val="R-U IAS History"/>
      <sheetName val="Cash Flow Working"/>
      <sheetName val="REPO"/>
      <sheetName val="TB GAAP"/>
      <sheetName val="TB IAS"/>
      <sheetName val="Income Statement"/>
      <sheetName val="Balance Sheet"/>
      <sheetName val="Cash Flow"/>
      <sheetName val="G-I-F Total"/>
      <sheetName val="G-I-F (RU)"/>
      <sheetName val="G-I-F (UA)"/>
      <sheetName val="FLash IAS"/>
      <sheetName val="Loans"/>
      <sheetName val="Cash Flow support"/>
      <sheetName val="Income Statement Russia and Ukr"/>
      <sheetName val="Class A Shares Outstanding"/>
      <sheetName val="Class B Shares Outstanding"/>
      <sheetName val="Dilutive Shares Outstanding"/>
      <sheetName val="EPS Working"/>
      <sheetName val="Share Price 2002"/>
      <sheetName val="RE Working"/>
      <sheetName val="Change of Equity"/>
      <sheetName val="Sheet1"/>
      <sheetName val="Sheet2"/>
      <sheetName val="Sheet3"/>
      <sheetName val="1-ЭСПЦ"/>
      <sheetName val="COMPS"/>
      <sheetName val="0_33"/>
      <sheetName val="BEX_Expenses_CY"/>
      <sheetName val="BEX_Expenses_PY"/>
      <sheetName val="BEX_MAIN_PL"/>
      <sheetName val="БДДС month (ф)"/>
      <sheetName val="БДДС month (п)"/>
      <sheetName val="Параметры"/>
      <sheetName val="КВ 2008"/>
      <sheetName val="XLR_NoRangeSheet"/>
      <sheetName val="июль"/>
      <sheetName val="база"/>
      <sheetName val="июнь"/>
      <sheetName val="январь"/>
      <sheetName val="февраль"/>
      <sheetName val="март"/>
      <sheetName val="апрель"/>
      <sheetName val="май"/>
      <sheetName val="август"/>
      <sheetName val="сентябрь"/>
      <sheetName val="октябрь"/>
      <sheetName val="ноябрь"/>
      <sheetName val="декабрь"/>
      <sheetName val="infl_rates"/>
      <sheetName val="PL"/>
      <sheetName val="ф 12"/>
      <sheetName val="Data"/>
      <sheetName val="Лист1"/>
      <sheetName val="коэф."/>
      <sheetName val="GAAP &amp; IAS Group TB &amp; Reports Q"/>
      <sheetName val="Info"/>
      <sheetName val="ИТР_РАБ_2010"/>
      <sheetName val="assumptions"/>
      <sheetName val="RUS"/>
      <sheetName val="2 Параметры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Contents"/>
      <sheetName val="Assumptions"/>
      <sheetName val="Sensitivity"/>
      <sheetName val="P&amp;L(KMK-Rails)"/>
      <sheetName val="P&amp;L(KMK-Steel)"/>
      <sheetName val="P&amp;L(Energo)"/>
      <sheetName val="P&amp;L(GOK)"/>
      <sheetName val="Cash-flow (Rails)"/>
      <sheetName val="Cash-flow (Energo)"/>
      <sheetName val="Cash-flow (SUM)"/>
      <sheetName val="Sales(Rails)"/>
      <sheetName val="Payroll (Rails)"/>
      <sheetName val="Taxes (Rails)"/>
      <sheetName val="CAPEX (Rails)"/>
      <sheetName val="Repairs (Rails)"/>
      <sheetName val="Rails_price"/>
      <sheetName val="Energy_balance"/>
      <sheetName val="Presentation (energo)"/>
      <sheetName val="CAPEX(Energo)"/>
      <sheetName val="Production(GOK)"/>
      <sheetName val="Sales(GOK)"/>
      <sheetName val="кварталы"/>
      <sheetName val="полугодие"/>
      <sheetName val="Вып.П.П."/>
      <sheetName val="База"/>
      <sheetName val="rozvah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/>
  </sheetPr>
  <dimension ref="B1:O4"/>
  <sheetViews>
    <sheetView showGridLines="0" tabSelected="1" view="pageBreakPreview" zoomScaleNormal="100" zoomScaleSheetLayoutView="100" workbookViewId="0"/>
  </sheetViews>
  <sheetFormatPr defaultRowHeight="11.25"/>
  <cols>
    <col min="1" max="1" width="5.83203125" customWidth="1"/>
    <col min="4" max="4" width="14.6640625" customWidth="1"/>
    <col min="5" max="5" width="11.83203125" bestFit="1" customWidth="1"/>
    <col min="11" max="11" width="12.6640625" customWidth="1"/>
  </cols>
  <sheetData>
    <row r="1" spans="2:15" ht="13.5" customHeight="1"/>
    <row r="2" spans="2:15" ht="63">
      <c r="B2" s="832" t="s">
        <v>273</v>
      </c>
      <c r="C2" s="833"/>
      <c r="D2" s="833"/>
      <c r="E2" s="833"/>
      <c r="F2" s="833"/>
      <c r="G2" s="833"/>
      <c r="H2" s="833"/>
      <c r="I2" s="397"/>
      <c r="J2" s="397"/>
      <c r="K2" s="397"/>
      <c r="L2" s="397"/>
      <c r="M2" s="397"/>
      <c r="N2" s="397"/>
      <c r="O2" s="397"/>
    </row>
    <row r="3" spans="2:15" ht="14.25">
      <c r="B3" s="829" t="s">
        <v>344</v>
      </c>
      <c r="C3" s="830"/>
      <c r="D3" s="830"/>
      <c r="E3" s="831"/>
      <c r="F3" s="829"/>
      <c r="G3" s="830"/>
      <c r="H3" s="830"/>
      <c r="I3" s="830"/>
      <c r="J3" s="830"/>
      <c r="K3" s="830"/>
      <c r="L3" s="398"/>
      <c r="M3" s="398"/>
      <c r="N3" s="398"/>
      <c r="O3" s="398"/>
    </row>
    <row r="4" spans="2:15">
      <c r="L4" s="9"/>
      <c r="M4" s="9"/>
      <c r="N4" s="9"/>
      <c r="O4" s="9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N20"/>
  <sheetViews>
    <sheetView showGridLines="0" view="pageBreakPreview" zoomScaleNormal="100" zoomScaleSheetLayoutView="100" workbookViewId="0"/>
  </sheetViews>
  <sheetFormatPr defaultRowHeight="13.5" customHeight="1"/>
  <cols>
    <col min="1" max="1" width="5.83203125" style="20" customWidth="1"/>
    <col min="2" max="2" width="35.1640625" style="20" customWidth="1"/>
    <col min="3" max="3" width="10.5" style="20" bestFit="1" customWidth="1"/>
    <col min="4" max="4" width="9.83203125" style="20" bestFit="1" customWidth="1"/>
    <col min="5" max="5" width="12.6640625" style="20" bestFit="1" customWidth="1"/>
    <col min="6" max="6" width="3.1640625" style="20" customWidth="1"/>
    <col min="7" max="7" width="23.5" style="20" bestFit="1" customWidth="1"/>
    <col min="8" max="8" width="9.83203125" style="20" bestFit="1" customWidth="1"/>
    <col min="9" max="12" width="11.1640625" style="20" bestFit="1" customWidth="1"/>
    <col min="13" max="14" width="11.33203125" style="20" bestFit="1" customWidth="1"/>
    <col min="15" max="15" width="3.5" style="20" customWidth="1"/>
    <col min="16" max="16384" width="9.33203125" style="20"/>
  </cols>
  <sheetData>
    <row r="1" spans="2:14" ht="13.5" customHeight="1">
      <c r="E1" s="21"/>
    </row>
    <row r="2" spans="2:14" ht="13.5" customHeight="1">
      <c r="B2" s="219" t="s">
        <v>245</v>
      </c>
      <c r="C2" s="24"/>
      <c r="D2" s="24"/>
      <c r="F2" s="22"/>
      <c r="G2" s="22"/>
      <c r="H2" s="22"/>
      <c r="I2" s="22"/>
      <c r="J2" s="23"/>
      <c r="K2" s="22"/>
      <c r="L2" s="22"/>
      <c r="M2" s="22"/>
    </row>
    <row r="3" spans="2:14" ht="13.5" customHeight="1">
      <c r="B3" s="8" t="s">
        <v>248</v>
      </c>
      <c r="C3" s="25"/>
      <c r="D3" s="25"/>
      <c r="F3" s="22"/>
      <c r="G3" s="22"/>
      <c r="H3" s="22"/>
      <c r="I3" s="22"/>
      <c r="J3" s="23"/>
      <c r="K3" s="22"/>
      <c r="L3" s="22"/>
      <c r="M3" s="22"/>
    </row>
    <row r="4" spans="2:14" ht="13.5" customHeight="1">
      <c r="B4" s="8"/>
      <c r="C4" s="25"/>
      <c r="D4" s="25"/>
      <c r="F4" s="22"/>
      <c r="G4" s="22"/>
      <c r="H4" s="22"/>
      <c r="I4" s="22"/>
      <c r="J4" s="23"/>
      <c r="K4" s="22"/>
      <c r="L4" s="22"/>
      <c r="M4" s="22"/>
    </row>
    <row r="5" spans="2:14" ht="13.5" customHeight="1">
      <c r="B5" s="834" t="s">
        <v>37</v>
      </c>
      <c r="C5" s="409"/>
      <c r="D5" s="410"/>
      <c r="E5" s="858"/>
      <c r="F5" s="26"/>
      <c r="G5" s="868" t="s">
        <v>131</v>
      </c>
      <c r="H5" s="409"/>
      <c r="I5" s="409"/>
      <c r="J5" s="409"/>
      <c r="K5" s="409"/>
      <c r="L5" s="409"/>
      <c r="M5" s="409"/>
      <c r="N5" s="835"/>
    </row>
    <row r="6" spans="2:14" ht="13.5" customHeight="1">
      <c r="B6" s="836" t="s">
        <v>132</v>
      </c>
      <c r="C6" s="837">
        <v>41760</v>
      </c>
      <c r="D6" s="402"/>
      <c r="E6" s="552">
        <v>34.36</v>
      </c>
      <c r="F6" s="401"/>
      <c r="G6" s="869" t="s">
        <v>242</v>
      </c>
      <c r="H6" s="399">
        <v>2011</v>
      </c>
      <c r="I6" s="399">
        <f>H6+1</f>
        <v>2012</v>
      </c>
      <c r="J6" s="399">
        <f t="shared" ref="J6:N6" si="0">I6+1</f>
        <v>2013</v>
      </c>
      <c r="K6" s="657">
        <f t="shared" si="0"/>
        <v>2014</v>
      </c>
      <c r="L6" s="400">
        <f t="shared" si="0"/>
        <v>2015</v>
      </c>
      <c r="M6" s="400">
        <f t="shared" si="0"/>
        <v>2016</v>
      </c>
      <c r="N6" s="838">
        <f t="shared" si="0"/>
        <v>2017</v>
      </c>
    </row>
    <row r="7" spans="2:14" ht="13.5" customHeight="1">
      <c r="B7" s="839" t="s">
        <v>137</v>
      </c>
      <c r="C7" s="840"/>
      <c r="D7" s="841"/>
      <c r="E7" s="859">
        <v>1649.48</v>
      </c>
      <c r="F7" s="403"/>
      <c r="G7" s="870" t="s">
        <v>124</v>
      </c>
      <c r="H7" s="404">
        <f>IS!C7</f>
        <v>35810</v>
      </c>
      <c r="I7" s="404">
        <f>IS!D7</f>
        <v>35015</v>
      </c>
      <c r="J7" s="404">
        <f>IS!E7</f>
        <v>35299</v>
      </c>
      <c r="K7" s="658">
        <f>IS!F7</f>
        <v>34244</v>
      </c>
      <c r="L7" s="404">
        <f>IS!G7</f>
        <v>30650.964999999997</v>
      </c>
      <c r="M7" s="404">
        <f>IS!H7</f>
        <v>31331.186549999999</v>
      </c>
      <c r="N7" s="658">
        <f>IS!I7</f>
        <v>32408.693525999995</v>
      </c>
    </row>
    <row r="8" spans="2:14" ht="13.5" customHeight="1">
      <c r="B8" s="842" t="s">
        <v>142</v>
      </c>
      <c r="C8" s="840"/>
      <c r="D8" s="841"/>
      <c r="E8" s="860">
        <f>E6*E7</f>
        <v>56676.132799999999</v>
      </c>
      <c r="F8" s="405"/>
      <c r="G8" s="871" t="s">
        <v>143</v>
      </c>
      <c r="H8" s="406">
        <v>0.01</v>
      </c>
      <c r="I8" s="406">
        <f>I7/H7-1</f>
        <v>-2.2200502652890308E-2</v>
      </c>
      <c r="J8" s="406">
        <f t="shared" ref="J8:N8" si="1">J7/I7-1</f>
        <v>8.1108096530058127E-3</v>
      </c>
      <c r="K8" s="659">
        <f t="shared" si="1"/>
        <v>-2.9887532224708968E-2</v>
      </c>
      <c r="L8" s="406">
        <f t="shared" si="1"/>
        <v>-0.10492451232332678</v>
      </c>
      <c r="M8" s="406">
        <f t="shared" si="1"/>
        <v>2.2192500301377205E-2</v>
      </c>
      <c r="N8" s="659">
        <f t="shared" si="1"/>
        <v>3.4390876779609059E-2</v>
      </c>
    </row>
    <row r="9" spans="2:14" ht="13.5" customHeight="1">
      <c r="B9" s="839" t="s">
        <v>141</v>
      </c>
      <c r="C9" s="840"/>
      <c r="D9" s="841"/>
      <c r="E9" s="861">
        <v>1703</v>
      </c>
      <c r="F9" s="405"/>
      <c r="G9" s="870" t="s">
        <v>83</v>
      </c>
      <c r="H9" s="404">
        <f>IS!C16</f>
        <v>4097</v>
      </c>
      <c r="I9" s="404">
        <f>IS!D16</f>
        <v>4293</v>
      </c>
      <c r="J9" s="404">
        <f>IS!E16</f>
        <v>4271</v>
      </c>
      <c r="K9" s="658">
        <f>IS!F16</f>
        <v>4416</v>
      </c>
      <c r="L9" s="404">
        <f>IS!G16</f>
        <v>4105.0346499999996</v>
      </c>
      <c r="M9" s="404">
        <f>IS!H16</f>
        <v>4276.1125910099991</v>
      </c>
      <c r="N9" s="658">
        <f>IS!I16</f>
        <v>4483.7700679257132</v>
      </c>
    </row>
    <row r="10" spans="2:14" ht="13.5" customHeight="1">
      <c r="B10" s="839" t="s">
        <v>14</v>
      </c>
      <c r="C10" s="840"/>
      <c r="D10" s="841"/>
      <c r="E10" s="861">
        <v>16781</v>
      </c>
      <c r="F10" s="405"/>
      <c r="G10" s="871" t="s">
        <v>143</v>
      </c>
      <c r="H10" s="406">
        <v>-3.0000000000000001E-3</v>
      </c>
      <c r="I10" s="406">
        <f>I9/H9-1</f>
        <v>4.7839882841103298E-2</v>
      </c>
      <c r="J10" s="406">
        <f t="shared" ref="J10:N10" si="2">J9/I9-1</f>
        <v>-5.1246214768226883E-3</v>
      </c>
      <c r="K10" s="659">
        <f t="shared" si="2"/>
        <v>3.3949894638257927E-2</v>
      </c>
      <c r="L10" s="406">
        <f t="shared" si="2"/>
        <v>-7.0417878170289994E-2</v>
      </c>
      <c r="M10" s="406">
        <f t="shared" si="2"/>
        <v>4.167515151425083E-2</v>
      </c>
      <c r="N10" s="659">
        <f t="shared" si="2"/>
        <v>4.8562209833363346E-2</v>
      </c>
    </row>
    <row r="11" spans="2:14" ht="13.5" customHeight="1">
      <c r="B11" s="842" t="s">
        <v>140</v>
      </c>
      <c r="C11" s="843"/>
      <c r="D11" s="844"/>
      <c r="E11" s="860">
        <f>E8-E9+E10</f>
        <v>71754.132799999992</v>
      </c>
      <c r="F11" s="405"/>
      <c r="G11" s="871" t="s">
        <v>125</v>
      </c>
      <c r="H11" s="845">
        <f>H9/H7</f>
        <v>0.11440938285395141</v>
      </c>
      <c r="I11" s="845">
        <f t="shared" ref="I11:N11" si="3">I9/I7</f>
        <v>0.12260459802941596</v>
      </c>
      <c r="J11" s="845">
        <f t="shared" si="3"/>
        <v>0.12099492903481684</v>
      </c>
      <c r="K11" s="660">
        <f t="shared" si="3"/>
        <v>0.12895689755869641</v>
      </c>
      <c r="L11" s="845">
        <f t="shared" si="3"/>
        <v>0.13392839833917139</v>
      </c>
      <c r="M11" s="845">
        <f t="shared" si="3"/>
        <v>0.13648102934709949</v>
      </c>
      <c r="N11" s="660">
        <f t="shared" si="3"/>
        <v>0.13835084294060149</v>
      </c>
    </row>
    <row r="12" spans="2:14" ht="13.5" customHeight="1">
      <c r="B12" s="839" t="s">
        <v>133</v>
      </c>
      <c r="C12" s="840"/>
      <c r="D12" s="841"/>
      <c r="E12" s="861">
        <v>374</v>
      </c>
      <c r="F12" s="405"/>
      <c r="G12" s="872" t="s">
        <v>153</v>
      </c>
      <c r="H12" s="846">
        <f>IS!C25</f>
        <v>1.3832522102253861</v>
      </c>
      <c r="I12" s="846">
        <f>IS!D25</f>
        <v>1.4251265910696373</v>
      </c>
      <c r="J12" s="846">
        <f>IS!E25</f>
        <v>1.5619408169881441</v>
      </c>
      <c r="K12" s="661">
        <f>IS!F25</f>
        <v>1.7573236284942242</v>
      </c>
      <c r="L12" s="846">
        <f>IS!G25</f>
        <v>1.5608479518310505</v>
      </c>
      <c r="M12" s="846">
        <f>IS!H25</f>
        <v>1.7023613618060325</v>
      </c>
      <c r="N12" s="661">
        <f>IS!I25</f>
        <v>1.8492200155911664</v>
      </c>
    </row>
    <row r="13" spans="2:14" ht="13.5" customHeight="1">
      <c r="B13" s="839" t="s">
        <v>14</v>
      </c>
      <c r="C13" s="840"/>
      <c r="D13" s="841"/>
      <c r="E13" s="861">
        <f>E10</f>
        <v>16781</v>
      </c>
      <c r="F13" s="405"/>
      <c r="G13" s="871" t="s">
        <v>143</v>
      </c>
      <c r="H13" s="847">
        <v>0.30099999999999999</v>
      </c>
      <c r="I13" s="847">
        <f>I12/H12-1</f>
        <v>3.0272412026313145E-2</v>
      </c>
      <c r="J13" s="847">
        <f t="shared" ref="J13:N13" si="4">J12/I12-1</f>
        <v>9.600145473099353E-2</v>
      </c>
      <c r="K13" s="662">
        <f t="shared" si="4"/>
        <v>0.12508976613008449</v>
      </c>
      <c r="L13" s="847">
        <f t="shared" si="4"/>
        <v>-0.11180392357867819</v>
      </c>
      <c r="M13" s="847">
        <f t="shared" si="4"/>
        <v>9.0664442881172924E-2</v>
      </c>
      <c r="N13" s="662">
        <f t="shared" si="4"/>
        <v>8.6267614550022298E-2</v>
      </c>
    </row>
    <row r="14" spans="2:14" ht="13.5" customHeight="1">
      <c r="B14" s="862" t="s">
        <v>139</v>
      </c>
      <c r="C14" s="863"/>
      <c r="D14" s="864"/>
      <c r="E14" s="865">
        <f>SUM(E12:E13)</f>
        <v>17155</v>
      </c>
      <c r="F14" s="405"/>
      <c r="G14" s="870" t="s">
        <v>343</v>
      </c>
      <c r="H14" s="848">
        <f>CF!C44</f>
        <v>2749</v>
      </c>
      <c r="I14" s="848">
        <f>CF!D44</f>
        <v>2313</v>
      </c>
      <c r="J14" s="848">
        <f>CF!E44</f>
        <v>4788</v>
      </c>
      <c r="K14" s="663">
        <f>CF!F44</f>
        <v>1920</v>
      </c>
      <c r="L14" s="848">
        <f>Sensitivity!N13</f>
        <v>1699.4703236735299</v>
      </c>
      <c r="M14" s="848">
        <f>Sensitivity!O13</f>
        <v>2302.9057919088336</v>
      </c>
      <c r="N14" s="663">
        <f>Sensitivity!P13</f>
        <v>2088.4025725951715</v>
      </c>
    </row>
    <row r="15" spans="2:14" ht="13.5" customHeight="1">
      <c r="B15" s="407"/>
      <c r="C15" s="407"/>
      <c r="D15" s="407"/>
      <c r="E15" s="407"/>
      <c r="F15" s="405"/>
      <c r="G15" s="871" t="s">
        <v>144</v>
      </c>
      <c r="H15" s="849"/>
      <c r="I15" s="849"/>
      <c r="J15" s="849"/>
      <c r="K15" s="660">
        <f>K14/E8</f>
        <v>3.3876693859394728E-2</v>
      </c>
      <c r="L15" s="845">
        <f>L14/E8</f>
        <v>2.9985643686570123E-2</v>
      </c>
      <c r="M15" s="845">
        <f>M14/E8</f>
        <v>4.0632726301834655E-2</v>
      </c>
      <c r="N15" s="660">
        <f>N14/E8</f>
        <v>3.6848007607801561E-2</v>
      </c>
    </row>
    <row r="16" spans="2:14" ht="13.5" customHeight="1">
      <c r="B16" s="834" t="s">
        <v>138</v>
      </c>
      <c r="C16" s="409"/>
      <c r="D16" s="410"/>
      <c r="E16" s="858"/>
      <c r="F16" s="405"/>
      <c r="G16" s="873" t="s">
        <v>134</v>
      </c>
      <c r="H16" s="849"/>
      <c r="I16" s="849"/>
      <c r="J16" s="849"/>
      <c r="K16" s="664">
        <f>$E$11/K9</f>
        <v>16.248671376811593</v>
      </c>
      <c r="L16" s="850">
        <f>$E$11/L9</f>
        <v>17.479543759758521</v>
      </c>
      <c r="M16" s="850">
        <f>$E$11/M9</f>
        <v>16.780225326820027</v>
      </c>
      <c r="N16" s="664">
        <f>$E$11/N9</f>
        <v>16.003080379452857</v>
      </c>
    </row>
    <row r="17" spans="2:14" ht="13.5" customHeight="1">
      <c r="B17" s="851" t="s">
        <v>241</v>
      </c>
      <c r="C17" s="840"/>
      <c r="D17" s="841"/>
      <c r="E17" s="866">
        <f>BS!F42</f>
        <v>2.8118721461187213</v>
      </c>
      <c r="F17" s="405"/>
      <c r="G17" s="873" t="s">
        <v>247</v>
      </c>
      <c r="H17" s="849"/>
      <c r="I17" s="849"/>
      <c r="J17" s="849"/>
      <c r="K17" s="664">
        <f>$E$6/(K14/$E$7)</f>
        <v>29.518819166666663</v>
      </c>
      <c r="L17" s="850">
        <f t="shared" ref="L17:N17" si="5">$E$6/(L14/$E$7)</f>
        <v>33.349292429826235</v>
      </c>
      <c r="M17" s="850">
        <f t="shared" si="5"/>
        <v>24.61070400670722</v>
      </c>
      <c r="N17" s="664">
        <f t="shared" si="5"/>
        <v>27.138509377323221</v>
      </c>
    </row>
    <row r="18" spans="2:14" ht="13.5" customHeight="1">
      <c r="B18" s="852" t="s">
        <v>135</v>
      </c>
      <c r="C18" s="853"/>
      <c r="D18" s="854"/>
      <c r="E18" s="867">
        <f>BS!AB45</f>
        <v>5.9118269090909088</v>
      </c>
      <c r="F18" s="405"/>
      <c r="G18" s="874" t="s">
        <v>136</v>
      </c>
      <c r="H18" s="855"/>
      <c r="I18" s="855"/>
      <c r="J18" s="855"/>
      <c r="K18" s="856">
        <f>$E$6/K12</f>
        <v>19.552460026638133</v>
      </c>
      <c r="L18" s="857">
        <f>$E$6/L12</f>
        <v>22.013675297258679</v>
      </c>
      <c r="M18" s="857">
        <f>$E$6/M12</f>
        <v>20.183728772807395</v>
      </c>
      <c r="N18" s="856">
        <f>$E$6/N12</f>
        <v>18.580806886310739</v>
      </c>
    </row>
    <row r="19" spans="2:14" ht="13.5" customHeight="1">
      <c r="B19" s="407"/>
      <c r="C19" s="407"/>
      <c r="D19" s="407"/>
      <c r="E19" s="407"/>
      <c r="F19" s="407"/>
    </row>
    <row r="20" spans="2:14" ht="13.5" customHeight="1">
      <c r="N20" s="791"/>
    </row>
  </sheetData>
  <pageMargins left="0.7" right="0.7" top="0.75" bottom="0.75" header="0.3" footer="0.3"/>
  <pageSetup scale="8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B1:CS127"/>
  <sheetViews>
    <sheetView showGridLines="0" view="pageBreakPreview" zoomScaleNormal="100" zoomScaleSheetLayoutView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defaultColWidth="10.83203125" defaultRowHeight="13.5" customHeight="1"/>
  <cols>
    <col min="1" max="1" width="5.83203125" style="2" customWidth="1"/>
    <col min="2" max="2" width="41.5" style="2" customWidth="1"/>
    <col min="3" max="9" width="11.83203125" style="2" customWidth="1"/>
    <col min="10" max="10" width="9.83203125" style="1" customWidth="1"/>
    <col min="11" max="40" width="9.83203125" style="8" customWidth="1"/>
    <col min="41" max="42" width="9.83203125" style="55" customWidth="1"/>
    <col min="43" max="54" width="10.83203125" style="55"/>
    <col min="55" max="92" width="10.83203125" style="3"/>
    <col min="93" max="16384" width="10.83203125" style="2"/>
  </cols>
  <sheetData>
    <row r="1" spans="2:97" s="18" customFormat="1" ht="13.5" customHeight="1">
      <c r="J1" s="19"/>
      <c r="K1" s="30">
        <v>40633</v>
      </c>
      <c r="L1" s="30">
        <f t="shared" ref="L1:AL1" si="0">EOMONTH(K1,3)</f>
        <v>40724</v>
      </c>
      <c r="M1" s="30">
        <f t="shared" si="0"/>
        <v>40816</v>
      </c>
      <c r="N1" s="30">
        <f t="shared" si="0"/>
        <v>40908</v>
      </c>
      <c r="O1" s="30">
        <f t="shared" si="0"/>
        <v>40999</v>
      </c>
      <c r="P1" s="30">
        <f t="shared" si="0"/>
        <v>41090</v>
      </c>
      <c r="Q1" s="30">
        <f t="shared" si="0"/>
        <v>41182</v>
      </c>
      <c r="R1" s="30">
        <f t="shared" si="0"/>
        <v>41274</v>
      </c>
      <c r="S1" s="30">
        <f t="shared" si="0"/>
        <v>41364</v>
      </c>
      <c r="T1" s="30">
        <f t="shared" si="0"/>
        <v>41455</v>
      </c>
      <c r="U1" s="30">
        <f t="shared" si="0"/>
        <v>41547</v>
      </c>
      <c r="V1" s="30">
        <f t="shared" si="0"/>
        <v>41639</v>
      </c>
      <c r="W1" s="30">
        <f t="shared" si="0"/>
        <v>41729</v>
      </c>
      <c r="X1" s="30">
        <f t="shared" si="0"/>
        <v>41820</v>
      </c>
      <c r="Y1" s="30">
        <f t="shared" si="0"/>
        <v>41912</v>
      </c>
      <c r="Z1" s="30">
        <f t="shared" si="0"/>
        <v>42004</v>
      </c>
      <c r="AA1" s="30">
        <f t="shared" si="0"/>
        <v>42094</v>
      </c>
      <c r="AB1" s="30">
        <f t="shared" si="0"/>
        <v>42185</v>
      </c>
      <c r="AC1" s="30">
        <f t="shared" si="0"/>
        <v>42277</v>
      </c>
      <c r="AD1" s="30">
        <f t="shared" si="0"/>
        <v>42369</v>
      </c>
      <c r="AE1" s="30">
        <f t="shared" si="0"/>
        <v>42460</v>
      </c>
      <c r="AF1" s="30">
        <f t="shared" si="0"/>
        <v>42551</v>
      </c>
      <c r="AG1" s="30">
        <f t="shared" si="0"/>
        <v>42643</v>
      </c>
      <c r="AH1" s="30">
        <f t="shared" si="0"/>
        <v>42735</v>
      </c>
      <c r="AI1" s="30">
        <f t="shared" si="0"/>
        <v>42825</v>
      </c>
      <c r="AJ1" s="30">
        <f t="shared" si="0"/>
        <v>42916</v>
      </c>
      <c r="AK1" s="30">
        <f t="shared" si="0"/>
        <v>43008</v>
      </c>
      <c r="AL1" s="30">
        <f t="shared" si="0"/>
        <v>43100</v>
      </c>
      <c r="AM1" s="38"/>
      <c r="AN1" s="38"/>
      <c r="AO1" s="338"/>
      <c r="AP1" s="338"/>
      <c r="AQ1" s="338"/>
      <c r="AR1" s="338"/>
      <c r="AS1" s="338"/>
      <c r="AT1" s="338"/>
      <c r="AU1" s="338"/>
      <c r="AV1" s="338"/>
      <c r="AW1" s="338"/>
      <c r="AX1" s="338"/>
      <c r="AY1" s="338"/>
      <c r="AZ1" s="338"/>
      <c r="BA1" s="338"/>
      <c r="BB1" s="338"/>
      <c r="BC1" s="339"/>
      <c r="BD1" s="339"/>
      <c r="BE1" s="339"/>
      <c r="BF1" s="339"/>
      <c r="BG1" s="339"/>
      <c r="BH1" s="339"/>
      <c r="BI1" s="339"/>
      <c r="BJ1" s="339"/>
      <c r="BK1" s="339"/>
      <c r="BL1" s="339"/>
      <c r="BM1" s="339"/>
      <c r="BN1" s="339"/>
      <c r="BO1" s="339"/>
      <c r="BP1" s="339"/>
      <c r="BQ1" s="339"/>
      <c r="BR1" s="339"/>
      <c r="BS1" s="339"/>
      <c r="BT1" s="339"/>
      <c r="BU1" s="339"/>
      <c r="BV1" s="339"/>
      <c r="BW1" s="339"/>
      <c r="BX1" s="339"/>
      <c r="BY1" s="339"/>
      <c r="BZ1" s="339"/>
      <c r="CA1" s="339"/>
      <c r="CB1" s="339"/>
      <c r="CC1" s="339"/>
      <c r="CD1" s="339"/>
      <c r="CE1" s="339"/>
      <c r="CF1" s="339"/>
      <c r="CG1" s="339"/>
      <c r="CH1" s="339"/>
      <c r="CI1" s="339"/>
      <c r="CJ1" s="339"/>
      <c r="CK1" s="339"/>
      <c r="CL1" s="339"/>
      <c r="CM1" s="339"/>
      <c r="CN1" s="339"/>
    </row>
    <row r="2" spans="2:97" ht="13.5" customHeight="1">
      <c r="B2" s="219" t="s">
        <v>245</v>
      </c>
    </row>
    <row r="3" spans="2:97" ht="13.5" customHeight="1">
      <c r="B3" s="8" t="s">
        <v>29</v>
      </c>
      <c r="C3" s="8"/>
      <c r="D3" s="8"/>
      <c r="E3" s="8"/>
      <c r="F3" s="8"/>
      <c r="G3" s="8"/>
      <c r="H3" s="8"/>
      <c r="I3" s="8"/>
    </row>
    <row r="4" spans="2:97" ht="13.5" customHeight="1">
      <c r="B4" s="8" t="s">
        <v>30</v>
      </c>
      <c r="C4" s="8"/>
      <c r="D4" s="8"/>
      <c r="E4" s="8"/>
      <c r="F4" s="8"/>
      <c r="G4" s="8"/>
      <c r="H4" s="8"/>
      <c r="I4" s="8"/>
    </row>
    <row r="5" spans="2:97" ht="13.5" customHeight="1">
      <c r="B5" s="8"/>
      <c r="C5" s="5" t="s">
        <v>11</v>
      </c>
      <c r="D5" s="4"/>
      <c r="E5" s="318"/>
      <c r="F5" s="4"/>
      <c r="G5" s="4"/>
      <c r="H5" s="4"/>
      <c r="I5" s="4"/>
      <c r="K5" s="29">
        <v>2011</v>
      </c>
      <c r="L5" s="27"/>
      <c r="M5" s="27"/>
      <c r="N5" s="28"/>
      <c r="O5" s="29">
        <f>K5+1</f>
        <v>2012</v>
      </c>
      <c r="P5" s="27"/>
      <c r="Q5" s="27"/>
      <c r="R5" s="28"/>
      <c r="S5" s="29">
        <f>O5+1</f>
        <v>2013</v>
      </c>
      <c r="T5" s="27"/>
      <c r="U5" s="27"/>
      <c r="V5" s="28"/>
      <c r="W5" s="29">
        <f>S5+1</f>
        <v>2014</v>
      </c>
      <c r="X5" s="27"/>
      <c r="Y5" s="27"/>
      <c r="Z5" s="28"/>
      <c r="AA5" s="29">
        <f>W5+1</f>
        <v>2015</v>
      </c>
      <c r="AB5" s="27"/>
      <c r="AC5" s="27"/>
      <c r="AD5" s="28"/>
      <c r="AE5" s="29">
        <f>AA5+1</f>
        <v>2016</v>
      </c>
      <c r="AF5" s="27"/>
      <c r="AG5" s="27"/>
      <c r="AH5" s="28"/>
      <c r="AI5" s="29">
        <f>AE5+1</f>
        <v>2017</v>
      </c>
      <c r="AJ5" s="27"/>
      <c r="AK5" s="27"/>
      <c r="AL5" s="28"/>
    </row>
    <row r="6" spans="2:97" ht="13.5" customHeight="1">
      <c r="B6" s="55"/>
      <c r="C6" s="32">
        <v>2011</v>
      </c>
      <c r="D6" s="32">
        <f t="shared" ref="D6:I6" si="1">C6+1</f>
        <v>2012</v>
      </c>
      <c r="E6" s="32">
        <f t="shared" si="1"/>
        <v>2013</v>
      </c>
      <c r="F6" s="494">
        <f t="shared" si="1"/>
        <v>2014</v>
      </c>
      <c r="G6" s="15">
        <f t="shared" si="1"/>
        <v>2015</v>
      </c>
      <c r="H6" s="15">
        <f t="shared" si="1"/>
        <v>2016</v>
      </c>
      <c r="I6" s="15">
        <f t="shared" si="1"/>
        <v>2017</v>
      </c>
      <c r="K6" s="320">
        <v>1</v>
      </c>
      <c r="L6" s="320">
        <f>K6+1</f>
        <v>2</v>
      </c>
      <c r="M6" s="320">
        <f>L6+1</f>
        <v>3</v>
      </c>
      <c r="N6" s="320">
        <f>M6+1</f>
        <v>4</v>
      </c>
      <c r="O6" s="320">
        <v>1</v>
      </c>
      <c r="P6" s="320">
        <f>O6+1</f>
        <v>2</v>
      </c>
      <c r="Q6" s="320">
        <f>P6+1</f>
        <v>3</v>
      </c>
      <c r="R6" s="320">
        <f>Q6+1</f>
        <v>4</v>
      </c>
      <c r="S6" s="320">
        <v>1</v>
      </c>
      <c r="T6" s="320">
        <f>S6+1</f>
        <v>2</v>
      </c>
      <c r="U6" s="320">
        <f>T6+1</f>
        <v>3</v>
      </c>
      <c r="V6" s="320">
        <f>U6+1</f>
        <v>4</v>
      </c>
      <c r="W6" s="320">
        <v>1</v>
      </c>
      <c r="X6" s="320">
        <f>W6+1</f>
        <v>2</v>
      </c>
      <c r="Y6" s="320">
        <f>X6+1</f>
        <v>3</v>
      </c>
      <c r="Z6" s="320">
        <f>Y6+1</f>
        <v>4</v>
      </c>
      <c r="AA6" s="320">
        <v>1</v>
      </c>
      <c r="AB6" s="320">
        <f>AA6+1</f>
        <v>2</v>
      </c>
      <c r="AC6" s="320">
        <f>AB6+1</f>
        <v>3</v>
      </c>
      <c r="AD6" s="320">
        <f>AC6+1</f>
        <v>4</v>
      </c>
      <c r="AE6" s="320">
        <v>1</v>
      </c>
      <c r="AF6" s="320">
        <f>AE6+1</f>
        <v>2</v>
      </c>
      <c r="AG6" s="320">
        <f>AF6+1</f>
        <v>3</v>
      </c>
      <c r="AH6" s="320">
        <f>AG6+1</f>
        <v>4</v>
      </c>
      <c r="AI6" s="320">
        <v>1</v>
      </c>
      <c r="AJ6" s="320">
        <f>AI6+1</f>
        <v>2</v>
      </c>
      <c r="AK6" s="320">
        <f>AJ6+1</f>
        <v>3</v>
      </c>
      <c r="AL6" s="320">
        <f>AK6+1</f>
        <v>4</v>
      </c>
    </row>
    <row r="7" spans="2:97" s="626" customFormat="1" ht="13.5" customHeight="1">
      <c r="B7" s="496" t="s">
        <v>27</v>
      </c>
      <c r="C7" s="606">
        <f>SUM(K7:N7)</f>
        <v>35810</v>
      </c>
      <c r="D7" s="606">
        <f>SUM(O7:R7)</f>
        <v>35015</v>
      </c>
      <c r="E7" s="606">
        <f>SUM(S7:V7)</f>
        <v>35299</v>
      </c>
      <c r="F7" s="607">
        <f>SUM(W7:Z7)</f>
        <v>34244</v>
      </c>
      <c r="G7" s="606">
        <f>SUM(AA7:AD7)</f>
        <v>30650.964999999997</v>
      </c>
      <c r="H7" s="606">
        <f>SUM(AE7:AH7)</f>
        <v>31331.186549999999</v>
      </c>
      <c r="I7" s="606">
        <f>SUM(AI7:AL7)</f>
        <v>32408.693525999995</v>
      </c>
      <c r="K7" s="627">
        <f>'IS-Segments'!K8+'IS-Segments'!K23+'IS-Segments'!K38+'IS-Segments'!K53+'IS-Segments'!K68</f>
        <v>8190</v>
      </c>
      <c r="L7" s="628">
        <f>'IS-Segments'!L8+'IS-Segments'!L23+'IS-Segments'!L38+'IS-Segments'!L53+'IS-Segments'!L68</f>
        <v>9163</v>
      </c>
      <c r="M7" s="628">
        <f>'IS-Segments'!M8+'IS-Segments'!M23+'IS-Segments'!M38+'IS-Segments'!M53+'IS-Segments'!M68</f>
        <v>8778</v>
      </c>
      <c r="N7" s="629">
        <f>'IS-Segments'!N8+'IS-Segments'!N23+'IS-Segments'!N38+'IS-Segments'!N53+'IS-Segments'!N68</f>
        <v>9679</v>
      </c>
      <c r="O7" s="628">
        <f>'IS-Segments'!O8+'IS-Segments'!O23+'IS-Segments'!O38+'IS-Segments'!O53+'IS-Segments'!O68</f>
        <v>8667</v>
      </c>
      <c r="P7" s="628">
        <f>'IS-Segments'!P8+'IS-Segments'!P23+'IS-Segments'!P38+'IS-Segments'!P53+'IS-Segments'!P68</f>
        <v>8527</v>
      </c>
      <c r="Q7" s="628">
        <f>'IS-Segments'!Q8+'IS-Segments'!Q23+'IS-Segments'!Q38+'IS-Segments'!Q53+'IS-Segments'!Q68</f>
        <v>8326</v>
      </c>
      <c r="R7" s="629">
        <f>'IS-Segments'!R8+'IS-Segments'!R23+'IS-Segments'!R38+'IS-Segments'!R53+'IS-Segments'!R68</f>
        <v>9495</v>
      </c>
      <c r="S7" s="628">
        <f>'IS-Segments'!S8+'IS-Segments'!S23+'IS-Segments'!S38+'IS-Segments'!S53+'IS-Segments'!S68</f>
        <v>8744</v>
      </c>
      <c r="T7" s="628">
        <f>'IS-Segments'!T8+'IS-Segments'!T23+'IS-Segments'!T38+'IS-Segments'!T53+'IS-Segments'!T68</f>
        <v>8595</v>
      </c>
      <c r="U7" s="628">
        <f>'IS-Segments'!U8+'IS-Segments'!U23+'IS-Segments'!U38+'IS-Segments'!U53+'IS-Segments'!U68</f>
        <v>8472</v>
      </c>
      <c r="V7" s="629">
        <f>'IS-Segments'!V8+'IS-Segments'!V23+'IS-Segments'!V38+'IS-Segments'!V53+'IS-Segments'!V68</f>
        <v>9488</v>
      </c>
      <c r="W7" s="628">
        <f>'IS-Segments'!W8+'IS-Segments'!W23+'IS-Segments'!W38+'IS-Segments'!W53+'IS-Segments'!W68</f>
        <v>8641</v>
      </c>
      <c r="X7" s="628">
        <f>'IS-Segments'!X8+'IS-Segments'!X23+'IS-Segments'!X38+'IS-Segments'!X53+'IS-Segments'!X68</f>
        <v>8436</v>
      </c>
      <c r="Y7" s="628">
        <f>'IS-Segments'!Y8+'IS-Segments'!Y23+'IS-Segments'!Y38+'IS-Segments'!Y53+'IS-Segments'!Y68</f>
        <v>8337</v>
      </c>
      <c r="Z7" s="629">
        <f>'IS-Segments'!Z8+'IS-Segments'!Z23+'IS-Segments'!Z38+'IS-Segments'!Z53+'IS-Segments'!Z68</f>
        <v>8830</v>
      </c>
      <c r="AA7" s="628">
        <f>'IS-Segments'!AA8+'IS-Segments'!AA23+'IS-Segments'!AA38+'IS-Segments'!AA53+'IS-Segments'!AA68</f>
        <v>7553.8249999999998</v>
      </c>
      <c r="AB7" s="628">
        <f>'IS-Segments'!AB8+'IS-Segments'!AB23+'IS-Segments'!AB38+'IS-Segments'!AB53+'IS-Segments'!AB68</f>
        <v>7503.9</v>
      </c>
      <c r="AC7" s="628">
        <f>'IS-Segments'!AC8+'IS-Segments'!AC23+'IS-Segments'!AC38+'IS-Segments'!AC53+'IS-Segments'!AC68</f>
        <v>7441.6149999999998</v>
      </c>
      <c r="AD7" s="629">
        <f>'IS-Segments'!AD8+'IS-Segments'!AD23+'IS-Segments'!AD38+'IS-Segments'!AD53+'IS-Segments'!AD68</f>
        <v>8151.625</v>
      </c>
      <c r="AE7" s="628">
        <f>'IS-Segments'!AE8+'IS-Segments'!AE23+'IS-Segments'!AE38+'IS-Segments'!AE53+'IS-Segments'!AE68</f>
        <v>7591.51325</v>
      </c>
      <c r="AF7" s="628">
        <f>'IS-Segments'!AF8+'IS-Segments'!AF23+'IS-Segments'!AF38+'IS-Segments'!AF53+'IS-Segments'!AF68</f>
        <v>7684.58205</v>
      </c>
      <c r="AG7" s="628">
        <f>'IS-Segments'!AG8+'IS-Segments'!AG23+'IS-Segments'!AG38+'IS-Segments'!AG53+'IS-Segments'!AG68</f>
        <v>7654.5186249999988</v>
      </c>
      <c r="AH7" s="629">
        <f>'IS-Segments'!AH8+'IS-Segments'!AH23+'IS-Segments'!AH38+'IS-Segments'!AH53+'IS-Segments'!AH68</f>
        <v>8400.5726250000007</v>
      </c>
      <c r="AI7" s="628">
        <f>'IS-Segments'!AI8+'IS-Segments'!AI23+'IS-Segments'!AI38+'IS-Segments'!AI53+'IS-Segments'!AI68</f>
        <v>7872.0782504999988</v>
      </c>
      <c r="AJ7" s="628">
        <f>'IS-Segments'!AJ8+'IS-Segments'!AJ23+'IS-Segments'!AJ38+'IS-Segments'!AJ53+'IS-Segments'!AJ68</f>
        <v>7943.4771874999997</v>
      </c>
      <c r="AK7" s="628">
        <f>'IS-Segments'!AK8+'IS-Segments'!AK23+'IS-Segments'!AK38+'IS-Segments'!AK53+'IS-Segments'!AK68</f>
        <v>7915.0928614999993</v>
      </c>
      <c r="AL7" s="629">
        <f>'IS-Segments'!AL8+'IS-Segments'!AL23+'IS-Segments'!AL38+'IS-Segments'!AL53+'IS-Segments'!AL68</f>
        <v>8678.0452265000004</v>
      </c>
      <c r="AM7" s="630"/>
      <c r="AN7" s="630"/>
      <c r="AO7" s="631"/>
      <c r="AP7" s="631"/>
      <c r="AQ7" s="631"/>
      <c r="AR7" s="631"/>
      <c r="AS7" s="631"/>
      <c r="AT7" s="631"/>
      <c r="AU7" s="631"/>
      <c r="AV7" s="631"/>
      <c r="AW7" s="631"/>
      <c r="AX7" s="631"/>
      <c r="AY7" s="631"/>
      <c r="AZ7" s="631"/>
      <c r="BA7" s="631"/>
      <c r="BB7" s="631"/>
      <c r="BC7" s="631"/>
      <c r="BD7" s="631"/>
      <c r="BE7" s="631"/>
      <c r="BF7" s="631"/>
      <c r="BG7" s="631"/>
      <c r="BH7" s="631"/>
      <c r="BI7" s="631"/>
      <c r="BJ7" s="631"/>
      <c r="BK7" s="631"/>
      <c r="BL7" s="631"/>
      <c r="BM7" s="631"/>
      <c r="BN7" s="631"/>
      <c r="BO7" s="631"/>
      <c r="BP7" s="631"/>
      <c r="BQ7" s="631"/>
      <c r="BR7" s="631"/>
      <c r="BS7" s="631"/>
      <c r="BT7" s="631"/>
      <c r="BU7" s="631"/>
      <c r="BV7" s="631"/>
      <c r="BW7" s="631"/>
      <c r="BX7" s="631"/>
      <c r="BY7" s="631"/>
      <c r="BZ7" s="631"/>
      <c r="CA7" s="631"/>
      <c r="CB7" s="631"/>
      <c r="CC7" s="631"/>
      <c r="CD7" s="631"/>
      <c r="CE7" s="631"/>
      <c r="CF7" s="631"/>
      <c r="CG7" s="631"/>
      <c r="CH7" s="631"/>
      <c r="CI7" s="631"/>
      <c r="CJ7" s="631"/>
      <c r="CK7" s="631"/>
      <c r="CL7" s="631"/>
      <c r="CM7" s="631"/>
      <c r="CN7" s="631"/>
    </row>
    <row r="8" spans="2:97" s="71" customFormat="1" ht="13.5" customHeight="1">
      <c r="B8" s="385" t="s">
        <v>244</v>
      </c>
      <c r="C8" s="43">
        <v>0.01</v>
      </c>
      <c r="D8" s="43">
        <f t="shared" ref="D8:I8" si="2">D7/C7-1</f>
        <v>-2.2200502652890308E-2</v>
      </c>
      <c r="E8" s="43">
        <f t="shared" si="2"/>
        <v>8.1108096530058127E-3</v>
      </c>
      <c r="F8" s="292">
        <f t="shared" si="2"/>
        <v>-2.9887532224708968E-2</v>
      </c>
      <c r="G8" s="43">
        <f t="shared" si="2"/>
        <v>-0.10492451232332678</v>
      </c>
      <c r="H8" s="43">
        <f t="shared" si="2"/>
        <v>2.2192500301377205E-2</v>
      </c>
      <c r="I8" s="43">
        <f t="shared" si="2"/>
        <v>3.4390876779609059E-2</v>
      </c>
      <c r="K8" s="926">
        <v>0.11</v>
      </c>
      <c r="L8" s="927">
        <v>9.8000000000000004E-2</v>
      </c>
      <c r="M8" s="927">
        <v>0.11</v>
      </c>
      <c r="N8" s="928">
        <v>0.11</v>
      </c>
      <c r="O8" s="93">
        <f>O7/K7-1</f>
        <v>5.8241758241758257E-2</v>
      </c>
      <c r="P8" s="93">
        <f t="shared" ref="P8:AL8" si="3">P7/L7-1</f>
        <v>-6.9409582014623994E-2</v>
      </c>
      <c r="Q8" s="93">
        <f t="shared" si="3"/>
        <v>-5.1492367281840923E-2</v>
      </c>
      <c r="R8" s="136">
        <f t="shared" si="3"/>
        <v>-1.9010228329372825E-2</v>
      </c>
      <c r="S8" s="93">
        <f t="shared" si="3"/>
        <v>8.8842736817815737E-3</v>
      </c>
      <c r="T8" s="93">
        <f t="shared" si="3"/>
        <v>7.9746686994253135E-3</v>
      </c>
      <c r="U8" s="93">
        <f t="shared" si="3"/>
        <v>1.753543117943801E-2</v>
      </c>
      <c r="V8" s="136">
        <f t="shared" si="3"/>
        <v>-7.3723012111637232E-4</v>
      </c>
      <c r="W8" s="93">
        <f t="shared" si="3"/>
        <v>-1.1779505946934998E-2</v>
      </c>
      <c r="X8" s="93">
        <f t="shared" si="3"/>
        <v>-1.8499127399650983E-2</v>
      </c>
      <c r="Y8" s="93">
        <f t="shared" si="3"/>
        <v>-1.5934844192634579E-2</v>
      </c>
      <c r="Z8" s="136">
        <f t="shared" si="3"/>
        <v>-6.9350758853288341E-2</v>
      </c>
      <c r="AA8" s="93">
        <f t="shared" si="3"/>
        <v>-0.12581587779192227</v>
      </c>
      <c r="AB8" s="93">
        <f t="shared" si="3"/>
        <v>-0.11049075391180663</v>
      </c>
      <c r="AC8" s="93">
        <f t="shared" si="3"/>
        <v>-0.10739894446443565</v>
      </c>
      <c r="AD8" s="136">
        <f t="shared" si="3"/>
        <v>-7.6826160815402056E-2</v>
      </c>
      <c r="AE8" s="93">
        <f t="shared" si="3"/>
        <v>4.9892935036224273E-3</v>
      </c>
      <c r="AF8" s="93">
        <f t="shared" si="3"/>
        <v>2.407841922200471E-2</v>
      </c>
      <c r="AG8" s="93">
        <f t="shared" si="3"/>
        <v>2.8609868287999163E-2</v>
      </c>
      <c r="AH8" s="136">
        <f t="shared" si="3"/>
        <v>3.0539631668532463E-2</v>
      </c>
      <c r="AI8" s="93">
        <f t="shared" si="3"/>
        <v>3.6957717290422742E-2</v>
      </c>
      <c r="AJ8" s="93">
        <f t="shared" si="3"/>
        <v>3.3690204075574881E-2</v>
      </c>
      <c r="AK8" s="93">
        <f t="shared" si="3"/>
        <v>3.4041884181841731E-2</v>
      </c>
      <c r="AL8" s="136">
        <f t="shared" si="3"/>
        <v>3.3030200902524731E-2</v>
      </c>
      <c r="AM8" s="489"/>
      <c r="AN8" s="489"/>
      <c r="AO8" s="490"/>
      <c r="AP8" s="490"/>
      <c r="AQ8" s="490"/>
      <c r="AR8" s="490"/>
      <c r="AS8" s="490"/>
      <c r="AT8" s="490"/>
      <c r="AU8" s="490"/>
      <c r="AV8" s="490"/>
      <c r="AW8" s="490"/>
      <c r="AX8" s="490"/>
      <c r="AY8" s="490"/>
      <c r="AZ8" s="490"/>
      <c r="BA8" s="490"/>
      <c r="BB8" s="490"/>
      <c r="BC8" s="490"/>
      <c r="BD8" s="490"/>
      <c r="BE8" s="490"/>
      <c r="BF8" s="490"/>
      <c r="BG8" s="490"/>
      <c r="BH8" s="490"/>
      <c r="BI8" s="490"/>
      <c r="BJ8" s="490"/>
      <c r="BK8" s="490"/>
      <c r="BL8" s="490"/>
      <c r="BM8" s="490"/>
      <c r="BN8" s="490"/>
      <c r="BO8" s="490"/>
      <c r="BP8" s="490"/>
      <c r="BQ8" s="490"/>
      <c r="BR8" s="490"/>
      <c r="BS8" s="490"/>
      <c r="BT8" s="490"/>
      <c r="BU8" s="490"/>
      <c r="BV8" s="490"/>
      <c r="BW8" s="490"/>
      <c r="BX8" s="490"/>
      <c r="BY8" s="490"/>
      <c r="BZ8" s="490"/>
      <c r="CA8" s="490"/>
      <c r="CB8" s="490"/>
      <c r="CC8" s="490"/>
      <c r="CD8" s="490"/>
      <c r="CE8" s="490"/>
      <c r="CF8" s="490"/>
      <c r="CG8" s="490"/>
      <c r="CH8" s="490"/>
      <c r="CI8" s="490"/>
      <c r="CJ8" s="490"/>
      <c r="CK8" s="490"/>
      <c r="CL8" s="490"/>
      <c r="CM8" s="490"/>
      <c r="CN8" s="490"/>
      <c r="CO8" s="490"/>
      <c r="CP8" s="490"/>
      <c r="CQ8" s="490"/>
      <c r="CR8" s="490"/>
      <c r="CS8" s="491"/>
    </row>
    <row r="9" spans="2:97" s="91" customFormat="1" ht="13.5" customHeight="1">
      <c r="B9" s="408" t="s">
        <v>48</v>
      </c>
      <c r="C9" s="605">
        <f>SUM(K9:N9)</f>
        <v>-22402.5</v>
      </c>
      <c r="D9" s="74">
        <f>SUM(O9:R9)</f>
        <v>-21939</v>
      </c>
      <c r="E9" s="74">
        <f>SUM(S9:V9)</f>
        <v>-22189</v>
      </c>
      <c r="F9" s="134">
        <f>SUM(W9:Z9)</f>
        <v>-21647</v>
      </c>
      <c r="G9" s="74">
        <f>SUM(AA9:AD9)</f>
        <v>-19071.582725</v>
      </c>
      <c r="H9" s="74">
        <f>SUM(AE9:AH9)</f>
        <v>-19337.003347499998</v>
      </c>
      <c r="I9" s="74">
        <f>SUM(AI9:AL9)</f>
        <v>-19848.023833365001</v>
      </c>
      <c r="K9" s="929">
        <v>-5133.25</v>
      </c>
      <c r="L9" s="930">
        <v>-5650.25</v>
      </c>
      <c r="M9" s="930">
        <v>-5461</v>
      </c>
      <c r="N9" s="931">
        <v>-6158</v>
      </c>
      <c r="O9" s="930">
        <v>-5472</v>
      </c>
      <c r="P9" s="930">
        <v>-5316</v>
      </c>
      <c r="Q9" s="930">
        <v>-5206</v>
      </c>
      <c r="R9" s="931">
        <v>-5945</v>
      </c>
      <c r="S9" s="930">
        <v>-5502</v>
      </c>
      <c r="T9" s="930">
        <v>-5364</v>
      </c>
      <c r="U9" s="930">
        <v>-5328</v>
      </c>
      <c r="V9" s="931">
        <v>-5995</v>
      </c>
      <c r="W9" s="930">
        <v>-5437</v>
      </c>
      <c r="X9" s="930">
        <v>-5331</v>
      </c>
      <c r="Y9" s="930">
        <v>-5195</v>
      </c>
      <c r="Z9" s="931">
        <v>-5684</v>
      </c>
      <c r="AA9" s="100">
        <f t="shared" ref="AA9:AL9" si="4">-AA7*(1-AA29)</f>
        <v>-4751.3559249999998</v>
      </c>
      <c r="AB9" s="100">
        <f t="shared" si="4"/>
        <v>-4652.4179999999997</v>
      </c>
      <c r="AC9" s="100">
        <f t="shared" si="4"/>
        <v>-4613.8013000000001</v>
      </c>
      <c r="AD9" s="615">
        <f t="shared" si="4"/>
        <v>-5054.0074999999997</v>
      </c>
      <c r="AE9" s="100">
        <f t="shared" si="4"/>
        <v>-4737.104268</v>
      </c>
      <c r="AF9" s="100">
        <f t="shared" si="4"/>
        <v>-4726.0179607499995</v>
      </c>
      <c r="AG9" s="100">
        <f t="shared" si="4"/>
        <v>-4707.5289543749996</v>
      </c>
      <c r="AH9" s="615">
        <f t="shared" si="4"/>
        <v>-5166.352164375</v>
      </c>
      <c r="AI9" s="100">
        <f t="shared" si="4"/>
        <v>-4880.6885153099993</v>
      </c>
      <c r="AJ9" s="100">
        <f t="shared" si="4"/>
        <v>-4845.5210843750001</v>
      </c>
      <c r="AK9" s="100">
        <f t="shared" si="4"/>
        <v>-4828.2066455149998</v>
      </c>
      <c r="AL9" s="615">
        <f t="shared" si="4"/>
        <v>-5293.6075881650004</v>
      </c>
      <c r="AM9" s="74"/>
      <c r="AN9" s="99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340"/>
      <c r="BD9" s="340"/>
      <c r="BE9" s="340"/>
      <c r="BF9" s="340"/>
      <c r="BG9" s="340"/>
      <c r="BH9" s="340"/>
      <c r="BI9" s="340"/>
      <c r="BJ9" s="340"/>
      <c r="BK9" s="340"/>
      <c r="BL9" s="340"/>
      <c r="BM9" s="340"/>
      <c r="BN9" s="340"/>
      <c r="BO9" s="340"/>
      <c r="BP9" s="340"/>
      <c r="BQ9" s="340"/>
      <c r="BR9" s="340"/>
      <c r="BS9" s="340"/>
      <c r="BT9" s="340"/>
      <c r="BU9" s="340"/>
      <c r="BV9" s="340"/>
      <c r="BW9" s="340"/>
      <c r="BX9" s="340"/>
      <c r="BY9" s="340"/>
      <c r="BZ9" s="340"/>
      <c r="CA9" s="340"/>
      <c r="CB9" s="340"/>
      <c r="CC9" s="340"/>
      <c r="CD9" s="340"/>
      <c r="CE9" s="340"/>
      <c r="CF9" s="340"/>
      <c r="CG9" s="340"/>
      <c r="CH9" s="340"/>
      <c r="CI9" s="340"/>
      <c r="CJ9" s="340"/>
      <c r="CK9" s="340"/>
      <c r="CL9" s="340"/>
      <c r="CM9" s="340"/>
      <c r="CN9" s="340"/>
    </row>
    <row r="10" spans="2:97" s="497" customFormat="1" ht="13.5" customHeight="1">
      <c r="B10" s="496" t="s">
        <v>9</v>
      </c>
      <c r="C10" s="606">
        <f>SUM(K10:N10)</f>
        <v>13407.5</v>
      </c>
      <c r="D10" s="606">
        <f>SUM(O10:R10)</f>
        <v>13076</v>
      </c>
      <c r="E10" s="606">
        <f>SUM(S10:V10)</f>
        <v>13110</v>
      </c>
      <c r="F10" s="607">
        <f>SUM(W10:Z10)</f>
        <v>12597</v>
      </c>
      <c r="G10" s="606">
        <f>SUM(AA10:AD10)</f>
        <v>11579.382275</v>
      </c>
      <c r="H10" s="606">
        <f>SUM(AE10:AH10)</f>
        <v>11994.1832025</v>
      </c>
      <c r="I10" s="606">
        <f>SUM(AI10:AL10)</f>
        <v>12560.669692634998</v>
      </c>
      <c r="K10" s="632">
        <f>K7+K9</f>
        <v>3056.75</v>
      </c>
      <c r="L10" s="633">
        <f t="shared" ref="L10:AL10" si="5">L7+L9</f>
        <v>3512.75</v>
      </c>
      <c r="M10" s="633">
        <f t="shared" si="5"/>
        <v>3317</v>
      </c>
      <c r="N10" s="634">
        <f t="shared" si="5"/>
        <v>3521</v>
      </c>
      <c r="O10" s="633">
        <f t="shared" si="5"/>
        <v>3195</v>
      </c>
      <c r="P10" s="633">
        <f t="shared" si="5"/>
        <v>3211</v>
      </c>
      <c r="Q10" s="633">
        <f t="shared" si="5"/>
        <v>3120</v>
      </c>
      <c r="R10" s="634">
        <f t="shared" si="5"/>
        <v>3550</v>
      </c>
      <c r="S10" s="633">
        <f t="shared" si="5"/>
        <v>3242</v>
      </c>
      <c r="T10" s="633">
        <f t="shared" si="5"/>
        <v>3231</v>
      </c>
      <c r="U10" s="633">
        <f t="shared" si="5"/>
        <v>3144</v>
      </c>
      <c r="V10" s="634">
        <f t="shared" si="5"/>
        <v>3493</v>
      </c>
      <c r="W10" s="633">
        <f t="shared" si="5"/>
        <v>3204</v>
      </c>
      <c r="X10" s="633">
        <f t="shared" si="5"/>
        <v>3105</v>
      </c>
      <c r="Y10" s="633">
        <f t="shared" si="5"/>
        <v>3142</v>
      </c>
      <c r="Z10" s="634">
        <f t="shared" si="5"/>
        <v>3146</v>
      </c>
      <c r="AA10" s="633">
        <f t="shared" si="5"/>
        <v>2802.469075</v>
      </c>
      <c r="AB10" s="633">
        <f t="shared" si="5"/>
        <v>2851.482</v>
      </c>
      <c r="AC10" s="633">
        <f t="shared" si="5"/>
        <v>2827.8136999999997</v>
      </c>
      <c r="AD10" s="634">
        <f t="shared" si="5"/>
        <v>3097.6175000000003</v>
      </c>
      <c r="AE10" s="633">
        <f t="shared" si="5"/>
        <v>2854.4089819999999</v>
      </c>
      <c r="AF10" s="633">
        <f t="shared" si="5"/>
        <v>2958.5640892500005</v>
      </c>
      <c r="AG10" s="633">
        <f t="shared" si="5"/>
        <v>2946.9896706249992</v>
      </c>
      <c r="AH10" s="634">
        <f t="shared" si="5"/>
        <v>3234.2204606250007</v>
      </c>
      <c r="AI10" s="633">
        <f t="shared" si="5"/>
        <v>2991.3897351899996</v>
      </c>
      <c r="AJ10" s="633">
        <f t="shared" si="5"/>
        <v>3097.9561031249996</v>
      </c>
      <c r="AK10" s="633">
        <f t="shared" si="5"/>
        <v>3086.8862159849996</v>
      </c>
      <c r="AL10" s="634">
        <f t="shared" si="5"/>
        <v>3384.437638335</v>
      </c>
      <c r="AM10" s="498"/>
      <c r="AN10" s="499"/>
      <c r="AO10" s="500"/>
      <c r="AP10" s="500"/>
      <c r="AQ10" s="500"/>
      <c r="AR10" s="500"/>
      <c r="AS10" s="500"/>
      <c r="AT10" s="500"/>
      <c r="AU10" s="500"/>
      <c r="AV10" s="500"/>
      <c r="AW10" s="500"/>
      <c r="AX10" s="500"/>
      <c r="AY10" s="500"/>
      <c r="AZ10" s="500"/>
      <c r="BA10" s="500"/>
      <c r="BB10" s="500"/>
      <c r="BC10" s="501"/>
      <c r="BD10" s="501"/>
      <c r="BE10" s="501"/>
      <c r="BF10" s="501"/>
      <c r="BG10" s="501"/>
      <c r="BH10" s="501"/>
      <c r="BI10" s="501"/>
      <c r="BJ10" s="501"/>
      <c r="BK10" s="501"/>
      <c r="BL10" s="501"/>
      <c r="BM10" s="501"/>
      <c r="BN10" s="501"/>
      <c r="BO10" s="501"/>
      <c r="BP10" s="501"/>
      <c r="BQ10" s="501"/>
      <c r="BR10" s="501"/>
      <c r="BS10" s="501"/>
      <c r="BT10" s="501"/>
      <c r="BU10" s="501"/>
      <c r="BV10" s="501"/>
      <c r="BW10" s="501"/>
      <c r="BX10" s="501"/>
      <c r="BY10" s="501"/>
      <c r="BZ10" s="501"/>
      <c r="CA10" s="501"/>
      <c r="CB10" s="501"/>
      <c r="CC10" s="501"/>
      <c r="CD10" s="501"/>
      <c r="CE10" s="501"/>
      <c r="CF10" s="501"/>
      <c r="CG10" s="501"/>
      <c r="CH10" s="501"/>
      <c r="CI10" s="501"/>
      <c r="CJ10" s="501"/>
      <c r="CK10" s="501"/>
      <c r="CL10" s="501"/>
      <c r="CM10" s="501"/>
      <c r="CN10" s="501"/>
    </row>
    <row r="11" spans="2:97" s="91" customFormat="1" ht="13.5" customHeight="1">
      <c r="B11" s="408" t="s">
        <v>145</v>
      </c>
      <c r="C11" s="74">
        <f t="shared" ref="C11:C23" si="6">SUM(K11:N11)</f>
        <v>-9274.5</v>
      </c>
      <c r="D11" s="74">
        <f t="shared" ref="D11:D23" si="7">SUM(O11:R11)</f>
        <v>-8827</v>
      </c>
      <c r="E11" s="74">
        <f t="shared" ref="E11:E23" si="8">SUM(S11:V11)</f>
        <v>-8902</v>
      </c>
      <c r="F11" s="134">
        <f t="shared" ref="F11:F23" si="9">SUM(W11:Z11)</f>
        <v>-8128</v>
      </c>
      <c r="G11" s="74">
        <f t="shared" ref="G11:G23" si="10">SUM(AA11:AD11)</f>
        <v>-7474.3476250000003</v>
      </c>
      <c r="H11" s="74">
        <f t="shared" ref="H11:H23" si="11">SUM(AE11:AH11)</f>
        <v>-7718.0706114900022</v>
      </c>
      <c r="I11" s="74">
        <f t="shared" ref="I11:I23" si="12">SUM(AI11:AL11)</f>
        <v>-8076.8996247092855</v>
      </c>
      <c r="K11" s="929">
        <v>-2177.75</v>
      </c>
      <c r="L11" s="930">
        <v>-2386.75</v>
      </c>
      <c r="M11" s="930">
        <v>-2289</v>
      </c>
      <c r="N11" s="931">
        <v>-2421</v>
      </c>
      <c r="O11" s="930">
        <v>-2159</v>
      </c>
      <c r="P11" s="930">
        <v>-2099</v>
      </c>
      <c r="Q11" s="930">
        <v>-2055</v>
      </c>
      <c r="R11" s="931">
        <v>-2514</v>
      </c>
      <c r="S11" s="930">
        <v>-2303</v>
      </c>
      <c r="T11" s="930">
        <v>-2269</v>
      </c>
      <c r="U11" s="930">
        <v>-2125</v>
      </c>
      <c r="V11" s="931">
        <v>-2205</v>
      </c>
      <c r="W11" s="930">
        <v>-2152</v>
      </c>
      <c r="X11" s="930">
        <v>-2050</v>
      </c>
      <c r="Y11" s="930">
        <v>-2047</v>
      </c>
      <c r="Z11" s="931">
        <v>-1879</v>
      </c>
      <c r="AA11" s="98">
        <f t="shared" ref="AA11:AL11" si="13">AA16-AA10</f>
        <v>-1857.9157749999999</v>
      </c>
      <c r="AB11" s="98">
        <f t="shared" si="13"/>
        <v>-1857.2846999999999</v>
      </c>
      <c r="AC11" s="98">
        <f t="shared" si="13"/>
        <v>-1845.9777499999998</v>
      </c>
      <c r="AD11" s="137">
        <f t="shared" si="13"/>
        <v>-1913.1694000000002</v>
      </c>
      <c r="AE11" s="98">
        <f t="shared" si="13"/>
        <v>-1884.4437977900002</v>
      </c>
      <c r="AF11" s="98">
        <f t="shared" si="13"/>
        <v>-1923.6612121400008</v>
      </c>
      <c r="AG11" s="98">
        <f t="shared" si="13"/>
        <v>-1918.4972172762496</v>
      </c>
      <c r="AH11" s="137">
        <f t="shared" si="13"/>
        <v>-1991.4683842837508</v>
      </c>
      <c r="AI11" s="98">
        <f t="shared" si="13"/>
        <v>-1971.0440053484353</v>
      </c>
      <c r="AJ11" s="98">
        <f t="shared" si="13"/>
        <v>-2013.724644159131</v>
      </c>
      <c r="AK11" s="98">
        <f t="shared" si="13"/>
        <v>-2009.2751958229305</v>
      </c>
      <c r="AL11" s="137">
        <f t="shared" si="13"/>
        <v>-2082.8557793787886</v>
      </c>
      <c r="AM11" s="74"/>
      <c r="AN11" s="99"/>
      <c r="AO11" s="73"/>
      <c r="AP11" s="73"/>
      <c r="AQ11" s="73"/>
      <c r="AR11" s="73"/>
      <c r="AS11" s="73"/>
      <c r="AT11" s="73"/>
      <c r="AU11" s="73"/>
      <c r="AV11" s="73"/>
      <c r="AW11" s="73"/>
      <c r="AX11" s="73"/>
      <c r="AY11" s="73"/>
      <c r="AZ11" s="73"/>
      <c r="BA11" s="73"/>
      <c r="BB11" s="73"/>
      <c r="BC11" s="340"/>
      <c r="BD11" s="340"/>
      <c r="BE11" s="340"/>
      <c r="BF11" s="340"/>
      <c r="BG11" s="340"/>
      <c r="BH11" s="340"/>
      <c r="BI11" s="340"/>
      <c r="BJ11" s="340"/>
      <c r="BK11" s="340"/>
      <c r="BL11" s="340"/>
      <c r="BM11" s="340"/>
      <c r="BN11" s="340"/>
      <c r="BO11" s="340"/>
      <c r="BP11" s="340"/>
      <c r="BQ11" s="340"/>
      <c r="BR11" s="340"/>
      <c r="BS11" s="340"/>
      <c r="BT11" s="340"/>
      <c r="BU11" s="340"/>
      <c r="BV11" s="340"/>
      <c r="BW11" s="340"/>
      <c r="BX11" s="340"/>
      <c r="BY11" s="340"/>
      <c r="BZ11" s="340"/>
      <c r="CA11" s="340"/>
      <c r="CB11" s="340"/>
      <c r="CC11" s="340"/>
      <c r="CD11" s="340"/>
      <c r="CE11" s="340"/>
      <c r="CF11" s="340"/>
      <c r="CG11" s="340"/>
      <c r="CH11" s="340"/>
      <c r="CI11" s="340"/>
      <c r="CJ11" s="340"/>
      <c r="CK11" s="340"/>
      <c r="CL11" s="340"/>
      <c r="CM11" s="340"/>
      <c r="CN11" s="340"/>
    </row>
    <row r="12" spans="2:97" s="91" customFormat="1" ht="13.5" customHeight="1">
      <c r="B12" s="484" t="s">
        <v>146</v>
      </c>
      <c r="C12" s="74">
        <f t="shared" si="6"/>
        <v>4762</v>
      </c>
      <c r="D12" s="74">
        <f t="shared" si="7"/>
        <v>4827</v>
      </c>
      <c r="E12" s="74">
        <f t="shared" si="8"/>
        <v>4649</v>
      </c>
      <c r="F12" s="134">
        <f t="shared" si="9"/>
        <v>4927</v>
      </c>
      <c r="G12" s="74">
        <f t="shared" si="10"/>
        <v>4461.0346499999996</v>
      </c>
      <c r="H12" s="74">
        <f t="shared" si="11"/>
        <v>4612.1125910099991</v>
      </c>
      <c r="I12" s="74">
        <f t="shared" si="12"/>
        <v>4819.7700679257132</v>
      </c>
      <c r="K12" s="616">
        <f>'IS-Segments'!K10+'IS-Segments'!K25+'IS-Segments'!K40+'IS-Segments'!K55+'IS-Segments'!K70</f>
        <v>998</v>
      </c>
      <c r="L12" s="485">
        <f>'IS-Segments'!L10+'IS-Segments'!L25+'IS-Segments'!L40+'IS-Segments'!L55+'IS-Segments'!L70</f>
        <v>1244</v>
      </c>
      <c r="M12" s="485">
        <f>'IS-Segments'!M10+'IS-Segments'!M25+'IS-Segments'!M40+'IS-Segments'!M55+'IS-Segments'!M70</f>
        <v>1220</v>
      </c>
      <c r="N12" s="617">
        <f>'IS-Segments'!N10+'IS-Segments'!N25+'IS-Segments'!N40+'IS-Segments'!N55+'IS-Segments'!N70</f>
        <v>1300</v>
      </c>
      <c r="O12" s="485">
        <f>'IS-Segments'!O10+'IS-Segments'!O25+'IS-Segments'!O40+'IS-Segments'!O55+'IS-Segments'!O70</f>
        <v>1141</v>
      </c>
      <c r="P12" s="485">
        <f>'IS-Segments'!P10+'IS-Segments'!P25+'IS-Segments'!P40+'IS-Segments'!P55+'IS-Segments'!P70</f>
        <v>1196</v>
      </c>
      <c r="Q12" s="485">
        <f>'IS-Segments'!Q10+'IS-Segments'!Q25+'IS-Segments'!Q40+'IS-Segments'!Q55+'IS-Segments'!Q70</f>
        <v>1226</v>
      </c>
      <c r="R12" s="617">
        <f>'IS-Segments'!R10+'IS-Segments'!R25+'IS-Segments'!R40+'IS-Segments'!R55+'IS-Segments'!R70</f>
        <v>1264</v>
      </c>
      <c r="S12" s="485">
        <f>'IS-Segments'!S10+'IS-Segments'!S25+'IS-Segments'!S40+'IS-Segments'!S55+'IS-Segments'!S70</f>
        <v>1036</v>
      </c>
      <c r="T12" s="485">
        <f>'IS-Segments'!T10+'IS-Segments'!T25+'IS-Segments'!T40+'IS-Segments'!T55+'IS-Segments'!T70</f>
        <v>1073</v>
      </c>
      <c r="U12" s="485">
        <f>'IS-Segments'!U10+'IS-Segments'!U25+'IS-Segments'!U40+'IS-Segments'!U55+'IS-Segments'!U70</f>
        <v>1141</v>
      </c>
      <c r="V12" s="617">
        <f>'IS-Segments'!V10+'IS-Segments'!V25+'IS-Segments'!V40+'IS-Segments'!V55+'IS-Segments'!V70</f>
        <v>1399</v>
      </c>
      <c r="W12" s="485">
        <f>'IS-Segments'!W10+'IS-Segments'!W25+'IS-Segments'!W40+'IS-Segments'!W55+'IS-Segments'!W70</f>
        <v>1169</v>
      </c>
      <c r="X12" s="485">
        <f>'IS-Segments'!X10+'IS-Segments'!X25+'IS-Segments'!X40+'IS-Segments'!X55+'IS-Segments'!X70</f>
        <v>1209</v>
      </c>
      <c r="Y12" s="485">
        <f>'IS-Segments'!Y10+'IS-Segments'!Y25+'IS-Segments'!Y40+'IS-Segments'!Y55+'IS-Segments'!Y70</f>
        <v>1186</v>
      </c>
      <c r="Z12" s="617">
        <f>'IS-Segments'!Z10+'IS-Segments'!Z25+'IS-Segments'!Z40+'IS-Segments'!Z55+'IS-Segments'!Z70</f>
        <v>1363</v>
      </c>
      <c r="AA12" s="485">
        <f>'IS-Segments'!AA10+'IS-Segments'!AA25+'IS-Segments'!AA40+'IS-Segments'!AA55+'IS-Segments'!AA70</f>
        <v>1033.5533</v>
      </c>
      <c r="AB12" s="485">
        <f>'IS-Segments'!AB10+'IS-Segments'!AB25+'IS-Segments'!AB40+'IS-Segments'!AB55+'IS-Segments'!AB70</f>
        <v>1083.1973</v>
      </c>
      <c r="AC12" s="485">
        <f>'IS-Segments'!AC10+'IS-Segments'!AC25+'IS-Segments'!AC40+'IS-Segments'!AC55+'IS-Segments'!AC70</f>
        <v>1070.8359499999999</v>
      </c>
      <c r="AD12" s="617">
        <f>'IS-Segments'!AD10+'IS-Segments'!AD25+'IS-Segments'!AD40+'IS-Segments'!AD55+'IS-Segments'!AD70</f>
        <v>1273.4481000000001</v>
      </c>
      <c r="AE12" s="485">
        <f>'IS-Segments'!AE10+'IS-Segments'!AE25+'IS-Segments'!AE40+'IS-Segments'!AE55+'IS-Segments'!AE70</f>
        <v>1053.9651842099997</v>
      </c>
      <c r="AF12" s="485">
        <f>'IS-Segments'!AF10+'IS-Segments'!AF25+'IS-Segments'!AF40+'IS-Segments'!AF55+'IS-Segments'!AF70</f>
        <v>1118.9028771099997</v>
      </c>
      <c r="AG12" s="485">
        <f>'IS-Segments'!AG10+'IS-Segments'!AG25+'IS-Segments'!AG40+'IS-Segments'!AG55+'IS-Segments'!AG70</f>
        <v>1112.4924533487497</v>
      </c>
      <c r="AH12" s="617">
        <f>'IS-Segments'!AH10+'IS-Segments'!AH25+'IS-Segments'!AH40+'IS-Segments'!AH55+'IS-Segments'!AH70</f>
        <v>1326.7520763412499</v>
      </c>
      <c r="AI12" s="485">
        <f>'IS-Segments'!AI10+'IS-Segments'!AI25+'IS-Segments'!AI40+'IS-Segments'!AI55+'IS-Segments'!AI70</f>
        <v>1104.3457298415642</v>
      </c>
      <c r="AJ12" s="485">
        <f>'IS-Segments'!AJ10+'IS-Segments'!AJ25+'IS-Segments'!AJ40+'IS-Segments'!AJ55+'IS-Segments'!AJ70</f>
        <v>1168.2314589658686</v>
      </c>
      <c r="AK12" s="485">
        <f>'IS-Segments'!AK10+'IS-Segments'!AK25+'IS-Segments'!AK40+'IS-Segments'!AK55+'IS-Segments'!AK70</f>
        <v>1161.6110201620691</v>
      </c>
      <c r="AL12" s="617">
        <f>'IS-Segments'!AL10+'IS-Segments'!AL25+'IS-Segments'!AL40+'IS-Segments'!AL55+'IS-Segments'!AL70</f>
        <v>1385.5818589562114</v>
      </c>
      <c r="AM12" s="74"/>
      <c r="AN12" s="99"/>
      <c r="AO12" s="73"/>
      <c r="AP12" s="73"/>
      <c r="AQ12" s="73"/>
      <c r="AR12" s="73"/>
      <c r="AS12" s="73"/>
      <c r="AT12" s="73"/>
      <c r="AU12" s="73"/>
      <c r="AV12" s="73"/>
      <c r="AW12" s="73"/>
      <c r="AX12" s="73"/>
      <c r="AY12" s="73"/>
      <c r="AZ12" s="73"/>
      <c r="BA12" s="73"/>
      <c r="BB12" s="73"/>
      <c r="BC12" s="340"/>
      <c r="BD12" s="340"/>
      <c r="BE12" s="340"/>
      <c r="BF12" s="340"/>
      <c r="BG12" s="340"/>
      <c r="BH12" s="340"/>
      <c r="BI12" s="340"/>
      <c r="BJ12" s="340"/>
      <c r="BK12" s="340"/>
      <c r="BL12" s="340"/>
      <c r="BM12" s="340"/>
      <c r="BN12" s="340"/>
      <c r="BO12" s="340"/>
      <c r="BP12" s="340"/>
      <c r="BQ12" s="340"/>
      <c r="BR12" s="340"/>
      <c r="BS12" s="340"/>
      <c r="BT12" s="340"/>
      <c r="BU12" s="340"/>
      <c r="BV12" s="340"/>
      <c r="BW12" s="340"/>
      <c r="BX12" s="340"/>
      <c r="BY12" s="340"/>
      <c r="BZ12" s="340"/>
      <c r="CA12" s="340"/>
      <c r="CB12" s="340"/>
      <c r="CC12" s="340"/>
      <c r="CD12" s="340"/>
      <c r="CE12" s="340"/>
      <c r="CF12" s="340"/>
      <c r="CG12" s="340"/>
      <c r="CH12" s="340"/>
      <c r="CI12" s="340"/>
      <c r="CJ12" s="340"/>
      <c r="CK12" s="340"/>
      <c r="CL12" s="340"/>
      <c r="CM12" s="340"/>
      <c r="CN12" s="340"/>
    </row>
    <row r="13" spans="2:97" s="91" customFormat="1" ht="13.5" customHeight="1">
      <c r="B13" s="412" t="s">
        <v>147</v>
      </c>
      <c r="C13" s="74">
        <f t="shared" si="6"/>
        <v>-225</v>
      </c>
      <c r="D13" s="74">
        <f t="shared" si="7"/>
        <v>-217</v>
      </c>
      <c r="E13" s="74">
        <f t="shared" si="8"/>
        <v>-217</v>
      </c>
      <c r="F13" s="134">
        <f t="shared" si="9"/>
        <v>-206</v>
      </c>
      <c r="G13" s="74">
        <f t="shared" si="10"/>
        <v>-196</v>
      </c>
      <c r="H13" s="74">
        <f t="shared" si="11"/>
        <v>-196</v>
      </c>
      <c r="I13" s="74">
        <f t="shared" si="12"/>
        <v>-196</v>
      </c>
      <c r="K13" s="929">
        <v>-57</v>
      </c>
      <c r="L13" s="930">
        <v>-57</v>
      </c>
      <c r="M13" s="930">
        <v>-58</v>
      </c>
      <c r="N13" s="931">
        <v>-53</v>
      </c>
      <c r="O13" s="930">
        <v>-56</v>
      </c>
      <c r="P13" s="930">
        <v>-53</v>
      </c>
      <c r="Q13" s="930">
        <v>-54</v>
      </c>
      <c r="R13" s="931">
        <v>-54</v>
      </c>
      <c r="S13" s="930">
        <v>-54</v>
      </c>
      <c r="T13" s="930">
        <v>-55</v>
      </c>
      <c r="U13" s="930">
        <v>-55</v>
      </c>
      <c r="V13" s="931">
        <v>-53</v>
      </c>
      <c r="W13" s="930">
        <v>-54</v>
      </c>
      <c r="X13" s="930">
        <v>-55</v>
      </c>
      <c r="Y13" s="930">
        <v>-48</v>
      </c>
      <c r="Z13" s="931">
        <v>-49</v>
      </c>
      <c r="AA13" s="493">
        <f>Z13</f>
        <v>-49</v>
      </c>
      <c r="AB13" s="98">
        <f>AA13</f>
        <v>-49</v>
      </c>
      <c r="AC13" s="98">
        <f t="shared" ref="AC13:AL14" si="14">AB13</f>
        <v>-49</v>
      </c>
      <c r="AD13" s="137">
        <f t="shared" si="14"/>
        <v>-49</v>
      </c>
      <c r="AE13" s="98">
        <f t="shared" si="14"/>
        <v>-49</v>
      </c>
      <c r="AF13" s="98">
        <f t="shared" si="14"/>
        <v>-49</v>
      </c>
      <c r="AG13" s="98">
        <f t="shared" si="14"/>
        <v>-49</v>
      </c>
      <c r="AH13" s="137">
        <f t="shared" si="14"/>
        <v>-49</v>
      </c>
      <c r="AI13" s="98">
        <f t="shared" si="14"/>
        <v>-49</v>
      </c>
      <c r="AJ13" s="98">
        <f t="shared" si="14"/>
        <v>-49</v>
      </c>
      <c r="AK13" s="98">
        <f t="shared" si="14"/>
        <v>-49</v>
      </c>
      <c r="AL13" s="137">
        <f t="shared" si="14"/>
        <v>-49</v>
      </c>
      <c r="AM13" s="74"/>
      <c r="AN13" s="99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340"/>
      <c r="BD13" s="340"/>
      <c r="BE13" s="340"/>
      <c r="BF13" s="340"/>
      <c r="BG13" s="340"/>
      <c r="BH13" s="340"/>
      <c r="BI13" s="340"/>
      <c r="BJ13" s="340"/>
      <c r="BK13" s="340"/>
      <c r="BL13" s="340"/>
      <c r="BM13" s="340"/>
      <c r="BN13" s="340"/>
      <c r="BO13" s="340"/>
      <c r="BP13" s="340"/>
      <c r="BQ13" s="340"/>
      <c r="BR13" s="340"/>
      <c r="BS13" s="340"/>
      <c r="BT13" s="340"/>
      <c r="BU13" s="340"/>
      <c r="BV13" s="340"/>
      <c r="BW13" s="340"/>
      <c r="BX13" s="340"/>
      <c r="BY13" s="340"/>
      <c r="BZ13" s="340"/>
      <c r="CA13" s="340"/>
      <c r="CB13" s="340"/>
      <c r="CC13" s="340"/>
      <c r="CD13" s="340"/>
      <c r="CE13" s="340"/>
      <c r="CF13" s="340"/>
      <c r="CG13" s="340"/>
      <c r="CH13" s="340"/>
      <c r="CI13" s="340"/>
      <c r="CJ13" s="340"/>
      <c r="CK13" s="340"/>
      <c r="CL13" s="340"/>
      <c r="CM13" s="340"/>
      <c r="CN13" s="340"/>
    </row>
    <row r="14" spans="2:97" s="91" customFormat="1" ht="13.5" customHeight="1">
      <c r="B14" s="412" t="s">
        <v>148</v>
      </c>
      <c r="C14" s="74">
        <f t="shared" si="6"/>
        <v>-404</v>
      </c>
      <c r="D14" s="74">
        <f t="shared" si="7"/>
        <v>-318</v>
      </c>
      <c r="E14" s="74">
        <f t="shared" si="8"/>
        <v>-223</v>
      </c>
      <c r="F14" s="134">
        <f t="shared" si="9"/>
        <v>-193</v>
      </c>
      <c r="G14" s="74">
        <f t="shared" si="10"/>
        <v>-160</v>
      </c>
      <c r="H14" s="74">
        <f t="shared" si="11"/>
        <v>-140</v>
      </c>
      <c r="I14" s="74">
        <f t="shared" si="12"/>
        <v>-140</v>
      </c>
      <c r="K14" s="929">
        <v>-62</v>
      </c>
      <c r="L14" s="930">
        <v>-61</v>
      </c>
      <c r="M14" s="930">
        <v>-134</v>
      </c>
      <c r="N14" s="931">
        <v>-147</v>
      </c>
      <c r="O14" s="930">
        <v>-73</v>
      </c>
      <c r="P14" s="930">
        <v>-42</v>
      </c>
      <c r="Q14" s="930">
        <v>-84</v>
      </c>
      <c r="R14" s="931">
        <v>-119</v>
      </c>
      <c r="S14" s="930">
        <v>-59</v>
      </c>
      <c r="T14" s="930">
        <v>-60</v>
      </c>
      <c r="U14" s="930">
        <v>-64</v>
      </c>
      <c r="V14" s="931">
        <v>-40</v>
      </c>
      <c r="W14" s="930">
        <v>-69</v>
      </c>
      <c r="X14" s="930">
        <v>-40</v>
      </c>
      <c r="Y14" s="930">
        <v>-39</v>
      </c>
      <c r="Z14" s="931">
        <v>-45</v>
      </c>
      <c r="AA14" s="493">
        <v>-40</v>
      </c>
      <c r="AB14" s="98">
        <f>AA14</f>
        <v>-40</v>
      </c>
      <c r="AC14" s="98">
        <f t="shared" si="14"/>
        <v>-40</v>
      </c>
      <c r="AD14" s="137">
        <f t="shared" si="14"/>
        <v>-40</v>
      </c>
      <c r="AE14" s="493">
        <v>-35</v>
      </c>
      <c r="AF14" s="98">
        <f t="shared" si="14"/>
        <v>-35</v>
      </c>
      <c r="AG14" s="98">
        <f t="shared" si="14"/>
        <v>-35</v>
      </c>
      <c r="AH14" s="137">
        <f t="shared" si="14"/>
        <v>-35</v>
      </c>
      <c r="AI14" s="493">
        <v>-35</v>
      </c>
      <c r="AJ14" s="98">
        <f t="shared" si="14"/>
        <v>-35</v>
      </c>
      <c r="AK14" s="98">
        <f t="shared" si="14"/>
        <v>-35</v>
      </c>
      <c r="AL14" s="137">
        <f t="shared" si="14"/>
        <v>-35</v>
      </c>
      <c r="AM14" s="74"/>
      <c r="AN14" s="99"/>
      <c r="AO14" s="7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340"/>
      <c r="BD14" s="340"/>
      <c r="BE14" s="340"/>
      <c r="BF14" s="340"/>
      <c r="BG14" s="340"/>
      <c r="BH14" s="340"/>
      <c r="BI14" s="340"/>
      <c r="BJ14" s="340"/>
      <c r="BK14" s="340"/>
      <c r="BL14" s="340"/>
      <c r="BM14" s="340"/>
      <c r="BN14" s="340"/>
      <c r="BO14" s="340"/>
      <c r="BP14" s="340"/>
      <c r="BQ14" s="340"/>
      <c r="BR14" s="340"/>
      <c r="BS14" s="340"/>
      <c r="BT14" s="340"/>
      <c r="BU14" s="340"/>
      <c r="BV14" s="340"/>
      <c r="BW14" s="340"/>
      <c r="BX14" s="340"/>
      <c r="BY14" s="340"/>
      <c r="BZ14" s="340"/>
      <c r="CA14" s="340"/>
      <c r="CB14" s="340"/>
      <c r="CC14" s="340"/>
      <c r="CD14" s="340"/>
      <c r="CE14" s="340"/>
      <c r="CF14" s="340"/>
      <c r="CG14" s="340"/>
      <c r="CH14" s="340"/>
      <c r="CI14" s="340"/>
      <c r="CJ14" s="340"/>
      <c r="CK14" s="340"/>
      <c r="CL14" s="340"/>
      <c r="CM14" s="340"/>
      <c r="CN14" s="340"/>
    </row>
    <row r="15" spans="2:97" s="91" customFormat="1" ht="13.5" customHeight="1">
      <c r="B15" s="412" t="s">
        <v>149</v>
      </c>
      <c r="C15" s="74">
        <f t="shared" si="6"/>
        <v>-36</v>
      </c>
      <c r="D15" s="74">
        <f t="shared" si="7"/>
        <v>1</v>
      </c>
      <c r="E15" s="74">
        <f t="shared" si="8"/>
        <v>62</v>
      </c>
      <c r="F15" s="134">
        <f t="shared" si="9"/>
        <v>-112</v>
      </c>
      <c r="G15" s="728">
        <f t="shared" si="10"/>
        <v>0</v>
      </c>
      <c r="H15" s="728">
        <f t="shared" si="11"/>
        <v>0</v>
      </c>
      <c r="I15" s="728">
        <f t="shared" si="12"/>
        <v>0</v>
      </c>
      <c r="K15" s="929">
        <v>65</v>
      </c>
      <c r="L15" s="930">
        <v>-72</v>
      </c>
      <c r="M15" s="930">
        <v>17</v>
      </c>
      <c r="N15" s="931">
        <v>-46</v>
      </c>
      <c r="O15" s="930">
        <v>18</v>
      </c>
      <c r="P15" s="930">
        <v>23</v>
      </c>
      <c r="Q15" s="930">
        <v>1</v>
      </c>
      <c r="R15" s="931">
        <v>-41</v>
      </c>
      <c r="S15" s="930">
        <v>19</v>
      </c>
      <c r="T15" s="930">
        <v>24</v>
      </c>
      <c r="U15" s="930">
        <v>12</v>
      </c>
      <c r="V15" s="931">
        <v>7</v>
      </c>
      <c r="W15" s="930">
        <v>7</v>
      </c>
      <c r="X15" s="930">
        <v>-54</v>
      </c>
      <c r="Y15" s="930">
        <v>39</v>
      </c>
      <c r="Z15" s="931">
        <v>-104</v>
      </c>
      <c r="AA15" s="493">
        <v>0</v>
      </c>
      <c r="AB15" s="98">
        <f>AA15</f>
        <v>0</v>
      </c>
      <c r="AC15" s="98">
        <f t="shared" ref="AC15:AL15" si="15">AB15</f>
        <v>0</v>
      </c>
      <c r="AD15" s="137">
        <f t="shared" si="15"/>
        <v>0</v>
      </c>
      <c r="AE15" s="98">
        <f t="shared" si="15"/>
        <v>0</v>
      </c>
      <c r="AF15" s="98">
        <f t="shared" si="15"/>
        <v>0</v>
      </c>
      <c r="AG15" s="98">
        <f t="shared" si="15"/>
        <v>0</v>
      </c>
      <c r="AH15" s="137">
        <f t="shared" si="15"/>
        <v>0</v>
      </c>
      <c r="AI15" s="98">
        <f t="shared" si="15"/>
        <v>0</v>
      </c>
      <c r="AJ15" s="98">
        <f t="shared" si="15"/>
        <v>0</v>
      </c>
      <c r="AK15" s="98">
        <f t="shared" si="15"/>
        <v>0</v>
      </c>
      <c r="AL15" s="137">
        <f t="shared" si="15"/>
        <v>0</v>
      </c>
      <c r="AM15" s="74"/>
      <c r="AN15" s="99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340"/>
      <c r="BD15" s="340"/>
      <c r="BE15" s="340"/>
      <c r="BF15" s="340"/>
      <c r="BG15" s="340"/>
      <c r="BH15" s="340"/>
      <c r="BI15" s="340"/>
      <c r="BJ15" s="340"/>
      <c r="BK15" s="340"/>
      <c r="BL15" s="340"/>
      <c r="BM15" s="340"/>
      <c r="BN15" s="340"/>
      <c r="BO15" s="340"/>
      <c r="BP15" s="340"/>
      <c r="BQ15" s="340"/>
      <c r="BR15" s="340"/>
      <c r="BS15" s="340"/>
      <c r="BT15" s="340"/>
      <c r="BU15" s="340"/>
      <c r="BV15" s="340"/>
      <c r="BW15" s="340"/>
      <c r="BX15" s="340"/>
      <c r="BY15" s="340"/>
      <c r="BZ15" s="340"/>
      <c r="CA15" s="340"/>
      <c r="CB15" s="340"/>
      <c r="CC15" s="340"/>
      <c r="CD15" s="340"/>
      <c r="CE15" s="340"/>
      <c r="CF15" s="340"/>
      <c r="CG15" s="340"/>
      <c r="CH15" s="340"/>
      <c r="CI15" s="340"/>
      <c r="CJ15" s="340"/>
      <c r="CK15" s="340"/>
      <c r="CL15" s="340"/>
      <c r="CM15" s="340"/>
      <c r="CN15" s="340"/>
    </row>
    <row r="16" spans="2:97" s="497" customFormat="1" ht="13.5" customHeight="1">
      <c r="B16" s="496" t="s">
        <v>83</v>
      </c>
      <c r="C16" s="606">
        <f t="shared" si="6"/>
        <v>4097</v>
      </c>
      <c r="D16" s="606">
        <f t="shared" si="7"/>
        <v>4293</v>
      </c>
      <c r="E16" s="606">
        <f t="shared" si="8"/>
        <v>4271</v>
      </c>
      <c r="F16" s="607">
        <f t="shared" si="9"/>
        <v>4416</v>
      </c>
      <c r="G16" s="606">
        <f t="shared" si="10"/>
        <v>4105.0346499999996</v>
      </c>
      <c r="H16" s="606">
        <f t="shared" si="11"/>
        <v>4276.1125910099991</v>
      </c>
      <c r="I16" s="606">
        <f t="shared" si="12"/>
        <v>4483.7700679257132</v>
      </c>
      <c r="K16" s="632">
        <f>SUM(K12:K15)</f>
        <v>944</v>
      </c>
      <c r="L16" s="633">
        <f t="shared" ref="L16:AL16" si="16">SUM(L12:L15)</f>
        <v>1054</v>
      </c>
      <c r="M16" s="633">
        <f t="shared" si="16"/>
        <v>1045</v>
      </c>
      <c r="N16" s="634">
        <f t="shared" si="16"/>
        <v>1054</v>
      </c>
      <c r="O16" s="633">
        <f t="shared" si="16"/>
        <v>1030</v>
      </c>
      <c r="P16" s="633">
        <f t="shared" si="16"/>
        <v>1124</v>
      </c>
      <c r="Q16" s="633">
        <f t="shared" si="16"/>
        <v>1089</v>
      </c>
      <c r="R16" s="634">
        <f t="shared" si="16"/>
        <v>1050</v>
      </c>
      <c r="S16" s="633">
        <f t="shared" si="16"/>
        <v>942</v>
      </c>
      <c r="T16" s="633">
        <f t="shared" si="16"/>
        <v>982</v>
      </c>
      <c r="U16" s="633">
        <f t="shared" si="16"/>
        <v>1034</v>
      </c>
      <c r="V16" s="634">
        <f t="shared" si="16"/>
        <v>1313</v>
      </c>
      <c r="W16" s="633">
        <f t="shared" si="16"/>
        <v>1053</v>
      </c>
      <c r="X16" s="633">
        <f t="shared" si="16"/>
        <v>1060</v>
      </c>
      <c r="Y16" s="633">
        <f t="shared" si="16"/>
        <v>1138</v>
      </c>
      <c r="Z16" s="634">
        <f t="shared" si="16"/>
        <v>1165</v>
      </c>
      <c r="AA16" s="633">
        <f t="shared" si="16"/>
        <v>944.55330000000004</v>
      </c>
      <c r="AB16" s="633">
        <f t="shared" si="16"/>
        <v>994.19730000000004</v>
      </c>
      <c r="AC16" s="633">
        <f t="shared" si="16"/>
        <v>981.83594999999991</v>
      </c>
      <c r="AD16" s="634">
        <f t="shared" si="16"/>
        <v>1184.4481000000001</v>
      </c>
      <c r="AE16" s="633">
        <f t="shared" si="16"/>
        <v>969.96518420999973</v>
      </c>
      <c r="AF16" s="633">
        <f t="shared" si="16"/>
        <v>1034.9028771099997</v>
      </c>
      <c r="AG16" s="633">
        <f t="shared" si="16"/>
        <v>1028.4924533487497</v>
      </c>
      <c r="AH16" s="634">
        <f t="shared" si="16"/>
        <v>1242.7520763412499</v>
      </c>
      <c r="AI16" s="633">
        <f t="shared" si="16"/>
        <v>1020.3457298415642</v>
      </c>
      <c r="AJ16" s="633">
        <f t="shared" si="16"/>
        <v>1084.2314589658686</v>
      </c>
      <c r="AK16" s="633">
        <f t="shared" si="16"/>
        <v>1077.6110201620691</v>
      </c>
      <c r="AL16" s="634">
        <f t="shared" si="16"/>
        <v>1301.5818589562114</v>
      </c>
      <c r="AM16" s="498"/>
      <c r="AN16" s="499"/>
      <c r="AO16" s="500"/>
      <c r="AP16" s="500"/>
      <c r="AQ16" s="500"/>
      <c r="AR16" s="500"/>
      <c r="AS16" s="500"/>
      <c r="AT16" s="500"/>
      <c r="AU16" s="500"/>
      <c r="AV16" s="500"/>
      <c r="AW16" s="500"/>
      <c r="AX16" s="500"/>
      <c r="AY16" s="500"/>
      <c r="AZ16" s="500"/>
      <c r="BA16" s="500"/>
      <c r="BB16" s="500"/>
      <c r="BC16" s="501"/>
      <c r="BD16" s="501"/>
      <c r="BE16" s="501"/>
      <c r="BF16" s="501"/>
      <c r="BG16" s="501"/>
      <c r="BH16" s="501"/>
      <c r="BI16" s="501"/>
      <c r="BJ16" s="501"/>
      <c r="BK16" s="501"/>
      <c r="BL16" s="501"/>
      <c r="BM16" s="501"/>
      <c r="BN16" s="501"/>
      <c r="BO16" s="501"/>
      <c r="BP16" s="501"/>
      <c r="BQ16" s="501"/>
      <c r="BR16" s="501"/>
      <c r="BS16" s="501"/>
      <c r="BT16" s="501"/>
      <c r="BU16" s="501"/>
      <c r="BV16" s="501"/>
      <c r="BW16" s="501"/>
      <c r="BX16" s="501"/>
      <c r="BY16" s="501"/>
      <c r="BZ16" s="501"/>
      <c r="CA16" s="501"/>
      <c r="CB16" s="501"/>
      <c r="CC16" s="501"/>
      <c r="CD16" s="501"/>
      <c r="CE16" s="501"/>
      <c r="CF16" s="501"/>
      <c r="CG16" s="501"/>
      <c r="CH16" s="501"/>
      <c r="CI16" s="501"/>
      <c r="CJ16" s="501"/>
      <c r="CK16" s="501"/>
      <c r="CL16" s="501"/>
      <c r="CM16" s="501"/>
      <c r="CN16" s="501"/>
    </row>
    <row r="17" spans="2:97" s="71" customFormat="1" ht="13.5" customHeight="1">
      <c r="B17" s="385" t="s">
        <v>244</v>
      </c>
      <c r="C17" s="43">
        <v>0.01</v>
      </c>
      <c r="D17" s="43">
        <f t="shared" ref="D17" si="17">D16/C16-1</f>
        <v>4.7839882841103298E-2</v>
      </c>
      <c r="E17" s="43">
        <f t="shared" ref="E17" si="18">E16/D16-1</f>
        <v>-5.1246214768226883E-3</v>
      </c>
      <c r="F17" s="292">
        <f t="shared" ref="F17" si="19">F16/E16-1</f>
        <v>3.3949894638257927E-2</v>
      </c>
      <c r="G17" s="43">
        <f t="shared" ref="G17" si="20">G16/F16-1</f>
        <v>-7.0417878170289994E-2</v>
      </c>
      <c r="H17" s="43">
        <f t="shared" ref="H17" si="21">H16/G16-1</f>
        <v>4.167515151425083E-2</v>
      </c>
      <c r="I17" s="43">
        <f t="shared" ref="I17" si="22">I16/H16-1</f>
        <v>4.8562209833363346E-2</v>
      </c>
      <c r="K17" s="926">
        <v>6.6000000000000003E-2</v>
      </c>
      <c r="L17" s="927">
        <v>5.3999999999999999E-2</v>
      </c>
      <c r="M17" s="927">
        <v>5.6000000000000001E-2</v>
      </c>
      <c r="N17" s="928">
        <v>4.2999999999999997E-2</v>
      </c>
      <c r="O17" s="93">
        <f>O16/K16-1</f>
        <v>9.1101694915254328E-2</v>
      </c>
      <c r="P17" s="93">
        <f t="shared" ref="P17" si="23">P16/L16-1</f>
        <v>6.6413662239089177E-2</v>
      </c>
      <c r="Q17" s="93">
        <f t="shared" ref="Q17" si="24">Q16/M16-1</f>
        <v>4.2105263157894646E-2</v>
      </c>
      <c r="R17" s="136">
        <f t="shared" ref="R17" si="25">R16/N16-1</f>
        <v>-3.7950664136622292E-3</v>
      </c>
      <c r="S17" s="93">
        <f t="shared" ref="S17" si="26">S16/O16-1</f>
        <v>-8.5436893203883479E-2</v>
      </c>
      <c r="T17" s="93">
        <f t="shared" ref="T17" si="27">T16/P16-1</f>
        <v>-0.12633451957295372</v>
      </c>
      <c r="U17" s="93">
        <f t="shared" ref="U17" si="28">U16/Q16-1</f>
        <v>-5.0505050505050497E-2</v>
      </c>
      <c r="V17" s="136">
        <f t="shared" ref="V17" si="29">V16/R16-1</f>
        <v>0.25047619047619052</v>
      </c>
      <c r="W17" s="93">
        <f t="shared" ref="W17" si="30">W16/S16-1</f>
        <v>0.11783439490445868</v>
      </c>
      <c r="X17" s="93">
        <f t="shared" ref="X17" si="31">X16/T16-1</f>
        <v>7.9429735234215926E-2</v>
      </c>
      <c r="Y17" s="93">
        <f t="shared" ref="Y17" si="32">Y16/U16-1</f>
        <v>0.10058027079303677</v>
      </c>
      <c r="Z17" s="136">
        <f t="shared" ref="Z17" si="33">Z16/V16-1</f>
        <v>-0.11271896420411276</v>
      </c>
      <c r="AA17" s="93">
        <f t="shared" ref="AA17" si="34">AA16/W16-1</f>
        <v>-0.10298831908831907</v>
      </c>
      <c r="AB17" s="93">
        <f t="shared" ref="AB17" si="35">AB16/X16-1</f>
        <v>-6.2078018867924523E-2</v>
      </c>
      <c r="AC17" s="93">
        <f t="shared" ref="AC17" si="36">AC16/Y16-1</f>
        <v>-0.1372267574692444</v>
      </c>
      <c r="AD17" s="136">
        <f t="shared" ref="AD17" si="37">AD16/Z16-1</f>
        <v>1.6693648068669686E-2</v>
      </c>
      <c r="AE17" s="93">
        <f t="shared" ref="AE17" si="38">AE16/AA16-1</f>
        <v>2.6903600050944387E-2</v>
      </c>
      <c r="AF17" s="93">
        <f t="shared" ref="AF17" si="39">AF16/AB16-1</f>
        <v>4.0943157972768374E-2</v>
      </c>
      <c r="AG17" s="93">
        <f t="shared" ref="AG17" si="40">AG16/AC16-1</f>
        <v>4.7519652696308201E-2</v>
      </c>
      <c r="AH17" s="136">
        <f t="shared" ref="AH17" si="41">AH16/AD16-1</f>
        <v>4.9224593581812304E-2</v>
      </c>
      <c r="AI17" s="93">
        <f t="shared" ref="AI17" si="42">AI16/AE16-1</f>
        <v>5.1940571117093715E-2</v>
      </c>
      <c r="AJ17" s="93">
        <f t="shared" ref="AJ17" si="43">AJ16/AF16-1</f>
        <v>4.7664938369502474E-2</v>
      </c>
      <c r="AK17" s="93">
        <f t="shared" ref="AK17" si="44">AK16/AG16-1</f>
        <v>4.7757829095770532E-2</v>
      </c>
      <c r="AL17" s="136">
        <f t="shared" ref="AL17" si="45">AL16/AH16-1</f>
        <v>4.7338309655583499E-2</v>
      </c>
      <c r="AM17" s="489"/>
      <c r="AN17" s="489"/>
      <c r="AO17" s="490"/>
      <c r="AP17" s="490"/>
      <c r="AQ17" s="490"/>
      <c r="AR17" s="490"/>
      <c r="AS17" s="490"/>
      <c r="AT17" s="490"/>
      <c r="AU17" s="490"/>
      <c r="AV17" s="490"/>
      <c r="AW17" s="490"/>
      <c r="AX17" s="490"/>
      <c r="AY17" s="490"/>
      <c r="AZ17" s="490"/>
      <c r="BA17" s="490"/>
      <c r="BB17" s="490"/>
      <c r="BC17" s="490"/>
      <c r="BD17" s="490"/>
      <c r="BE17" s="490"/>
      <c r="BF17" s="490"/>
      <c r="BG17" s="490"/>
      <c r="BH17" s="490"/>
      <c r="BI17" s="490"/>
      <c r="BJ17" s="490"/>
      <c r="BK17" s="490"/>
      <c r="BL17" s="490"/>
      <c r="BM17" s="490"/>
      <c r="BN17" s="490"/>
      <c r="BO17" s="490"/>
      <c r="BP17" s="490"/>
      <c r="BQ17" s="490"/>
      <c r="BR17" s="490"/>
      <c r="BS17" s="490"/>
      <c r="BT17" s="490"/>
      <c r="BU17" s="490"/>
      <c r="BV17" s="490"/>
      <c r="BW17" s="490"/>
      <c r="BX17" s="490"/>
      <c r="BY17" s="490"/>
      <c r="BZ17" s="490"/>
      <c r="CA17" s="490"/>
      <c r="CB17" s="490"/>
      <c r="CC17" s="490"/>
      <c r="CD17" s="490"/>
      <c r="CE17" s="490"/>
      <c r="CF17" s="490"/>
      <c r="CG17" s="490"/>
      <c r="CH17" s="490"/>
      <c r="CI17" s="490"/>
      <c r="CJ17" s="490"/>
      <c r="CK17" s="490"/>
      <c r="CL17" s="490"/>
      <c r="CM17" s="490"/>
      <c r="CN17" s="490"/>
      <c r="CO17" s="490"/>
      <c r="CP17" s="490"/>
      <c r="CQ17" s="490"/>
      <c r="CR17" s="490"/>
      <c r="CS17" s="491"/>
    </row>
    <row r="18" spans="2:97" s="71" customFormat="1" ht="13.5" customHeight="1">
      <c r="B18" s="593" t="s">
        <v>10</v>
      </c>
      <c r="C18" s="608">
        <f t="shared" ref="C18" si="46">SUM(K18:N18)</f>
        <v>5582</v>
      </c>
      <c r="D18" s="608">
        <f t="shared" ref="D18" si="47">SUM(O18:R18)</f>
        <v>5638</v>
      </c>
      <c r="E18" s="608">
        <f t="shared" ref="E18" si="48">SUM(S18:V18)</f>
        <v>5348</v>
      </c>
      <c r="F18" s="609">
        <f t="shared" ref="F18" si="49">SUM(W18:Z18)</f>
        <v>5475</v>
      </c>
      <c r="G18" s="608">
        <f t="shared" ref="G18" si="50">SUM(AA18:AD18)</f>
        <v>5024.5635999999995</v>
      </c>
      <c r="H18" s="608">
        <f t="shared" ref="H18" si="51">SUM(AE18:AH18)</f>
        <v>5216.0481875099986</v>
      </c>
      <c r="I18" s="608">
        <f t="shared" ref="I18" si="52">SUM(AI18:AL18)</f>
        <v>5456.030873705713</v>
      </c>
      <c r="K18" s="644">
        <f>K16+CF!K9</f>
        <v>1316</v>
      </c>
      <c r="L18" s="608">
        <f>L16+CF!L9</f>
        <v>1424</v>
      </c>
      <c r="M18" s="608">
        <f>M16+CF!M9</f>
        <v>1420</v>
      </c>
      <c r="N18" s="609">
        <f>N16+CF!N9</f>
        <v>1422</v>
      </c>
      <c r="O18" s="608">
        <f>O16+CF!O9</f>
        <v>1387</v>
      </c>
      <c r="P18" s="608">
        <f>P16+CF!P9</f>
        <v>1476</v>
      </c>
      <c r="Q18" s="608">
        <f>Q16+CF!Q9</f>
        <v>1445</v>
      </c>
      <c r="R18" s="609">
        <f>R16+CF!R9</f>
        <v>1330</v>
      </c>
      <c r="S18" s="608">
        <f>S16+CF!S9</f>
        <v>1208</v>
      </c>
      <c r="T18" s="608">
        <f>T16+CF!T9</f>
        <v>1248</v>
      </c>
      <c r="U18" s="608">
        <f>U16+CF!U9</f>
        <v>1310</v>
      </c>
      <c r="V18" s="609">
        <f>V16+CF!V9</f>
        <v>1582</v>
      </c>
      <c r="W18" s="608">
        <f>W16+CF!W9</f>
        <v>1315</v>
      </c>
      <c r="X18" s="608">
        <f>X16+CF!X9</f>
        <v>1331</v>
      </c>
      <c r="Y18" s="608">
        <f>Y16+CF!Y9</f>
        <v>1402</v>
      </c>
      <c r="Z18" s="609">
        <f>Z16+CF!Z9</f>
        <v>1427</v>
      </c>
      <c r="AA18" s="608">
        <f>AA16+CF!AA9</f>
        <v>1171.16805</v>
      </c>
      <c r="AB18" s="608">
        <f>AB16+CF!AB9</f>
        <v>1219.3143</v>
      </c>
      <c r="AC18" s="608">
        <f>AC16+CF!AC9</f>
        <v>1205.0844</v>
      </c>
      <c r="AD18" s="609">
        <f>AD16+CF!AD9</f>
        <v>1428.99685</v>
      </c>
      <c r="AE18" s="608">
        <f>AE16+CF!AE9</f>
        <v>1197.7105817099998</v>
      </c>
      <c r="AF18" s="608">
        <f>AF16+CF!AF9</f>
        <v>1265.4403386099998</v>
      </c>
      <c r="AG18" s="608">
        <f>AG16+CF!AG9</f>
        <v>1258.1280120987497</v>
      </c>
      <c r="AH18" s="609">
        <f>AH16+CF!AH9</f>
        <v>1494.76925509125</v>
      </c>
      <c r="AI18" s="608">
        <f>AI16+CF!AI9</f>
        <v>1256.5080773565642</v>
      </c>
      <c r="AJ18" s="608">
        <f>AJ16+CF!AJ9</f>
        <v>1322.5357745908686</v>
      </c>
      <c r="AK18" s="608">
        <f>AK16+CF!AK9</f>
        <v>1315.0638060070689</v>
      </c>
      <c r="AL18" s="609">
        <f>AL16+CF!AL9</f>
        <v>1561.9232157512115</v>
      </c>
      <c r="AM18" s="489"/>
      <c r="AN18" s="489"/>
      <c r="AO18" s="490"/>
      <c r="AP18" s="490"/>
      <c r="AQ18" s="490"/>
      <c r="AR18" s="490"/>
      <c r="AS18" s="490"/>
      <c r="AT18" s="490"/>
      <c r="AU18" s="490"/>
      <c r="AV18" s="490"/>
      <c r="AW18" s="490"/>
      <c r="AX18" s="490"/>
      <c r="AY18" s="490"/>
      <c r="AZ18" s="490"/>
      <c r="BA18" s="490"/>
      <c r="BB18" s="490"/>
      <c r="BC18" s="490"/>
      <c r="BD18" s="490"/>
      <c r="BE18" s="490"/>
      <c r="BF18" s="490"/>
      <c r="BG18" s="490"/>
      <c r="BH18" s="490"/>
      <c r="BI18" s="490"/>
      <c r="BJ18" s="490"/>
      <c r="BK18" s="490"/>
      <c r="BL18" s="490"/>
      <c r="BM18" s="490"/>
      <c r="BN18" s="490"/>
      <c r="BO18" s="490"/>
      <c r="BP18" s="490"/>
      <c r="BQ18" s="490"/>
      <c r="BR18" s="490"/>
      <c r="BS18" s="490"/>
      <c r="BT18" s="490"/>
      <c r="BU18" s="490"/>
      <c r="BV18" s="490"/>
      <c r="BW18" s="490"/>
      <c r="BX18" s="490"/>
      <c r="BY18" s="490"/>
      <c r="BZ18" s="490"/>
      <c r="CA18" s="490"/>
      <c r="CB18" s="490"/>
      <c r="CC18" s="490"/>
      <c r="CD18" s="490"/>
      <c r="CE18" s="490"/>
      <c r="CF18" s="490"/>
      <c r="CG18" s="490"/>
      <c r="CH18" s="490"/>
      <c r="CI18" s="490"/>
      <c r="CJ18" s="490"/>
      <c r="CK18" s="490"/>
      <c r="CL18" s="490"/>
      <c r="CM18" s="490"/>
      <c r="CN18" s="490"/>
      <c r="CO18" s="490"/>
      <c r="CP18" s="490"/>
      <c r="CQ18" s="490"/>
      <c r="CR18" s="490"/>
      <c r="CS18" s="490"/>
    </row>
    <row r="19" spans="2:97" s="91" customFormat="1" ht="13.5" customHeight="1">
      <c r="B19" s="484" t="s">
        <v>281</v>
      </c>
      <c r="C19" s="74">
        <f t="shared" si="6"/>
        <v>-1308</v>
      </c>
      <c r="D19" s="74">
        <f t="shared" si="7"/>
        <v>-1093</v>
      </c>
      <c r="E19" s="74">
        <f t="shared" si="8"/>
        <v>-1011</v>
      </c>
      <c r="F19" s="134">
        <f t="shared" si="9"/>
        <v>-821</v>
      </c>
      <c r="G19" s="74">
        <f t="shared" si="10"/>
        <v>-825</v>
      </c>
      <c r="H19" s="74">
        <f t="shared" si="11"/>
        <v>-800</v>
      </c>
      <c r="I19" s="74">
        <f t="shared" si="12"/>
        <v>-800</v>
      </c>
      <c r="K19" s="929">
        <v>-302</v>
      </c>
      <c r="L19" s="930">
        <v>-298</v>
      </c>
      <c r="M19" s="930">
        <v>-281</v>
      </c>
      <c r="N19" s="931">
        <v>-427</v>
      </c>
      <c r="O19" s="930">
        <v>-280</v>
      </c>
      <c r="P19" s="930">
        <v>-280</v>
      </c>
      <c r="Q19" s="930">
        <v>-254</v>
      </c>
      <c r="R19" s="931">
        <v>-279</v>
      </c>
      <c r="S19" s="930">
        <v>-274</v>
      </c>
      <c r="T19" s="930">
        <v>-235</v>
      </c>
      <c r="U19" s="930">
        <v>-267</v>
      </c>
      <c r="V19" s="931">
        <v>-235</v>
      </c>
      <c r="W19" s="930">
        <v>-226</v>
      </c>
      <c r="X19" s="930">
        <v>-216</v>
      </c>
      <c r="Y19" s="930">
        <v>-193</v>
      </c>
      <c r="Z19" s="931">
        <v>-186</v>
      </c>
      <c r="AA19" s="493">
        <f>-825/4</f>
        <v>-206.25</v>
      </c>
      <c r="AB19" s="493">
        <f t="shared" ref="AB19:AD19" si="53">-825/4</f>
        <v>-206.25</v>
      </c>
      <c r="AC19" s="493">
        <f t="shared" si="53"/>
        <v>-206.25</v>
      </c>
      <c r="AD19" s="636">
        <f t="shared" si="53"/>
        <v>-206.25</v>
      </c>
      <c r="AE19" s="493">
        <v>-200</v>
      </c>
      <c r="AF19" s="600">
        <f>AE19</f>
        <v>-200</v>
      </c>
      <c r="AG19" s="600">
        <f>AF19</f>
        <v>-200</v>
      </c>
      <c r="AH19" s="618">
        <f>AG19</f>
        <v>-200</v>
      </c>
      <c r="AI19" s="493">
        <v>-200</v>
      </c>
      <c r="AJ19" s="600">
        <f>AI19</f>
        <v>-200</v>
      </c>
      <c r="AK19" s="600">
        <f t="shared" ref="AK19:AL19" si="54">AJ19</f>
        <v>-200</v>
      </c>
      <c r="AL19" s="618">
        <f t="shared" si="54"/>
        <v>-200</v>
      </c>
      <c r="AM19" s="74"/>
      <c r="AN19" s="99"/>
      <c r="AO19" s="73"/>
      <c r="AP19" s="73"/>
      <c r="AQ19" s="73"/>
      <c r="AR19" s="73"/>
      <c r="AS19" s="73"/>
      <c r="AT19" s="73"/>
      <c r="AU19" s="73"/>
      <c r="AV19" s="73"/>
      <c r="AW19" s="73"/>
      <c r="AX19" s="73"/>
      <c r="AY19" s="73"/>
      <c r="AZ19" s="73"/>
      <c r="BA19" s="73"/>
      <c r="BB19" s="73"/>
      <c r="BC19" s="340"/>
      <c r="BD19" s="340"/>
      <c r="BE19" s="340"/>
      <c r="BF19" s="340"/>
      <c r="BG19" s="340"/>
      <c r="BH19" s="340"/>
      <c r="BI19" s="340"/>
      <c r="BJ19" s="340"/>
      <c r="BK19" s="340"/>
      <c r="BL19" s="340"/>
      <c r="BM19" s="340"/>
      <c r="BN19" s="340"/>
      <c r="BO19" s="340"/>
      <c r="BP19" s="340"/>
      <c r="BQ19" s="340"/>
      <c r="BR19" s="340"/>
      <c r="BS19" s="340"/>
      <c r="BT19" s="340"/>
      <c r="BU19" s="340"/>
      <c r="BV19" s="340"/>
      <c r="BW19" s="340"/>
      <c r="BX19" s="340"/>
      <c r="BY19" s="340"/>
      <c r="BZ19" s="340"/>
      <c r="CA19" s="340"/>
      <c r="CB19" s="340"/>
      <c r="CC19" s="340"/>
      <c r="CD19" s="340"/>
      <c r="CE19" s="340"/>
      <c r="CF19" s="340"/>
      <c r="CG19" s="340"/>
      <c r="CH19" s="340"/>
      <c r="CI19" s="340"/>
      <c r="CJ19" s="340"/>
      <c r="CK19" s="340"/>
      <c r="CL19" s="340"/>
      <c r="CM19" s="340"/>
      <c r="CN19" s="340"/>
    </row>
    <row r="20" spans="2:97" s="91" customFormat="1" ht="13.5" customHeight="1">
      <c r="B20" s="484" t="s">
        <v>33</v>
      </c>
      <c r="C20" s="74">
        <f t="shared" si="6"/>
        <v>2789</v>
      </c>
      <c r="D20" s="74">
        <f t="shared" si="7"/>
        <v>3200</v>
      </c>
      <c r="E20" s="74">
        <f t="shared" si="8"/>
        <v>3260</v>
      </c>
      <c r="F20" s="134">
        <f t="shared" si="9"/>
        <v>3595</v>
      </c>
      <c r="G20" s="74">
        <f t="shared" si="10"/>
        <v>3280.0346500000001</v>
      </c>
      <c r="H20" s="74">
        <f t="shared" si="11"/>
        <v>3476.1125910099991</v>
      </c>
      <c r="I20" s="74">
        <f t="shared" si="12"/>
        <v>3683.7700679257132</v>
      </c>
      <c r="K20" s="619">
        <f>K16+K19</f>
        <v>642</v>
      </c>
      <c r="L20" s="100">
        <f t="shared" ref="L20:AL20" si="55">L16+L19</f>
        <v>756</v>
      </c>
      <c r="M20" s="100">
        <f t="shared" si="55"/>
        <v>764</v>
      </c>
      <c r="N20" s="615">
        <f t="shared" si="55"/>
        <v>627</v>
      </c>
      <c r="O20" s="100">
        <f t="shared" si="55"/>
        <v>750</v>
      </c>
      <c r="P20" s="100">
        <f t="shared" si="55"/>
        <v>844</v>
      </c>
      <c r="Q20" s="100">
        <f t="shared" si="55"/>
        <v>835</v>
      </c>
      <c r="R20" s="615">
        <f t="shared" si="55"/>
        <v>771</v>
      </c>
      <c r="S20" s="100">
        <f t="shared" si="55"/>
        <v>668</v>
      </c>
      <c r="T20" s="100">
        <f t="shared" si="55"/>
        <v>747</v>
      </c>
      <c r="U20" s="100">
        <f t="shared" si="55"/>
        <v>767</v>
      </c>
      <c r="V20" s="615">
        <f t="shared" si="55"/>
        <v>1078</v>
      </c>
      <c r="W20" s="100">
        <f t="shared" si="55"/>
        <v>827</v>
      </c>
      <c r="X20" s="100">
        <f t="shared" si="55"/>
        <v>844</v>
      </c>
      <c r="Y20" s="100">
        <f t="shared" si="55"/>
        <v>945</v>
      </c>
      <c r="Z20" s="615">
        <f t="shared" si="55"/>
        <v>979</v>
      </c>
      <c r="AA20" s="100">
        <f t="shared" si="55"/>
        <v>738.30330000000004</v>
      </c>
      <c r="AB20" s="100">
        <f t="shared" si="55"/>
        <v>787.94730000000004</v>
      </c>
      <c r="AC20" s="100">
        <f t="shared" si="55"/>
        <v>775.58594999999991</v>
      </c>
      <c r="AD20" s="615">
        <f t="shared" si="55"/>
        <v>978.19810000000007</v>
      </c>
      <c r="AE20" s="100">
        <f t="shared" si="55"/>
        <v>769.96518420999973</v>
      </c>
      <c r="AF20" s="100">
        <f t="shared" si="55"/>
        <v>834.90287710999974</v>
      </c>
      <c r="AG20" s="100">
        <f t="shared" si="55"/>
        <v>828.49245334874968</v>
      </c>
      <c r="AH20" s="615">
        <f t="shared" si="55"/>
        <v>1042.7520763412499</v>
      </c>
      <c r="AI20" s="100">
        <f t="shared" si="55"/>
        <v>820.34572984156421</v>
      </c>
      <c r="AJ20" s="100">
        <f t="shared" si="55"/>
        <v>884.23145896586857</v>
      </c>
      <c r="AK20" s="100">
        <f t="shared" si="55"/>
        <v>877.61102016206905</v>
      </c>
      <c r="AL20" s="615">
        <f t="shared" si="55"/>
        <v>1101.5818589562114</v>
      </c>
      <c r="AM20" s="74"/>
      <c r="AN20" s="99"/>
      <c r="AO20" s="73"/>
      <c r="AP20" s="73"/>
      <c r="AQ20" s="73"/>
      <c r="AR20" s="73"/>
      <c r="AS20" s="73"/>
      <c r="AT20" s="73"/>
      <c r="AU20" s="73"/>
      <c r="AV20" s="73"/>
      <c r="AW20" s="73"/>
      <c r="AX20" s="73"/>
      <c r="AY20" s="73"/>
      <c r="AZ20" s="73"/>
      <c r="BA20" s="73"/>
      <c r="BB20" s="73"/>
      <c r="BC20" s="340"/>
      <c r="BD20" s="340"/>
      <c r="BE20" s="340"/>
      <c r="BF20" s="340"/>
      <c r="BG20" s="340"/>
      <c r="BH20" s="340"/>
      <c r="BI20" s="340"/>
      <c r="BJ20" s="340"/>
      <c r="BK20" s="340"/>
      <c r="BL20" s="340"/>
      <c r="BM20" s="340"/>
      <c r="BN20" s="340"/>
      <c r="BO20" s="340"/>
      <c r="BP20" s="340"/>
      <c r="BQ20" s="340"/>
      <c r="BR20" s="340"/>
      <c r="BS20" s="340"/>
      <c r="BT20" s="340"/>
      <c r="BU20" s="340"/>
      <c r="BV20" s="340"/>
      <c r="BW20" s="340"/>
      <c r="BX20" s="340"/>
      <c r="BY20" s="340"/>
      <c r="BZ20" s="340"/>
      <c r="CA20" s="340"/>
      <c r="CB20" s="340"/>
      <c r="CC20" s="340"/>
      <c r="CD20" s="340"/>
      <c r="CE20" s="340"/>
      <c r="CF20" s="340"/>
      <c r="CG20" s="340"/>
      <c r="CH20" s="340"/>
      <c r="CI20" s="340"/>
      <c r="CJ20" s="340"/>
      <c r="CK20" s="340"/>
      <c r="CL20" s="340"/>
      <c r="CM20" s="340"/>
      <c r="CN20" s="340"/>
    </row>
    <row r="21" spans="2:97" s="88" customFormat="1" ht="13.5" customHeight="1">
      <c r="B21" s="484" t="s">
        <v>18</v>
      </c>
      <c r="C21" s="74">
        <f t="shared" si="6"/>
        <v>-317</v>
      </c>
      <c r="D21" s="74">
        <f t="shared" si="7"/>
        <v>-625</v>
      </c>
      <c r="E21" s="74">
        <f t="shared" si="8"/>
        <v>-442</v>
      </c>
      <c r="F21" s="134">
        <f t="shared" si="9"/>
        <v>-577</v>
      </c>
      <c r="G21" s="74">
        <f t="shared" si="10"/>
        <v>-656.00693000000001</v>
      </c>
      <c r="H21" s="74">
        <f t="shared" si="11"/>
        <v>-695.22251820199995</v>
      </c>
      <c r="I21" s="74">
        <f t="shared" si="12"/>
        <v>-736.75401358514273</v>
      </c>
      <c r="K21" s="932">
        <v>-148</v>
      </c>
      <c r="L21" s="933">
        <v>-144</v>
      </c>
      <c r="M21" s="933">
        <v>-101</v>
      </c>
      <c r="N21" s="934">
        <v>76</v>
      </c>
      <c r="O21" s="933">
        <v>-181</v>
      </c>
      <c r="P21" s="933">
        <v>-172</v>
      </c>
      <c r="Q21" s="933">
        <v>-166</v>
      </c>
      <c r="R21" s="934">
        <v>-106</v>
      </c>
      <c r="S21" s="933">
        <v>-2</v>
      </c>
      <c r="T21" s="933">
        <v>-77</v>
      </c>
      <c r="U21" s="933">
        <v>-34</v>
      </c>
      <c r="V21" s="934">
        <v>-329</v>
      </c>
      <c r="W21" s="933">
        <v>-171</v>
      </c>
      <c r="X21" s="933">
        <v>-133</v>
      </c>
      <c r="Y21" s="933">
        <v>-92</v>
      </c>
      <c r="Z21" s="934">
        <v>-181</v>
      </c>
      <c r="AA21" s="933">
        <f t="shared" ref="AA21:AL21" si="56">-AA20*AA33</f>
        <v>-147.66066000000001</v>
      </c>
      <c r="AB21" s="933">
        <f t="shared" si="56"/>
        <v>-157.58946000000003</v>
      </c>
      <c r="AC21" s="933">
        <f t="shared" si="56"/>
        <v>-155.11718999999999</v>
      </c>
      <c r="AD21" s="934">
        <f t="shared" si="56"/>
        <v>-195.63962000000004</v>
      </c>
      <c r="AE21" s="933">
        <f t="shared" si="56"/>
        <v>-153.99303684199995</v>
      </c>
      <c r="AF21" s="933">
        <f t="shared" si="56"/>
        <v>-166.98057542199996</v>
      </c>
      <c r="AG21" s="933">
        <f t="shared" si="56"/>
        <v>-165.69849066974996</v>
      </c>
      <c r="AH21" s="934">
        <f t="shared" si="56"/>
        <v>-208.55041526824999</v>
      </c>
      <c r="AI21" s="933">
        <f t="shared" si="56"/>
        <v>-164.06914596831285</v>
      </c>
      <c r="AJ21" s="933">
        <f t="shared" si="56"/>
        <v>-176.84629179317372</v>
      </c>
      <c r="AK21" s="933">
        <f t="shared" si="56"/>
        <v>-175.52220403241381</v>
      </c>
      <c r="AL21" s="934">
        <f t="shared" si="56"/>
        <v>-220.31637179124229</v>
      </c>
      <c r="AM21" s="74"/>
      <c r="AN21" s="99"/>
      <c r="AO21" s="73"/>
      <c r="AP21" s="73"/>
      <c r="AQ21" s="73"/>
      <c r="AR21" s="73"/>
      <c r="AS21" s="73"/>
      <c r="AT21" s="73"/>
      <c r="AU21" s="73"/>
      <c r="AV21" s="73"/>
      <c r="AW21" s="73"/>
      <c r="AX21" s="73"/>
      <c r="AY21" s="73"/>
      <c r="AZ21" s="73"/>
      <c r="BA21" s="73"/>
      <c r="BB21" s="73"/>
      <c r="BC21" s="73"/>
      <c r="BD21" s="73"/>
      <c r="BE21" s="73"/>
      <c r="BF21" s="73"/>
      <c r="BG21" s="73"/>
      <c r="BH21" s="73"/>
      <c r="BI21" s="73"/>
      <c r="BJ21" s="73"/>
      <c r="BK21" s="73"/>
      <c r="BL21" s="73"/>
      <c r="BM21" s="73"/>
      <c r="BN21" s="73"/>
      <c r="BO21" s="73"/>
      <c r="BP21" s="73"/>
      <c r="BQ21" s="73"/>
      <c r="BR21" s="73"/>
      <c r="BS21" s="73"/>
      <c r="BT21" s="73"/>
      <c r="BU21" s="73"/>
      <c r="BV21" s="73"/>
      <c r="BW21" s="73"/>
      <c r="BX21" s="73"/>
      <c r="BY21" s="73"/>
      <c r="BZ21" s="73"/>
      <c r="CA21" s="73"/>
      <c r="CB21" s="73"/>
      <c r="CC21" s="73"/>
      <c r="CD21" s="73"/>
      <c r="CE21" s="73"/>
      <c r="CF21" s="73"/>
      <c r="CG21" s="73"/>
      <c r="CH21" s="73"/>
      <c r="CI21" s="73"/>
      <c r="CJ21" s="73"/>
      <c r="CK21" s="73"/>
      <c r="CL21" s="73"/>
      <c r="CM21" s="73"/>
      <c r="CN21" s="73"/>
    </row>
    <row r="22" spans="2:97" s="88" customFormat="1" ht="13.5" customHeight="1">
      <c r="B22" s="484" t="s">
        <v>150</v>
      </c>
      <c r="C22" s="74">
        <f>SUM(K22:N22)</f>
        <v>-20</v>
      </c>
      <c r="D22" s="74">
        <f>SUM(O22:R22)</f>
        <v>-27</v>
      </c>
      <c r="E22" s="74">
        <f>SUM(S22:V22)</f>
        <v>-25</v>
      </c>
      <c r="F22" s="134">
        <f>SUM(W22:Z22)</f>
        <v>-17</v>
      </c>
      <c r="G22" s="74">
        <f>SUM(AA22:AD22)</f>
        <v>-28</v>
      </c>
      <c r="H22" s="74">
        <f>SUM(AE22:AH22)</f>
        <v>-28</v>
      </c>
      <c r="I22" s="74">
        <f>SUM(AI22:AL22)</f>
        <v>-28</v>
      </c>
      <c r="K22" s="290">
        <v>-3</v>
      </c>
      <c r="L22" s="98">
        <v>0</v>
      </c>
      <c r="M22" s="98">
        <v>-5</v>
      </c>
      <c r="N22" s="137">
        <v>-12</v>
      </c>
      <c r="O22" s="98">
        <v>-6</v>
      </c>
      <c r="P22" s="98">
        <v>-5</v>
      </c>
      <c r="Q22" s="98">
        <v>-7</v>
      </c>
      <c r="R22" s="137">
        <v>-9</v>
      </c>
      <c r="S22" s="98">
        <v>-6</v>
      </c>
      <c r="T22" s="98">
        <v>-6</v>
      </c>
      <c r="U22" s="98">
        <v>-6</v>
      </c>
      <c r="V22" s="137">
        <v>-7</v>
      </c>
      <c r="W22" s="98">
        <v>13</v>
      </c>
      <c r="X22" s="98">
        <v>-20</v>
      </c>
      <c r="Y22" s="98">
        <v>-3</v>
      </c>
      <c r="Z22" s="137">
        <v>-7</v>
      </c>
      <c r="AA22" s="103">
        <v>-7</v>
      </c>
      <c r="AB22" s="74">
        <f>AA22</f>
        <v>-7</v>
      </c>
      <c r="AC22" s="74">
        <f t="shared" ref="AC22:AL22" si="57">AB22</f>
        <v>-7</v>
      </c>
      <c r="AD22" s="134">
        <f t="shared" si="57"/>
        <v>-7</v>
      </c>
      <c r="AE22" s="74">
        <f t="shared" si="57"/>
        <v>-7</v>
      </c>
      <c r="AF22" s="74">
        <f t="shared" si="57"/>
        <v>-7</v>
      </c>
      <c r="AG22" s="74">
        <f t="shared" si="57"/>
        <v>-7</v>
      </c>
      <c r="AH22" s="134">
        <f t="shared" si="57"/>
        <v>-7</v>
      </c>
      <c r="AI22" s="74">
        <f t="shared" si="57"/>
        <v>-7</v>
      </c>
      <c r="AJ22" s="74">
        <f t="shared" si="57"/>
        <v>-7</v>
      </c>
      <c r="AK22" s="74">
        <f t="shared" si="57"/>
        <v>-7</v>
      </c>
      <c r="AL22" s="134">
        <f t="shared" si="57"/>
        <v>-7</v>
      </c>
      <c r="AM22" s="74"/>
      <c r="AN22" s="99"/>
      <c r="AO22" s="73"/>
      <c r="AP22" s="73"/>
      <c r="AQ22" s="73"/>
      <c r="AR22" s="73"/>
      <c r="AS22" s="73"/>
      <c r="AT22" s="73"/>
      <c r="AU22" s="73"/>
      <c r="AV22" s="73"/>
      <c r="AW22" s="73"/>
      <c r="AX22" s="73"/>
      <c r="AY22" s="73"/>
      <c r="AZ22" s="73"/>
      <c r="BA22" s="73"/>
      <c r="BB22" s="73"/>
      <c r="BC22" s="73"/>
      <c r="BD22" s="73"/>
      <c r="BE22" s="73"/>
      <c r="BF22" s="73"/>
      <c r="BG22" s="73"/>
      <c r="BH22" s="73"/>
      <c r="BI22" s="73"/>
      <c r="BJ22" s="73"/>
      <c r="BK22" s="73"/>
      <c r="BL22" s="73"/>
      <c r="BM22" s="73"/>
      <c r="BN22" s="73"/>
      <c r="BO22" s="73"/>
      <c r="BP22" s="73"/>
      <c r="BQ22" s="73"/>
      <c r="BR22" s="73"/>
      <c r="BS22" s="73"/>
      <c r="BT22" s="73"/>
      <c r="BU22" s="73"/>
      <c r="BV22" s="73"/>
      <c r="BW22" s="73"/>
      <c r="BX22" s="73"/>
      <c r="BY22" s="73"/>
      <c r="BZ22" s="73"/>
      <c r="CA22" s="73"/>
      <c r="CB22" s="73"/>
      <c r="CC22" s="73"/>
      <c r="CD22" s="73"/>
      <c r="CE22" s="73"/>
      <c r="CF22" s="73"/>
      <c r="CG22" s="73"/>
      <c r="CH22" s="73"/>
      <c r="CI22" s="73"/>
      <c r="CJ22" s="73"/>
      <c r="CK22" s="73"/>
      <c r="CL22" s="73"/>
      <c r="CM22" s="73"/>
      <c r="CN22" s="73"/>
    </row>
    <row r="23" spans="2:97" s="626" customFormat="1" ht="13.5" customHeight="1">
      <c r="B23" s="496" t="s">
        <v>0</v>
      </c>
      <c r="C23" s="606">
        <f t="shared" si="6"/>
        <v>2452</v>
      </c>
      <c r="D23" s="606">
        <f t="shared" si="7"/>
        <v>2548</v>
      </c>
      <c r="E23" s="606">
        <f t="shared" si="8"/>
        <v>2793</v>
      </c>
      <c r="F23" s="607">
        <f t="shared" si="9"/>
        <v>3001</v>
      </c>
      <c r="G23" s="606">
        <f t="shared" si="10"/>
        <v>2596.02772</v>
      </c>
      <c r="H23" s="606">
        <f t="shared" si="11"/>
        <v>2752.8900728079998</v>
      </c>
      <c r="I23" s="606">
        <f t="shared" si="12"/>
        <v>2919.0160543405709</v>
      </c>
      <c r="K23" s="640">
        <f>K20+K21+K22</f>
        <v>491</v>
      </c>
      <c r="L23" s="641">
        <f t="shared" ref="L23:AL23" si="58">L20+L21+L22</f>
        <v>612</v>
      </c>
      <c r="M23" s="641">
        <f t="shared" si="58"/>
        <v>658</v>
      </c>
      <c r="N23" s="642">
        <f t="shared" si="58"/>
        <v>691</v>
      </c>
      <c r="O23" s="641">
        <f t="shared" si="58"/>
        <v>563</v>
      </c>
      <c r="P23" s="641">
        <f t="shared" si="58"/>
        <v>667</v>
      </c>
      <c r="Q23" s="641">
        <f t="shared" si="58"/>
        <v>662</v>
      </c>
      <c r="R23" s="642">
        <f t="shared" si="58"/>
        <v>656</v>
      </c>
      <c r="S23" s="641">
        <f t="shared" si="58"/>
        <v>660</v>
      </c>
      <c r="T23" s="641">
        <f t="shared" si="58"/>
        <v>664</v>
      </c>
      <c r="U23" s="641">
        <f t="shared" si="58"/>
        <v>727</v>
      </c>
      <c r="V23" s="642">
        <f t="shared" si="58"/>
        <v>742</v>
      </c>
      <c r="W23" s="641">
        <f t="shared" si="58"/>
        <v>669</v>
      </c>
      <c r="X23" s="641">
        <f t="shared" si="58"/>
        <v>691</v>
      </c>
      <c r="Y23" s="641">
        <f t="shared" si="58"/>
        <v>850</v>
      </c>
      <c r="Z23" s="642">
        <f t="shared" si="58"/>
        <v>791</v>
      </c>
      <c r="AA23" s="641">
        <f t="shared" si="58"/>
        <v>583.64264000000003</v>
      </c>
      <c r="AB23" s="641">
        <f t="shared" si="58"/>
        <v>623.35784000000001</v>
      </c>
      <c r="AC23" s="641">
        <f t="shared" si="58"/>
        <v>613.46875999999997</v>
      </c>
      <c r="AD23" s="642">
        <f t="shared" si="58"/>
        <v>775.55848000000003</v>
      </c>
      <c r="AE23" s="641">
        <f t="shared" si="58"/>
        <v>608.97214736799981</v>
      </c>
      <c r="AF23" s="641">
        <f t="shared" si="58"/>
        <v>660.92230168799983</v>
      </c>
      <c r="AG23" s="641">
        <f t="shared" si="58"/>
        <v>655.79396267899972</v>
      </c>
      <c r="AH23" s="642">
        <f t="shared" si="58"/>
        <v>827.20166107299997</v>
      </c>
      <c r="AI23" s="641">
        <f t="shared" si="58"/>
        <v>649.27658387325141</v>
      </c>
      <c r="AJ23" s="641">
        <f t="shared" si="58"/>
        <v>700.38516717269488</v>
      </c>
      <c r="AK23" s="641">
        <f t="shared" si="58"/>
        <v>695.08881612965524</v>
      </c>
      <c r="AL23" s="642">
        <f t="shared" si="58"/>
        <v>874.26548716496904</v>
      </c>
      <c r="AM23" s="630"/>
      <c r="AN23" s="639"/>
      <c r="AO23" s="631"/>
      <c r="AP23" s="631"/>
      <c r="AQ23" s="631"/>
      <c r="AR23" s="631"/>
      <c r="AS23" s="631"/>
      <c r="AT23" s="631"/>
      <c r="AU23" s="631"/>
      <c r="AV23" s="631"/>
      <c r="AW23" s="631"/>
      <c r="AX23" s="631"/>
      <c r="AY23" s="631"/>
      <c r="AZ23" s="631"/>
      <c r="BA23" s="631"/>
      <c r="BB23" s="631"/>
      <c r="BC23" s="631"/>
      <c r="BD23" s="631"/>
      <c r="BE23" s="631"/>
      <c r="BF23" s="631"/>
      <c r="BG23" s="631"/>
      <c r="BH23" s="631"/>
      <c r="BI23" s="631"/>
      <c r="BJ23" s="631"/>
      <c r="BK23" s="631"/>
      <c r="BL23" s="631"/>
      <c r="BM23" s="631"/>
      <c r="BN23" s="631"/>
      <c r="BO23" s="631"/>
      <c r="BP23" s="631"/>
      <c r="BQ23" s="631"/>
      <c r="BR23" s="631"/>
      <c r="BS23" s="631"/>
      <c r="BT23" s="631"/>
      <c r="BU23" s="631"/>
      <c r="BV23" s="631"/>
      <c r="BW23" s="631"/>
      <c r="BX23" s="631"/>
      <c r="BY23" s="631"/>
      <c r="BZ23" s="631"/>
      <c r="CA23" s="631"/>
      <c r="CB23" s="631"/>
      <c r="CC23" s="631"/>
      <c r="CD23" s="631"/>
      <c r="CE23" s="631"/>
      <c r="CF23" s="631"/>
      <c r="CG23" s="631"/>
      <c r="CH23" s="631"/>
      <c r="CI23" s="631"/>
      <c r="CJ23" s="631"/>
      <c r="CK23" s="631"/>
      <c r="CL23" s="631"/>
      <c r="CM23" s="631"/>
      <c r="CN23" s="631"/>
    </row>
    <row r="24" spans="2:97" s="504" customFormat="1" ht="13.5" customHeight="1">
      <c r="B24" s="484" t="s">
        <v>38</v>
      </c>
      <c r="C24" s="505">
        <f>AVERAGE(K24:N24)</f>
        <v>1771.75</v>
      </c>
      <c r="D24" s="505">
        <f>AVERAGE(O24:R24)</f>
        <v>1787.75</v>
      </c>
      <c r="E24" s="505">
        <f>AVERAGE(S24:V24)</f>
        <v>1789</v>
      </c>
      <c r="F24" s="610">
        <f>AVERAGE(W24:Z24)</f>
        <v>1708.5</v>
      </c>
      <c r="G24" s="505">
        <f>AVERAGE(AA24:AD24)</f>
        <v>1664.7203504360834</v>
      </c>
      <c r="H24" s="505">
        <f>AVERAGE(AE24:AH24)</f>
        <v>1618.3762781573446</v>
      </c>
      <c r="I24" s="505">
        <f>AVERAGE(AI24:AL24)</f>
        <v>1579.6348309722684</v>
      </c>
      <c r="K24" s="935">
        <v>1760</v>
      </c>
      <c r="L24" s="936">
        <v>1771</v>
      </c>
      <c r="M24" s="936">
        <v>1777</v>
      </c>
      <c r="N24" s="937">
        <v>1779</v>
      </c>
      <c r="O24" s="936">
        <v>1783</v>
      </c>
      <c r="P24" s="936">
        <v>1786</v>
      </c>
      <c r="Q24" s="936">
        <v>1789</v>
      </c>
      <c r="R24" s="937">
        <v>1793</v>
      </c>
      <c r="S24" s="936">
        <v>1798</v>
      </c>
      <c r="T24" s="936">
        <v>1803</v>
      </c>
      <c r="U24" s="936">
        <v>1794</v>
      </c>
      <c r="V24" s="937">
        <v>1761</v>
      </c>
      <c r="W24" s="936">
        <v>1722</v>
      </c>
      <c r="X24" s="936">
        <v>1712</v>
      </c>
      <c r="Y24" s="936">
        <v>1705</v>
      </c>
      <c r="Z24" s="937">
        <v>1695</v>
      </c>
      <c r="AA24" s="938">
        <f>Equity!G17</f>
        <v>1684</v>
      </c>
      <c r="AB24" s="938">
        <f>Equity!H17</f>
        <v>1670.9033760186262</v>
      </c>
      <c r="AC24" s="938">
        <f>Equity!I17</f>
        <v>1658.1771316747349</v>
      </c>
      <c r="AD24" s="939">
        <f>Equity!J17</f>
        <v>1645.8008940509726</v>
      </c>
      <c r="AE24" s="938">
        <f>Equity!K17</f>
        <v>1633.7559261708868</v>
      </c>
      <c r="AF24" s="938">
        <f>Equity!L17</f>
        <v>1623.328397495183</v>
      </c>
      <c r="AG24" s="938">
        <f>Equity!M17</f>
        <v>1613.1657958691667</v>
      </c>
      <c r="AH24" s="939">
        <f>Equity!N17</f>
        <v>1603.254993094142</v>
      </c>
      <c r="AI24" s="938">
        <f>Equity!O17</f>
        <v>1593.5838132101962</v>
      </c>
      <c r="AJ24" s="938">
        <f>Equity!P17</f>
        <v>1584.1409425775237</v>
      </c>
      <c r="AK24" s="938">
        <f>Equity!Q17</f>
        <v>1574.9158503266012</v>
      </c>
      <c r="AL24" s="939">
        <f>Equity!R17</f>
        <v>1565.8987177747526</v>
      </c>
      <c r="AM24" s="505"/>
      <c r="AN24" s="506"/>
      <c r="AO24" s="503"/>
      <c r="AP24" s="503"/>
      <c r="AQ24" s="503"/>
      <c r="AR24" s="503"/>
      <c r="AS24" s="503"/>
      <c r="AT24" s="503"/>
      <c r="AU24" s="503"/>
      <c r="AV24" s="503"/>
      <c r="AW24" s="503"/>
      <c r="AX24" s="503"/>
      <c r="AY24" s="503"/>
      <c r="AZ24" s="503"/>
      <c r="BA24" s="503"/>
      <c r="BB24" s="503"/>
      <c r="BC24" s="503"/>
      <c r="BD24" s="503"/>
      <c r="BE24" s="503"/>
      <c r="BF24" s="503"/>
      <c r="BG24" s="503"/>
      <c r="BH24" s="503"/>
      <c r="BI24" s="503"/>
      <c r="BJ24" s="503"/>
      <c r="BK24" s="503"/>
      <c r="BL24" s="503"/>
      <c r="BM24" s="503"/>
      <c r="BN24" s="503"/>
      <c r="BO24" s="503"/>
      <c r="BP24" s="503"/>
      <c r="BQ24" s="503"/>
      <c r="BR24" s="503"/>
      <c r="BS24" s="503"/>
      <c r="BT24" s="503"/>
      <c r="BU24" s="503"/>
      <c r="BV24" s="503"/>
      <c r="BW24" s="503"/>
      <c r="BX24" s="503"/>
      <c r="BY24" s="503"/>
      <c r="BZ24" s="503"/>
      <c r="CA24" s="503"/>
      <c r="CB24" s="503"/>
      <c r="CC24" s="503"/>
      <c r="CD24" s="503"/>
      <c r="CE24" s="503"/>
      <c r="CF24" s="503"/>
      <c r="CG24" s="503"/>
      <c r="CH24" s="503"/>
      <c r="CI24" s="503"/>
      <c r="CJ24" s="503"/>
      <c r="CK24" s="503"/>
      <c r="CL24" s="503"/>
      <c r="CM24" s="503"/>
      <c r="CN24" s="503"/>
    </row>
    <row r="25" spans="2:97" s="83" customFormat="1" ht="13.5" customHeight="1">
      <c r="B25" s="923" t="s">
        <v>151</v>
      </c>
      <c r="C25" s="924">
        <f t="shared" ref="C25" si="59">SUM(K25:N25)</f>
        <v>1.3832522102253861</v>
      </c>
      <c r="D25" s="924">
        <f t="shared" ref="D25" si="60">SUM(O25:R25)</f>
        <v>1.4251265910696373</v>
      </c>
      <c r="E25" s="924">
        <f t="shared" ref="E25" si="61">SUM(S25:V25)</f>
        <v>1.5619408169881441</v>
      </c>
      <c r="F25" s="925">
        <f t="shared" ref="F25" si="62">SUM(W25:Z25)</f>
        <v>1.7573236284942242</v>
      </c>
      <c r="G25" s="924">
        <f t="shared" ref="G25" si="63">SUM(AA25:AD25)</f>
        <v>1.5608479518310505</v>
      </c>
      <c r="H25" s="924">
        <f t="shared" ref="H25" si="64">SUM(AE25:AH25)</f>
        <v>1.7023613618060325</v>
      </c>
      <c r="I25" s="924">
        <f t="shared" ref="I25" si="65">SUM(AI25:AL25)</f>
        <v>1.8492200155911664</v>
      </c>
      <c r="K25" s="940">
        <f t="shared" ref="K25:AL25" si="66">K23/K24</f>
        <v>0.27897727272727274</v>
      </c>
      <c r="L25" s="941">
        <f t="shared" si="66"/>
        <v>0.34556747600225862</v>
      </c>
      <c r="M25" s="941">
        <f t="shared" si="66"/>
        <v>0.37028700056274622</v>
      </c>
      <c r="N25" s="942">
        <f t="shared" si="66"/>
        <v>0.3884204609331085</v>
      </c>
      <c r="O25" s="941">
        <f t="shared" si="66"/>
        <v>0.31575995513180033</v>
      </c>
      <c r="P25" s="941">
        <f t="shared" si="66"/>
        <v>0.37346024636058228</v>
      </c>
      <c r="Q25" s="941">
        <f t="shared" si="66"/>
        <v>0.37003912800447175</v>
      </c>
      <c r="R25" s="942">
        <f t="shared" si="66"/>
        <v>0.36586726157278304</v>
      </c>
      <c r="S25" s="941">
        <f t="shared" si="66"/>
        <v>0.36707452725250278</v>
      </c>
      <c r="T25" s="941">
        <f t="shared" si="66"/>
        <v>0.3682750970604548</v>
      </c>
      <c r="U25" s="941">
        <f t="shared" si="66"/>
        <v>0.40523968784838349</v>
      </c>
      <c r="V25" s="942">
        <f t="shared" si="66"/>
        <v>0.42135150482680295</v>
      </c>
      <c r="W25" s="941">
        <f t="shared" si="66"/>
        <v>0.38850174216027872</v>
      </c>
      <c r="X25" s="941">
        <f t="shared" si="66"/>
        <v>0.40362149532710279</v>
      </c>
      <c r="Y25" s="941">
        <f t="shared" si="66"/>
        <v>0.49853372434017595</v>
      </c>
      <c r="Z25" s="942">
        <f t="shared" si="66"/>
        <v>0.46666666666666667</v>
      </c>
      <c r="AA25" s="941">
        <f t="shared" si="66"/>
        <v>0.34658114014251784</v>
      </c>
      <c r="AB25" s="941">
        <f t="shared" si="66"/>
        <v>0.37306635975882496</v>
      </c>
      <c r="AC25" s="941">
        <f t="shared" si="66"/>
        <v>0.36996575835080142</v>
      </c>
      <c r="AD25" s="942">
        <f t="shared" si="66"/>
        <v>0.47123469357890624</v>
      </c>
      <c r="AE25" s="941">
        <f t="shared" si="66"/>
        <v>0.37274365014563554</v>
      </c>
      <c r="AF25" s="941">
        <f t="shared" si="66"/>
        <v>0.40714023281291178</v>
      </c>
      <c r="AG25" s="941">
        <f t="shared" si="66"/>
        <v>0.40652607708289573</v>
      </c>
      <c r="AH25" s="942">
        <f t="shared" si="66"/>
        <v>0.51595140176458953</v>
      </c>
      <c r="AI25" s="941">
        <f t="shared" si="66"/>
        <v>0.40743171365760528</v>
      </c>
      <c r="AJ25" s="941">
        <f t="shared" si="66"/>
        <v>0.44212301339368981</v>
      </c>
      <c r="AK25" s="941">
        <f t="shared" si="66"/>
        <v>0.44134981306176446</v>
      </c>
      <c r="AL25" s="942">
        <f t="shared" si="66"/>
        <v>0.558315475478107</v>
      </c>
      <c r="AM25" s="108"/>
      <c r="AN25" s="109"/>
      <c r="AO25" s="84"/>
      <c r="AP25" s="84"/>
      <c r="AQ25" s="84"/>
      <c r="AR25" s="84"/>
      <c r="AS25" s="84"/>
      <c r="AT25" s="84"/>
      <c r="AU25" s="84"/>
      <c r="AV25" s="84"/>
      <c r="AW25" s="84"/>
      <c r="AX25" s="84"/>
      <c r="AY25" s="84"/>
      <c r="AZ25" s="84"/>
      <c r="BA25" s="84"/>
      <c r="BB25" s="84"/>
      <c r="BC25" s="84"/>
      <c r="BD25" s="84"/>
      <c r="BE25" s="84"/>
      <c r="BF25" s="84"/>
      <c r="BG25" s="84"/>
      <c r="BH25" s="84"/>
      <c r="BI25" s="84"/>
      <c r="BJ25" s="84"/>
      <c r="BK25" s="84"/>
      <c r="BL25" s="84"/>
      <c r="BM25" s="84"/>
      <c r="BN25" s="84"/>
      <c r="BO25" s="84"/>
      <c r="BP25" s="84"/>
      <c r="BQ25" s="84"/>
      <c r="BR25" s="84"/>
      <c r="BS25" s="84"/>
      <c r="BT25" s="84"/>
      <c r="BU25" s="84"/>
      <c r="BV25" s="84"/>
      <c r="BW25" s="84"/>
      <c r="BX25" s="84"/>
      <c r="BY25" s="84"/>
      <c r="BZ25" s="84"/>
      <c r="CA25" s="84"/>
      <c r="CB25" s="84"/>
      <c r="CC25" s="84"/>
      <c r="CD25" s="84"/>
      <c r="CE25" s="84"/>
      <c r="CF25" s="84"/>
      <c r="CG25" s="84"/>
      <c r="CH25" s="84"/>
      <c r="CI25" s="84"/>
      <c r="CJ25" s="84"/>
      <c r="CK25" s="84"/>
      <c r="CL25" s="84"/>
      <c r="CM25" s="84"/>
      <c r="CN25" s="84"/>
    </row>
    <row r="26" spans="2:97" s="507" customFormat="1" ht="13.5" customHeight="1" thickBot="1">
      <c r="B26" s="510"/>
      <c r="C26" s="611"/>
      <c r="D26" s="611"/>
      <c r="E26" s="611"/>
      <c r="F26" s="612"/>
      <c r="G26" s="611"/>
      <c r="H26" s="611"/>
      <c r="I26" s="611"/>
      <c r="K26" s="943"/>
      <c r="L26" s="944"/>
      <c r="M26" s="944"/>
      <c r="N26" s="945"/>
      <c r="O26" s="944"/>
      <c r="P26" s="944"/>
      <c r="Q26" s="944"/>
      <c r="R26" s="945"/>
      <c r="S26" s="944"/>
      <c r="T26" s="944"/>
      <c r="U26" s="944"/>
      <c r="V26" s="945"/>
      <c r="W26" s="944"/>
      <c r="X26" s="944"/>
      <c r="Y26" s="944"/>
      <c r="Z26" s="945"/>
      <c r="AA26" s="944"/>
      <c r="AB26" s="944"/>
      <c r="AC26" s="944"/>
      <c r="AD26" s="945"/>
      <c r="AE26" s="944"/>
      <c r="AF26" s="944"/>
      <c r="AG26" s="944"/>
      <c r="AH26" s="945"/>
      <c r="AI26" s="944"/>
      <c r="AJ26" s="944"/>
      <c r="AK26" s="944"/>
      <c r="AL26" s="945"/>
      <c r="AM26" s="508"/>
      <c r="AN26" s="509"/>
      <c r="AO26" s="502"/>
      <c r="AP26" s="502"/>
      <c r="AQ26" s="502"/>
      <c r="AR26" s="502"/>
      <c r="AS26" s="502"/>
      <c r="AT26" s="502"/>
      <c r="AU26" s="502"/>
      <c r="AV26" s="502"/>
      <c r="AW26" s="502"/>
      <c r="AX26" s="502"/>
      <c r="AY26" s="502"/>
      <c r="AZ26" s="502"/>
      <c r="BA26" s="502"/>
      <c r="BB26" s="502"/>
      <c r="BC26" s="502"/>
      <c r="BD26" s="502"/>
      <c r="BE26" s="502"/>
      <c r="BF26" s="502"/>
      <c r="BG26" s="502"/>
      <c r="BH26" s="502"/>
      <c r="BI26" s="502"/>
      <c r="BJ26" s="502"/>
      <c r="BK26" s="502"/>
      <c r="BL26" s="502"/>
      <c r="BM26" s="502"/>
      <c r="BN26" s="502"/>
      <c r="BO26" s="502"/>
      <c r="BP26" s="502"/>
      <c r="BQ26" s="502"/>
      <c r="BR26" s="502"/>
      <c r="BS26" s="502"/>
      <c r="BT26" s="502"/>
      <c r="BU26" s="502"/>
      <c r="BV26" s="502"/>
      <c r="BW26" s="502"/>
      <c r="BX26" s="502"/>
      <c r="BY26" s="502"/>
      <c r="BZ26" s="502"/>
      <c r="CA26" s="502"/>
      <c r="CB26" s="502"/>
      <c r="CC26" s="502"/>
      <c r="CD26" s="502"/>
      <c r="CE26" s="502"/>
      <c r="CF26" s="502"/>
      <c r="CG26" s="502"/>
      <c r="CH26" s="502"/>
      <c r="CI26" s="502"/>
      <c r="CJ26" s="502"/>
      <c r="CK26" s="502"/>
      <c r="CL26" s="502"/>
      <c r="CM26" s="502"/>
      <c r="CN26" s="502"/>
    </row>
    <row r="27" spans="2:97" s="91" customFormat="1" ht="13.5" customHeight="1">
      <c r="B27" s="107"/>
      <c r="C27" s="74"/>
      <c r="D27" s="74"/>
      <c r="E27" s="74"/>
      <c r="F27" s="134"/>
      <c r="G27" s="74"/>
      <c r="H27" s="74"/>
      <c r="I27" s="74"/>
      <c r="K27" s="619"/>
      <c r="L27" s="100"/>
      <c r="M27" s="100"/>
      <c r="N27" s="615"/>
      <c r="O27" s="100"/>
      <c r="P27" s="100"/>
      <c r="Q27" s="100"/>
      <c r="R27" s="615"/>
      <c r="S27" s="100"/>
      <c r="T27" s="100"/>
      <c r="U27" s="100"/>
      <c r="V27" s="615"/>
      <c r="W27" s="100"/>
      <c r="X27" s="100"/>
      <c r="Y27" s="100"/>
      <c r="Z27" s="615"/>
      <c r="AA27" s="100"/>
      <c r="AB27" s="98"/>
      <c r="AC27" s="106"/>
      <c r="AD27" s="622"/>
      <c r="AE27" s="106"/>
      <c r="AF27" s="106"/>
      <c r="AG27" s="106"/>
      <c r="AH27" s="622"/>
      <c r="AI27" s="106"/>
      <c r="AJ27" s="106"/>
      <c r="AK27" s="106"/>
      <c r="AL27" s="622"/>
      <c r="AM27" s="74"/>
      <c r="AN27" s="99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340"/>
      <c r="BD27" s="340"/>
      <c r="BE27" s="340"/>
      <c r="BF27" s="340"/>
      <c r="BG27" s="340"/>
      <c r="BH27" s="340"/>
      <c r="BI27" s="340"/>
      <c r="BJ27" s="340"/>
      <c r="BK27" s="340"/>
      <c r="BL27" s="340"/>
      <c r="BM27" s="340"/>
      <c r="BN27" s="340"/>
      <c r="BO27" s="340"/>
      <c r="BP27" s="340"/>
      <c r="BQ27" s="340"/>
      <c r="BR27" s="340"/>
      <c r="BS27" s="340"/>
      <c r="BT27" s="340"/>
      <c r="BU27" s="340"/>
      <c r="BV27" s="340"/>
      <c r="BW27" s="340"/>
      <c r="BX27" s="340"/>
      <c r="BY27" s="340"/>
      <c r="BZ27" s="340"/>
      <c r="CA27" s="340"/>
      <c r="CB27" s="340"/>
      <c r="CC27" s="340"/>
      <c r="CD27" s="340"/>
      <c r="CE27" s="340"/>
      <c r="CF27" s="340"/>
      <c r="CG27" s="340"/>
      <c r="CH27" s="340"/>
      <c r="CI27" s="340"/>
      <c r="CJ27" s="340"/>
      <c r="CK27" s="340"/>
      <c r="CL27" s="340"/>
      <c r="CM27" s="340"/>
      <c r="CN27" s="340"/>
    </row>
    <row r="28" spans="2:97" ht="13.5" customHeight="1">
      <c r="B28" s="297" t="s">
        <v>49</v>
      </c>
      <c r="C28" s="613"/>
      <c r="D28" s="613"/>
      <c r="E28" s="613"/>
      <c r="F28" s="614"/>
      <c r="G28" s="613"/>
      <c r="H28" s="613"/>
      <c r="I28" s="613"/>
      <c r="J28" s="2"/>
      <c r="K28" s="654"/>
      <c r="L28" s="655"/>
      <c r="M28" s="655"/>
      <c r="N28" s="656"/>
      <c r="O28" s="655"/>
      <c r="P28" s="655"/>
      <c r="Q28" s="655"/>
      <c r="R28" s="656"/>
      <c r="S28" s="655"/>
      <c r="T28" s="655"/>
      <c r="U28" s="655"/>
      <c r="V28" s="656"/>
      <c r="W28" s="655"/>
      <c r="X28" s="655"/>
      <c r="Y28" s="655"/>
      <c r="Z28" s="656"/>
      <c r="AA28" s="655"/>
      <c r="AB28" s="655"/>
      <c r="AC28" s="655"/>
      <c r="AD28" s="656"/>
      <c r="AE28" s="655"/>
      <c r="AF28" s="655"/>
      <c r="AG28" s="655"/>
      <c r="AH28" s="656"/>
      <c r="AI28" s="655"/>
      <c r="AJ28" s="655"/>
      <c r="AK28" s="655"/>
      <c r="AL28" s="656"/>
      <c r="AM28" s="101"/>
      <c r="AN28" s="102"/>
    </row>
    <row r="29" spans="2:97" s="71" customFormat="1" ht="13.5" customHeight="1">
      <c r="B29" s="95" t="s">
        <v>56</v>
      </c>
      <c r="C29" s="43">
        <f t="shared" ref="C29:I29" si="67">C10/C7</f>
        <v>0.37440659033789442</v>
      </c>
      <c r="D29" s="43">
        <f t="shared" si="67"/>
        <v>0.37343995430529775</v>
      </c>
      <c r="E29" s="43">
        <f t="shared" si="67"/>
        <v>0.37139862319045863</v>
      </c>
      <c r="F29" s="292">
        <f t="shared" si="67"/>
        <v>0.36786006307674335</v>
      </c>
      <c r="G29" s="43">
        <f t="shared" si="67"/>
        <v>0.37778198092621229</v>
      </c>
      <c r="H29" s="43">
        <f t="shared" si="67"/>
        <v>0.38281930955149224</v>
      </c>
      <c r="I29" s="43">
        <f t="shared" si="67"/>
        <v>0.38757099796565864</v>
      </c>
      <c r="K29" s="392">
        <f t="shared" ref="K29:Z29" si="68">K10/K7</f>
        <v>0.37322954822954824</v>
      </c>
      <c r="L29" s="648">
        <f t="shared" si="68"/>
        <v>0.38336243588344426</v>
      </c>
      <c r="M29" s="648">
        <f t="shared" si="68"/>
        <v>0.37787650945545681</v>
      </c>
      <c r="N29" s="649">
        <f t="shared" si="68"/>
        <v>0.36377724971587971</v>
      </c>
      <c r="O29" s="648">
        <f t="shared" si="68"/>
        <v>0.36863966770508827</v>
      </c>
      <c r="P29" s="648">
        <f t="shared" si="68"/>
        <v>0.37656854696845315</v>
      </c>
      <c r="Q29" s="648">
        <f t="shared" si="68"/>
        <v>0.37472976219072784</v>
      </c>
      <c r="R29" s="649">
        <f t="shared" si="68"/>
        <v>0.37388098999473407</v>
      </c>
      <c r="S29" s="648">
        <f t="shared" si="68"/>
        <v>0.37076852698993595</v>
      </c>
      <c r="T29" s="648">
        <f t="shared" si="68"/>
        <v>0.37591623036649213</v>
      </c>
      <c r="U29" s="648">
        <f t="shared" si="68"/>
        <v>0.37110481586402266</v>
      </c>
      <c r="V29" s="649">
        <f t="shared" si="68"/>
        <v>0.36814924114671166</v>
      </c>
      <c r="W29" s="648">
        <f t="shared" si="68"/>
        <v>0.37079041777572042</v>
      </c>
      <c r="X29" s="648">
        <f t="shared" si="68"/>
        <v>0.36806543385490753</v>
      </c>
      <c r="Y29" s="648">
        <f t="shared" si="68"/>
        <v>0.37687417536284035</v>
      </c>
      <c r="Z29" s="649">
        <f t="shared" si="68"/>
        <v>0.35628539071347676</v>
      </c>
      <c r="AA29" s="650">
        <v>0.371</v>
      </c>
      <c r="AB29" s="650">
        <v>0.38</v>
      </c>
      <c r="AC29" s="650">
        <v>0.38</v>
      </c>
      <c r="AD29" s="651">
        <v>0.38</v>
      </c>
      <c r="AE29" s="650">
        <v>0.376</v>
      </c>
      <c r="AF29" s="650">
        <v>0.38500000000000001</v>
      </c>
      <c r="AG29" s="650">
        <v>0.38500000000000001</v>
      </c>
      <c r="AH29" s="651">
        <v>0.38500000000000001</v>
      </c>
      <c r="AI29" s="650">
        <v>0.38</v>
      </c>
      <c r="AJ29" s="650">
        <v>0.39</v>
      </c>
      <c r="AK29" s="650">
        <v>0.39</v>
      </c>
      <c r="AL29" s="651">
        <v>0.39</v>
      </c>
      <c r="AM29" s="43"/>
      <c r="AN29" s="42"/>
      <c r="AO29" s="72"/>
      <c r="AP29" s="72"/>
      <c r="AQ29" s="72"/>
      <c r="AR29" s="72"/>
      <c r="AS29" s="72"/>
      <c r="AT29" s="72"/>
      <c r="AU29" s="72"/>
      <c r="AV29" s="72"/>
      <c r="AW29" s="72"/>
      <c r="AX29" s="72"/>
      <c r="AY29" s="72"/>
      <c r="AZ29" s="72"/>
      <c r="BA29" s="72"/>
      <c r="BB29" s="72"/>
      <c r="BC29" s="72"/>
      <c r="BD29" s="72"/>
      <c r="BE29" s="72"/>
      <c r="BF29" s="72"/>
      <c r="BG29" s="72"/>
      <c r="BH29" s="72"/>
      <c r="BI29" s="72"/>
      <c r="BJ29" s="72"/>
      <c r="BK29" s="72"/>
      <c r="BL29" s="72"/>
      <c r="BM29" s="72"/>
      <c r="BN29" s="72"/>
      <c r="BO29" s="72"/>
      <c r="BP29" s="72"/>
      <c r="BQ29" s="72"/>
      <c r="BR29" s="72"/>
      <c r="BS29" s="72"/>
      <c r="BT29" s="72"/>
      <c r="BU29" s="72"/>
      <c r="BV29" s="72"/>
      <c r="BW29" s="72"/>
      <c r="BX29" s="72"/>
      <c r="BY29" s="72"/>
      <c r="BZ29" s="72"/>
      <c r="CA29" s="72"/>
      <c r="CB29" s="72"/>
      <c r="CC29" s="72"/>
      <c r="CD29" s="72"/>
      <c r="CE29" s="72"/>
      <c r="CF29" s="72"/>
      <c r="CG29" s="72"/>
      <c r="CH29" s="72"/>
      <c r="CI29" s="72"/>
      <c r="CJ29" s="72"/>
      <c r="CK29" s="72"/>
      <c r="CL29" s="72"/>
      <c r="CM29" s="72"/>
      <c r="CN29" s="72"/>
    </row>
    <row r="30" spans="2:97" s="71" customFormat="1" ht="13.5" customHeight="1">
      <c r="B30" s="95" t="s">
        <v>57</v>
      </c>
      <c r="C30" s="43">
        <f>C16/C7</f>
        <v>0.11440938285395141</v>
      </c>
      <c r="D30" s="43">
        <f>D16/D7</f>
        <v>0.12260459802941596</v>
      </c>
      <c r="E30" s="43">
        <f>E16/E7</f>
        <v>0.12099492903481684</v>
      </c>
      <c r="F30" s="292">
        <f>F16/F7</f>
        <v>0.12895689755869641</v>
      </c>
      <c r="G30" s="43">
        <f t="shared" ref="G30:I30" si="69">G16/G7</f>
        <v>0.13392839833917139</v>
      </c>
      <c r="H30" s="43">
        <f t="shared" si="69"/>
        <v>0.13648102934709949</v>
      </c>
      <c r="I30" s="43">
        <f t="shared" si="69"/>
        <v>0.13835084294060149</v>
      </c>
      <c r="K30" s="291">
        <f t="shared" ref="K30:AL30" si="70">K16/K7</f>
        <v>0.11526251526251527</v>
      </c>
      <c r="L30" s="43">
        <f t="shared" si="70"/>
        <v>0.11502782931354361</v>
      </c>
      <c r="M30" s="43">
        <f t="shared" si="70"/>
        <v>0.11904761904761904</v>
      </c>
      <c r="N30" s="292">
        <f t="shared" si="70"/>
        <v>0.10889554706064676</v>
      </c>
      <c r="O30" s="43">
        <f t="shared" si="70"/>
        <v>0.11884158301603784</v>
      </c>
      <c r="P30" s="43">
        <f t="shared" si="70"/>
        <v>0.13181658261991322</v>
      </c>
      <c r="Q30" s="43">
        <f t="shared" si="70"/>
        <v>0.13079509968772521</v>
      </c>
      <c r="R30" s="292">
        <f t="shared" si="70"/>
        <v>0.11058451816745656</v>
      </c>
      <c r="S30" s="43">
        <f t="shared" si="70"/>
        <v>0.10773101555352242</v>
      </c>
      <c r="T30" s="43">
        <f t="shared" si="70"/>
        <v>0.11425247236765561</v>
      </c>
      <c r="U30" s="43">
        <f t="shared" si="70"/>
        <v>0.12204910292728989</v>
      </c>
      <c r="V30" s="292">
        <f t="shared" si="70"/>
        <v>0.13838532883642496</v>
      </c>
      <c r="W30" s="43">
        <f t="shared" si="70"/>
        <v>0.12186089572966093</v>
      </c>
      <c r="X30" s="43">
        <f t="shared" si="70"/>
        <v>0.12565196775723092</v>
      </c>
      <c r="Y30" s="43">
        <f t="shared" si="70"/>
        <v>0.13649994002638838</v>
      </c>
      <c r="Z30" s="292">
        <f t="shared" si="70"/>
        <v>0.1319365798414496</v>
      </c>
      <c r="AA30" s="43">
        <f t="shared" si="70"/>
        <v>0.12504304772747582</v>
      </c>
      <c r="AB30" s="43">
        <f t="shared" si="70"/>
        <v>0.1324907448126974</v>
      </c>
      <c r="AC30" s="43">
        <f t="shared" si="70"/>
        <v>0.13193855769211388</v>
      </c>
      <c r="AD30" s="292">
        <f t="shared" si="70"/>
        <v>0.14530208394031865</v>
      </c>
      <c r="AE30" s="43">
        <f t="shared" si="70"/>
        <v>0.12776967546094972</v>
      </c>
      <c r="AF30" s="43">
        <f t="shared" si="70"/>
        <v>0.13467263025840159</v>
      </c>
      <c r="AG30" s="43">
        <f t="shared" si="70"/>
        <v>0.13436409312398137</v>
      </c>
      <c r="AH30" s="292">
        <f t="shared" si="70"/>
        <v>0.14793659097033873</v>
      </c>
      <c r="AI30" s="43">
        <f t="shared" si="70"/>
        <v>0.12961580123733607</v>
      </c>
      <c r="AJ30" s="43">
        <f t="shared" si="70"/>
        <v>0.13649330556044587</v>
      </c>
      <c r="AK30" s="43">
        <f t="shared" si="70"/>
        <v>0.13614635216773055</v>
      </c>
      <c r="AL30" s="292">
        <f t="shared" si="70"/>
        <v>0.14998560447479495</v>
      </c>
      <c r="AM30" s="43"/>
      <c r="AN30" s="4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72"/>
      <c r="BN30" s="72"/>
      <c r="BO30" s="72"/>
      <c r="BP30" s="72"/>
      <c r="BQ30" s="72"/>
      <c r="BR30" s="72"/>
      <c r="BS30" s="72"/>
      <c r="BT30" s="72"/>
      <c r="BU30" s="72"/>
      <c r="BV30" s="72"/>
      <c r="BW30" s="72"/>
      <c r="BX30" s="72"/>
      <c r="BY30" s="72"/>
      <c r="BZ30" s="72"/>
      <c r="CA30" s="72"/>
      <c r="CB30" s="72"/>
      <c r="CC30" s="72"/>
      <c r="CD30" s="72"/>
      <c r="CE30" s="72"/>
      <c r="CF30" s="72"/>
      <c r="CG30" s="72"/>
      <c r="CH30" s="72"/>
      <c r="CI30" s="72"/>
      <c r="CJ30" s="72"/>
      <c r="CK30" s="72"/>
      <c r="CL30" s="72"/>
      <c r="CM30" s="72"/>
      <c r="CN30" s="72"/>
    </row>
    <row r="31" spans="2:97" s="71" customFormat="1" ht="13.5" customHeight="1">
      <c r="B31" s="95" t="s">
        <v>152</v>
      </c>
      <c r="C31" s="43">
        <f t="shared" ref="C31:I31" si="71">-C11/C7</f>
        <v>0.25899190170343478</v>
      </c>
      <c r="D31" s="43">
        <f t="shared" si="71"/>
        <v>0.25209196058831929</v>
      </c>
      <c r="E31" s="43">
        <f t="shared" si="71"/>
        <v>0.25218844726479506</v>
      </c>
      <c r="F31" s="292">
        <f t="shared" si="71"/>
        <v>0.23735544912977455</v>
      </c>
      <c r="G31" s="43">
        <f t="shared" si="71"/>
        <v>0.24385358258704093</v>
      </c>
      <c r="H31" s="43">
        <f t="shared" si="71"/>
        <v>0.2463382802043928</v>
      </c>
      <c r="I31" s="43">
        <f t="shared" si="71"/>
        <v>0.24922015502505718</v>
      </c>
      <c r="K31" s="645">
        <f t="shared" ref="K31:AL31" si="72">-K11/K7</f>
        <v>0.2659035409035409</v>
      </c>
      <c r="L31" s="646">
        <f t="shared" si="72"/>
        <v>0.26047691803994327</v>
      </c>
      <c r="M31" s="646">
        <f t="shared" si="72"/>
        <v>0.26076555023923442</v>
      </c>
      <c r="N31" s="647">
        <f t="shared" si="72"/>
        <v>0.25012914557288979</v>
      </c>
      <c r="O31" s="646">
        <f t="shared" si="72"/>
        <v>0.24910580362293758</v>
      </c>
      <c r="P31" s="646">
        <f t="shared" si="72"/>
        <v>0.24615925882490911</v>
      </c>
      <c r="Q31" s="646">
        <f t="shared" si="72"/>
        <v>0.246817199135239</v>
      </c>
      <c r="R31" s="647">
        <f t="shared" si="72"/>
        <v>0.26477093206951025</v>
      </c>
      <c r="S31" s="646">
        <f t="shared" si="72"/>
        <v>0.26338060384263495</v>
      </c>
      <c r="T31" s="646">
        <f t="shared" si="72"/>
        <v>0.26399069226294358</v>
      </c>
      <c r="U31" s="646">
        <f t="shared" si="72"/>
        <v>0.25082625118035884</v>
      </c>
      <c r="V31" s="647">
        <f t="shared" si="72"/>
        <v>0.23239881956155142</v>
      </c>
      <c r="W31" s="646">
        <f t="shared" si="72"/>
        <v>0.24904524939243144</v>
      </c>
      <c r="X31" s="646">
        <f t="shared" si="72"/>
        <v>0.24300616405879563</v>
      </c>
      <c r="Y31" s="646">
        <f t="shared" si="72"/>
        <v>0.24553196593498861</v>
      </c>
      <c r="Z31" s="647">
        <f t="shared" si="72"/>
        <v>0.212797281993205</v>
      </c>
      <c r="AA31" s="646">
        <f t="shared" si="72"/>
        <v>0.24595695227252418</v>
      </c>
      <c r="AB31" s="646">
        <f t="shared" si="72"/>
        <v>0.2475092551873026</v>
      </c>
      <c r="AC31" s="646">
        <f t="shared" si="72"/>
        <v>0.2480614423078861</v>
      </c>
      <c r="AD31" s="647">
        <f t="shared" si="72"/>
        <v>0.23469791605968138</v>
      </c>
      <c r="AE31" s="646">
        <f t="shared" si="72"/>
        <v>0.24823032453905025</v>
      </c>
      <c r="AF31" s="646">
        <f t="shared" si="72"/>
        <v>0.25032736974159847</v>
      </c>
      <c r="AG31" s="646">
        <f t="shared" si="72"/>
        <v>0.25063590687601861</v>
      </c>
      <c r="AH31" s="647">
        <f t="shared" si="72"/>
        <v>0.2370634090296613</v>
      </c>
      <c r="AI31" s="646">
        <f t="shared" si="72"/>
        <v>0.25038419876266393</v>
      </c>
      <c r="AJ31" s="646">
        <f t="shared" si="72"/>
        <v>0.25350669443955409</v>
      </c>
      <c r="AK31" s="646">
        <f t="shared" si="72"/>
        <v>0.25385364783226944</v>
      </c>
      <c r="AL31" s="647">
        <f t="shared" si="72"/>
        <v>0.24001439552520504</v>
      </c>
      <c r="AM31" s="43"/>
      <c r="AN31" s="4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72"/>
      <c r="BN31" s="72"/>
      <c r="BO31" s="72"/>
      <c r="BP31" s="72"/>
      <c r="BQ31" s="72"/>
      <c r="BR31" s="72"/>
      <c r="BS31" s="72"/>
      <c r="BT31" s="72"/>
      <c r="BU31" s="72"/>
      <c r="BV31" s="72"/>
      <c r="BW31" s="72"/>
      <c r="BX31" s="72"/>
      <c r="BY31" s="72"/>
      <c r="BZ31" s="72"/>
      <c r="CA31" s="72"/>
      <c r="CB31" s="72"/>
      <c r="CC31" s="72"/>
      <c r="CD31" s="72"/>
      <c r="CE31" s="72"/>
      <c r="CF31" s="72"/>
      <c r="CG31" s="72"/>
      <c r="CH31" s="72"/>
      <c r="CI31" s="72"/>
      <c r="CJ31" s="72"/>
      <c r="CK31" s="72"/>
      <c r="CL31" s="72"/>
      <c r="CM31" s="72"/>
      <c r="CN31" s="72"/>
    </row>
    <row r="32" spans="2:97" s="35" customFormat="1" ht="13.5" customHeight="1">
      <c r="B32" s="297" t="s">
        <v>50</v>
      </c>
      <c r="C32" s="613"/>
      <c r="D32" s="613"/>
      <c r="E32" s="613"/>
      <c r="F32" s="614"/>
      <c r="G32" s="613"/>
      <c r="H32" s="613"/>
      <c r="I32" s="613"/>
      <c r="K32" s="623"/>
      <c r="L32" s="486"/>
      <c r="M32" s="486"/>
      <c r="N32" s="635"/>
      <c r="O32" s="486"/>
      <c r="P32" s="486"/>
      <c r="Q32" s="486"/>
      <c r="R32" s="635"/>
      <c r="S32" s="486"/>
      <c r="T32" s="486"/>
      <c r="U32" s="486"/>
      <c r="V32" s="635"/>
      <c r="W32" s="486"/>
      <c r="X32" s="486"/>
      <c r="Y32" s="486"/>
      <c r="Z32" s="635"/>
      <c r="AA32" s="486"/>
      <c r="AB32" s="487"/>
      <c r="AC32" s="488"/>
      <c r="AD32" s="624"/>
      <c r="AE32" s="488"/>
      <c r="AF32" s="488"/>
      <c r="AG32" s="488"/>
      <c r="AH32" s="624"/>
      <c r="AI32" s="488"/>
      <c r="AJ32" s="488"/>
      <c r="AK32" s="488"/>
      <c r="AL32" s="624"/>
      <c r="AM32" s="96"/>
      <c r="AN32" s="97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298"/>
      <c r="BD32" s="298"/>
      <c r="BE32" s="298"/>
      <c r="BF32" s="298"/>
      <c r="BG32" s="298"/>
      <c r="BH32" s="298"/>
      <c r="BI32" s="298"/>
      <c r="BJ32" s="298"/>
      <c r="BK32" s="298"/>
      <c r="BL32" s="298"/>
      <c r="BM32" s="298"/>
      <c r="BN32" s="298"/>
      <c r="BO32" s="298"/>
      <c r="BP32" s="298"/>
      <c r="BQ32" s="298"/>
      <c r="BR32" s="298"/>
      <c r="BS32" s="298"/>
      <c r="BT32" s="298"/>
      <c r="BU32" s="298"/>
      <c r="BV32" s="298"/>
      <c r="BW32" s="298"/>
      <c r="BX32" s="298"/>
      <c r="BY32" s="298"/>
      <c r="BZ32" s="298"/>
      <c r="CA32" s="298"/>
      <c r="CB32" s="298"/>
      <c r="CC32" s="298"/>
      <c r="CD32" s="298"/>
      <c r="CE32" s="298"/>
      <c r="CF32" s="298"/>
      <c r="CG32" s="298"/>
      <c r="CH32" s="298"/>
      <c r="CI32" s="298"/>
      <c r="CJ32" s="298"/>
      <c r="CK32" s="298"/>
      <c r="CL32" s="298"/>
      <c r="CM32" s="298"/>
      <c r="CN32" s="298"/>
    </row>
    <row r="33" spans="2:92" s="71" customFormat="1" ht="13.5" customHeight="1">
      <c r="B33" s="95" t="s">
        <v>199</v>
      </c>
      <c r="C33" s="43">
        <f t="shared" ref="C33:I33" si="73">-C21/C20</f>
        <v>0.11366081032628182</v>
      </c>
      <c r="D33" s="43">
        <f t="shared" si="73"/>
        <v>0.1953125</v>
      </c>
      <c r="E33" s="43">
        <f t="shared" si="73"/>
        <v>0.13558282208588956</v>
      </c>
      <c r="F33" s="292">
        <f t="shared" si="73"/>
        <v>0.16050069541029208</v>
      </c>
      <c r="G33" s="43">
        <f t="shared" si="73"/>
        <v>0.2</v>
      </c>
      <c r="H33" s="43">
        <f t="shared" si="73"/>
        <v>0.20000000000000004</v>
      </c>
      <c r="I33" s="43">
        <f t="shared" si="73"/>
        <v>0.2</v>
      </c>
      <c r="K33" s="392">
        <f t="shared" ref="K33:Z33" si="74">-K21/K20</f>
        <v>0.23052959501557632</v>
      </c>
      <c r="L33" s="648">
        <f t="shared" si="74"/>
        <v>0.19047619047619047</v>
      </c>
      <c r="M33" s="648">
        <f t="shared" si="74"/>
        <v>0.13219895287958114</v>
      </c>
      <c r="N33" s="649">
        <f t="shared" si="74"/>
        <v>-0.12121212121212122</v>
      </c>
      <c r="O33" s="648">
        <f t="shared" si="74"/>
        <v>0.24133333333333334</v>
      </c>
      <c r="P33" s="648">
        <f t="shared" si="74"/>
        <v>0.20379146919431279</v>
      </c>
      <c r="Q33" s="648">
        <f t="shared" si="74"/>
        <v>0.19880239520958085</v>
      </c>
      <c r="R33" s="649">
        <f t="shared" si="74"/>
        <v>0.13748378728923477</v>
      </c>
      <c r="S33" s="648">
        <f t="shared" si="74"/>
        <v>2.9940119760479044E-3</v>
      </c>
      <c r="T33" s="648">
        <f t="shared" si="74"/>
        <v>0.10307898259705489</v>
      </c>
      <c r="U33" s="648">
        <f t="shared" si="74"/>
        <v>4.4328552803129077E-2</v>
      </c>
      <c r="V33" s="649">
        <f t="shared" si="74"/>
        <v>0.30519480519480519</v>
      </c>
      <c r="W33" s="648">
        <f t="shared" si="74"/>
        <v>0.20677146311970979</v>
      </c>
      <c r="X33" s="648">
        <f t="shared" si="74"/>
        <v>0.15758293838862558</v>
      </c>
      <c r="Y33" s="648">
        <f t="shared" si="74"/>
        <v>9.735449735449736E-2</v>
      </c>
      <c r="Z33" s="649">
        <f t="shared" si="74"/>
        <v>0.18488253319713993</v>
      </c>
      <c r="AA33" s="650">
        <v>0.2</v>
      </c>
      <c r="AB33" s="652">
        <f>AA33</f>
        <v>0.2</v>
      </c>
      <c r="AC33" s="652">
        <f t="shared" ref="AC33:AL33" si="75">AB33</f>
        <v>0.2</v>
      </c>
      <c r="AD33" s="653">
        <f t="shared" si="75"/>
        <v>0.2</v>
      </c>
      <c r="AE33" s="652">
        <f t="shared" si="75"/>
        <v>0.2</v>
      </c>
      <c r="AF33" s="652">
        <f t="shared" si="75"/>
        <v>0.2</v>
      </c>
      <c r="AG33" s="652">
        <f t="shared" si="75"/>
        <v>0.2</v>
      </c>
      <c r="AH33" s="653">
        <f t="shared" si="75"/>
        <v>0.2</v>
      </c>
      <c r="AI33" s="652">
        <f t="shared" si="75"/>
        <v>0.2</v>
      </c>
      <c r="AJ33" s="652">
        <f t="shared" si="75"/>
        <v>0.2</v>
      </c>
      <c r="AK33" s="652">
        <f t="shared" si="75"/>
        <v>0.2</v>
      </c>
      <c r="AL33" s="653">
        <f t="shared" si="75"/>
        <v>0.2</v>
      </c>
      <c r="AM33" s="43"/>
      <c r="AN33" s="42"/>
      <c r="AO33" s="72"/>
      <c r="AP33" s="72"/>
      <c r="AQ33" s="72"/>
      <c r="AR33" s="72"/>
      <c r="AS33" s="72"/>
      <c r="AT33" s="72"/>
      <c r="AU33" s="72"/>
      <c r="AV33" s="72"/>
      <c r="AW33" s="72"/>
      <c r="AX33" s="72"/>
      <c r="AY33" s="72"/>
      <c r="AZ33" s="72"/>
      <c r="BA33" s="72"/>
      <c r="BB33" s="72"/>
      <c r="BC33" s="72"/>
      <c r="BD33" s="72"/>
      <c r="BE33" s="72"/>
      <c r="BF33" s="72"/>
      <c r="BG33" s="72"/>
      <c r="BH33" s="72"/>
      <c r="BI33" s="72"/>
      <c r="BJ33" s="72"/>
      <c r="BK33" s="72"/>
      <c r="BL33" s="72"/>
      <c r="BM33" s="72"/>
      <c r="BN33" s="72"/>
      <c r="BO33" s="72"/>
      <c r="BP33" s="72"/>
      <c r="BQ33" s="72"/>
      <c r="BR33" s="72"/>
      <c r="BS33" s="72"/>
      <c r="BT33" s="72"/>
      <c r="BU33" s="72"/>
      <c r="BV33" s="72"/>
      <c r="BW33" s="72"/>
      <c r="BX33" s="72"/>
      <c r="BY33" s="72"/>
      <c r="BZ33" s="72"/>
      <c r="CA33" s="72"/>
      <c r="CB33" s="72"/>
      <c r="CC33" s="72"/>
      <c r="CD33" s="72"/>
      <c r="CE33" s="72"/>
      <c r="CF33" s="72"/>
      <c r="CG33" s="72"/>
      <c r="CH33" s="72"/>
      <c r="CI33" s="72"/>
      <c r="CJ33" s="72"/>
      <c r="CK33" s="72"/>
      <c r="CL33" s="72"/>
      <c r="CM33" s="72"/>
      <c r="CN33" s="72"/>
    </row>
    <row r="34" spans="2:92" s="71" customFormat="1" ht="13.5" customHeight="1">
      <c r="B34" s="95" t="s">
        <v>52</v>
      </c>
      <c r="C34" s="492">
        <f>CF!C9/IS!C7</f>
        <v>4.1468863445964815E-2</v>
      </c>
      <c r="D34" s="492">
        <f>CF!D9/IS!D7</f>
        <v>3.8412109096101668E-2</v>
      </c>
      <c r="E34" s="492">
        <f>CF!E9/IS!E7</f>
        <v>3.0510779342190996E-2</v>
      </c>
      <c r="F34" s="604">
        <f>CF!F9/IS!F7</f>
        <v>3.0925125569442821E-2</v>
      </c>
      <c r="G34" s="492">
        <f>CF!G9/IS!G7</f>
        <v>0.03</v>
      </c>
      <c r="H34" s="492">
        <f>CF!H9/IS!H7</f>
        <v>2.9999999999999995E-2</v>
      </c>
      <c r="I34" s="492">
        <f>CF!I9/IS!I7</f>
        <v>3.0000000000000002E-2</v>
      </c>
      <c r="J34" s="492"/>
      <c r="K34" s="926">
        <f>CF!K9/IS!K7</f>
        <v>4.5421245421245419E-2</v>
      </c>
      <c r="L34" s="927">
        <f>CF!L9/IS!L7</f>
        <v>4.0379788278947941E-2</v>
      </c>
      <c r="M34" s="927">
        <f>CF!M9/IS!M7</f>
        <v>4.2720437457279561E-2</v>
      </c>
      <c r="N34" s="928">
        <f>CF!N9/IS!N7</f>
        <v>3.802045665874574E-2</v>
      </c>
      <c r="O34" s="927">
        <f>CF!O9/IS!O7</f>
        <v>4.1190723433714091E-2</v>
      </c>
      <c r="P34" s="927">
        <f>CF!P9/IS!P7</f>
        <v>4.1280637973495952E-2</v>
      </c>
      <c r="Q34" s="927">
        <f>CF!Q9/IS!Q7</f>
        <v>4.2757626711506125E-2</v>
      </c>
      <c r="R34" s="928">
        <f>CF!R9/IS!R7</f>
        <v>2.948920484465508E-2</v>
      </c>
      <c r="S34" s="927">
        <f>CF!S9/IS!S7</f>
        <v>3.0420860018298263E-2</v>
      </c>
      <c r="T34" s="927">
        <f>CF!T9/IS!T7</f>
        <v>3.0948225712623619E-2</v>
      </c>
      <c r="U34" s="927">
        <f>CF!U9/IS!U7</f>
        <v>3.2577903682719546E-2</v>
      </c>
      <c r="V34" s="928">
        <f>CF!V9/IS!V7</f>
        <v>2.8351602023608768E-2</v>
      </c>
      <c r="W34" s="927">
        <f>CF!W9/IS!W7</f>
        <v>3.0320564749450295E-2</v>
      </c>
      <c r="X34" s="927">
        <f>CF!X9/IS!X7</f>
        <v>3.2124229492650543E-2</v>
      </c>
      <c r="Y34" s="927">
        <f>CF!Y9/IS!Y7</f>
        <v>3.166606693055056E-2</v>
      </c>
      <c r="Z34" s="928">
        <f>CF!Z9/IS!Z7</f>
        <v>2.9671574178935449E-2</v>
      </c>
      <c r="AA34" s="483">
        <v>0.03</v>
      </c>
      <c r="AB34" s="946">
        <f>AA34</f>
        <v>0.03</v>
      </c>
      <c r="AC34" s="946">
        <f t="shared" ref="AC34:AL34" si="76">AB34</f>
        <v>0.03</v>
      </c>
      <c r="AD34" s="947">
        <f t="shared" si="76"/>
        <v>0.03</v>
      </c>
      <c r="AE34" s="946">
        <f t="shared" si="76"/>
        <v>0.03</v>
      </c>
      <c r="AF34" s="946">
        <f t="shared" si="76"/>
        <v>0.03</v>
      </c>
      <c r="AG34" s="946">
        <f t="shared" si="76"/>
        <v>0.03</v>
      </c>
      <c r="AH34" s="947">
        <f t="shared" si="76"/>
        <v>0.03</v>
      </c>
      <c r="AI34" s="946">
        <f t="shared" si="76"/>
        <v>0.03</v>
      </c>
      <c r="AJ34" s="946">
        <f t="shared" si="76"/>
        <v>0.03</v>
      </c>
      <c r="AK34" s="946">
        <f t="shared" si="76"/>
        <v>0.03</v>
      </c>
      <c r="AL34" s="947">
        <f t="shared" si="76"/>
        <v>0.03</v>
      </c>
      <c r="AM34" s="43"/>
      <c r="AN34" s="4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72"/>
      <c r="BN34" s="72"/>
      <c r="BO34" s="72"/>
      <c r="BP34" s="72"/>
      <c r="BQ34" s="72"/>
      <c r="BR34" s="72"/>
      <c r="BS34" s="72"/>
      <c r="BT34" s="72"/>
      <c r="BU34" s="72"/>
      <c r="BV34" s="72"/>
      <c r="BW34" s="72"/>
      <c r="BX34" s="72"/>
      <c r="BY34" s="72"/>
      <c r="BZ34" s="72"/>
      <c r="CA34" s="72"/>
      <c r="CB34" s="72"/>
      <c r="CC34" s="72"/>
      <c r="CD34" s="72"/>
      <c r="CE34" s="72"/>
      <c r="CF34" s="72"/>
      <c r="CG34" s="72"/>
      <c r="CH34" s="72"/>
      <c r="CI34" s="72"/>
      <c r="CJ34" s="72"/>
      <c r="CK34" s="72"/>
      <c r="CL34" s="72"/>
      <c r="CM34" s="72"/>
      <c r="CN34" s="72"/>
    </row>
    <row r="35" spans="2:92" s="35" customFormat="1" ht="13.5" customHeight="1">
      <c r="B35" s="95" t="s">
        <v>238</v>
      </c>
      <c r="C35" s="43">
        <f>-CF!C23/IS!C7</f>
        <v>4.9455459368891369E-2</v>
      </c>
      <c r="D35" s="43">
        <f>-CF!D23/IS!D7</f>
        <v>4.5980294159645864E-2</v>
      </c>
      <c r="E35" s="43">
        <f>-CF!E23/IS!E7</f>
        <v>4.5950310207088021E-2</v>
      </c>
      <c r="F35" s="292">
        <f>-CF!F23/IS!F7</f>
        <v>4.7950005840439201E-2</v>
      </c>
      <c r="G35" s="43">
        <f>-CF!G23/IS!G7</f>
        <v>0.06</v>
      </c>
      <c r="H35" s="43">
        <f>-CF!H23/IS!H7</f>
        <v>5.2422989387230848E-2</v>
      </c>
      <c r="I35" s="43">
        <f>-CF!I23/IS!I7</f>
        <v>6.0000000000000005E-2</v>
      </c>
      <c r="J35" s="298"/>
      <c r="K35" s="645">
        <f>-CF!K23/IS!K7</f>
        <v>2.8937728937728939E-2</v>
      </c>
      <c r="L35" s="646">
        <f>-CF!L23/IS!L7</f>
        <v>4.561824729891957E-2</v>
      </c>
      <c r="M35" s="646">
        <f>-CF!M23/IS!M7</f>
        <v>7.1314650262018678E-2</v>
      </c>
      <c r="N35" s="647">
        <f>-CF!N23/IS!N7</f>
        <v>5.0625064572786448E-2</v>
      </c>
      <c r="O35" s="646">
        <f>-CF!O23/IS!O7</f>
        <v>3.8652359524633667E-2</v>
      </c>
      <c r="P35" s="646">
        <f>-CF!P23/IS!P7</f>
        <v>4.7496188577459832E-2</v>
      </c>
      <c r="Q35" s="646">
        <f>-CF!Q23/IS!Q7</f>
        <v>5.8731683881815995E-2</v>
      </c>
      <c r="R35" s="647">
        <f>-CF!R23/IS!R7</f>
        <v>4.0126382306477096E-2</v>
      </c>
      <c r="S35" s="646">
        <f>-CF!S23/IS!S7</f>
        <v>2.6875571820677034E-2</v>
      </c>
      <c r="T35" s="646">
        <f>-CF!T23/IS!T7</f>
        <v>3.8743455497382201E-2</v>
      </c>
      <c r="U35" s="646">
        <f>-CF!U23/IS!U7</f>
        <v>5.4296506137865914E-2</v>
      </c>
      <c r="V35" s="647">
        <f>-CF!V23/IS!V7</f>
        <v>6.2605396290050588E-2</v>
      </c>
      <c r="W35" s="646">
        <f>-CF!W23/IS!W7</f>
        <v>3.7727114917254945E-2</v>
      </c>
      <c r="X35" s="646">
        <f>-CF!X23/IS!X7</f>
        <v>4.7178757705073494E-2</v>
      </c>
      <c r="Y35" s="646">
        <f>-CF!Y23/IS!Y7</f>
        <v>4.8578625404821878E-2</v>
      </c>
      <c r="Z35" s="647">
        <f>-CF!Z23/IS!Z7</f>
        <v>5.8097395243488108E-2</v>
      </c>
      <c r="AA35" s="625">
        <v>0.06</v>
      </c>
      <c r="AB35" s="646">
        <f>AA35</f>
        <v>0.06</v>
      </c>
      <c r="AC35" s="646">
        <f t="shared" ref="AC35:AL35" si="77">AB35</f>
        <v>0.06</v>
      </c>
      <c r="AD35" s="647">
        <f t="shared" si="77"/>
        <v>0.06</v>
      </c>
      <c r="AE35" s="625">
        <v>0.06</v>
      </c>
      <c r="AF35" s="646">
        <v>0.05</v>
      </c>
      <c r="AG35" s="646">
        <f t="shared" si="77"/>
        <v>0.05</v>
      </c>
      <c r="AH35" s="647">
        <f t="shared" si="77"/>
        <v>0.05</v>
      </c>
      <c r="AI35" s="625">
        <v>0.06</v>
      </c>
      <c r="AJ35" s="646">
        <f t="shared" si="77"/>
        <v>0.06</v>
      </c>
      <c r="AK35" s="646">
        <f t="shared" si="77"/>
        <v>0.06</v>
      </c>
      <c r="AL35" s="647">
        <f t="shared" si="77"/>
        <v>0.06</v>
      </c>
      <c r="AM35" s="96"/>
      <c r="AN35" s="96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4"/>
      <c r="BC35" s="298"/>
      <c r="BD35" s="298"/>
      <c r="BE35" s="298"/>
      <c r="BF35" s="298"/>
      <c r="BG35" s="298"/>
      <c r="BH35" s="298"/>
      <c r="BI35" s="298"/>
      <c r="BJ35" s="298"/>
      <c r="BK35" s="298"/>
      <c r="BL35" s="298"/>
      <c r="BM35" s="298"/>
      <c r="BN35" s="298"/>
      <c r="BO35" s="298"/>
      <c r="BP35" s="298"/>
      <c r="BQ35" s="298"/>
      <c r="BR35" s="298"/>
      <c r="BS35" s="298"/>
      <c r="BT35" s="298"/>
      <c r="BU35" s="298"/>
      <c r="BV35" s="298"/>
      <c r="BW35" s="298"/>
      <c r="BX35" s="298"/>
      <c r="BY35" s="298"/>
      <c r="BZ35" s="298"/>
      <c r="CA35" s="298"/>
      <c r="CB35" s="298"/>
      <c r="CC35" s="298"/>
      <c r="CD35" s="298"/>
      <c r="CE35" s="298"/>
      <c r="CF35" s="298"/>
      <c r="CG35" s="298"/>
      <c r="CH35" s="298"/>
      <c r="CI35" s="298"/>
      <c r="CJ35" s="298"/>
      <c r="CK35" s="298"/>
      <c r="CL35" s="298"/>
      <c r="CM35" s="298"/>
      <c r="CN35" s="298"/>
    </row>
    <row r="36" spans="2:92" s="269" customFormat="1" ht="13.5" customHeight="1">
      <c r="B36" s="875"/>
      <c r="C36" s="143"/>
      <c r="D36" s="143"/>
      <c r="E36" s="143"/>
      <c r="F36" s="143"/>
      <c r="G36" s="875"/>
      <c r="H36" s="875"/>
      <c r="I36" s="875"/>
      <c r="J36" s="876"/>
      <c r="K36" s="877"/>
      <c r="L36" s="877"/>
      <c r="M36" s="877"/>
      <c r="N36" s="877"/>
      <c r="O36" s="877"/>
      <c r="P36" s="877"/>
      <c r="Q36" s="877"/>
      <c r="R36" s="877"/>
      <c r="S36" s="877"/>
      <c r="T36" s="877"/>
      <c r="U36" s="877"/>
      <c r="V36" s="877"/>
      <c r="W36" s="877"/>
      <c r="X36" s="877"/>
      <c r="Y36" s="877"/>
      <c r="Z36" s="877"/>
      <c r="AA36" s="877"/>
      <c r="AB36" s="877"/>
      <c r="AC36" s="877"/>
      <c r="AD36" s="877"/>
      <c r="AE36" s="877"/>
      <c r="AF36" s="877"/>
      <c r="AG36" s="877"/>
      <c r="AH36" s="877"/>
      <c r="AI36" s="877"/>
      <c r="AJ36" s="877"/>
      <c r="AK36" s="877"/>
      <c r="AL36" s="877"/>
      <c r="AM36" s="878"/>
      <c r="AN36" s="878"/>
      <c r="AO36" s="875"/>
      <c r="AP36" s="875"/>
      <c r="AQ36" s="875"/>
      <c r="AR36" s="875"/>
      <c r="AS36" s="875"/>
      <c r="AT36" s="875"/>
      <c r="AU36" s="875"/>
      <c r="AV36" s="875"/>
      <c r="AW36" s="875"/>
      <c r="AX36" s="875"/>
      <c r="AY36" s="875"/>
      <c r="AZ36" s="875"/>
      <c r="BA36" s="875"/>
      <c r="BB36" s="875"/>
      <c r="BC36" s="879"/>
      <c r="BD36" s="879"/>
      <c r="BE36" s="879"/>
      <c r="BF36" s="879"/>
      <c r="BG36" s="879"/>
      <c r="BH36" s="879"/>
      <c r="BI36" s="879"/>
      <c r="BJ36" s="879"/>
      <c r="BK36" s="879"/>
      <c r="BL36" s="879"/>
      <c r="BM36" s="879"/>
      <c r="BN36" s="879"/>
      <c r="BO36" s="879"/>
      <c r="BP36" s="879"/>
      <c r="BQ36" s="879"/>
      <c r="BR36" s="879"/>
      <c r="BS36" s="879"/>
      <c r="BT36" s="879"/>
      <c r="BU36" s="879"/>
      <c r="BV36" s="879"/>
      <c r="BW36" s="879"/>
      <c r="BX36" s="879"/>
      <c r="BY36" s="879"/>
      <c r="BZ36" s="879"/>
      <c r="CA36" s="879"/>
      <c r="CB36" s="879"/>
      <c r="CC36" s="879"/>
      <c r="CD36" s="879"/>
      <c r="CE36" s="879"/>
      <c r="CF36" s="879"/>
      <c r="CG36" s="879"/>
      <c r="CH36" s="879"/>
      <c r="CI36" s="879"/>
      <c r="CJ36" s="879"/>
      <c r="CK36" s="879"/>
      <c r="CL36" s="879"/>
      <c r="CM36" s="879"/>
      <c r="CN36" s="879"/>
    </row>
    <row r="37" spans="2:92" s="269" customFormat="1" ht="13.5" customHeight="1">
      <c r="I37" s="880"/>
      <c r="J37" s="876"/>
      <c r="K37" s="877"/>
      <c r="L37" s="877"/>
      <c r="M37" s="877"/>
      <c r="N37" s="877"/>
      <c r="O37" s="877"/>
      <c r="P37" s="877"/>
      <c r="Q37" s="877"/>
      <c r="R37" s="877"/>
      <c r="S37" s="877"/>
      <c r="T37" s="877"/>
      <c r="U37" s="877"/>
      <c r="V37" s="877"/>
      <c r="W37" s="877"/>
      <c r="X37" s="877"/>
      <c r="Y37" s="877"/>
      <c r="Z37" s="877"/>
      <c r="AA37" s="877"/>
      <c r="AB37" s="877"/>
      <c r="AC37" s="877"/>
      <c r="AD37" s="877"/>
      <c r="AE37" s="877"/>
      <c r="AF37" s="877"/>
      <c r="AG37" s="877"/>
      <c r="AH37" s="877"/>
      <c r="AI37" s="877"/>
      <c r="AJ37" s="877"/>
      <c r="AK37" s="877"/>
      <c r="AL37" s="877"/>
      <c r="AM37" s="878"/>
      <c r="AN37" s="878"/>
      <c r="AO37" s="875"/>
      <c r="AP37" s="875"/>
      <c r="AQ37" s="875"/>
      <c r="AR37" s="875"/>
      <c r="AS37" s="875"/>
      <c r="AT37" s="875"/>
      <c r="AU37" s="875"/>
      <c r="AV37" s="875"/>
      <c r="AW37" s="875"/>
      <c r="AX37" s="875"/>
      <c r="AY37" s="875"/>
      <c r="AZ37" s="875"/>
      <c r="BA37" s="875"/>
      <c r="BB37" s="875"/>
      <c r="BC37" s="879"/>
      <c r="BD37" s="879"/>
      <c r="BE37" s="879"/>
      <c r="BF37" s="879"/>
      <c r="BG37" s="879"/>
      <c r="BH37" s="879"/>
      <c r="BI37" s="879"/>
      <c r="BJ37" s="879"/>
      <c r="BK37" s="879"/>
      <c r="BL37" s="879"/>
      <c r="BM37" s="879"/>
      <c r="BN37" s="879"/>
      <c r="BO37" s="879"/>
      <c r="BP37" s="879"/>
      <c r="BQ37" s="879"/>
      <c r="BR37" s="879"/>
      <c r="BS37" s="879"/>
      <c r="BT37" s="879"/>
      <c r="BU37" s="879"/>
      <c r="BV37" s="879"/>
      <c r="BW37" s="879"/>
      <c r="BX37" s="879"/>
      <c r="BY37" s="879"/>
      <c r="BZ37" s="879"/>
      <c r="CA37" s="879"/>
      <c r="CB37" s="879"/>
      <c r="CC37" s="879"/>
      <c r="CD37" s="879"/>
      <c r="CE37" s="879"/>
      <c r="CF37" s="879"/>
      <c r="CG37" s="879"/>
      <c r="CH37" s="879"/>
      <c r="CI37" s="879"/>
      <c r="CJ37" s="879"/>
      <c r="CK37" s="879"/>
      <c r="CL37" s="879"/>
      <c r="CM37" s="879"/>
      <c r="CN37" s="879"/>
    </row>
    <row r="38" spans="2:92" ht="13.5" customHeight="1">
      <c r="I38" s="8"/>
      <c r="J38" s="2"/>
      <c r="K38" s="101"/>
      <c r="L38" s="101"/>
      <c r="M38" s="101"/>
      <c r="N38" s="101"/>
      <c r="O38" s="101"/>
      <c r="P38" s="101"/>
      <c r="Q38" s="101"/>
      <c r="R38" s="101"/>
      <c r="S38" s="101"/>
      <c r="T38" s="101"/>
      <c r="U38" s="101"/>
      <c r="V38" s="101"/>
      <c r="W38" s="101"/>
      <c r="X38" s="101"/>
      <c r="Y38" s="101"/>
      <c r="Z38" s="101"/>
      <c r="AA38" s="101"/>
      <c r="AB38" s="101"/>
      <c r="AC38" s="101"/>
      <c r="AD38" s="101"/>
      <c r="AE38" s="101"/>
      <c r="AF38" s="101"/>
      <c r="AG38" s="101"/>
      <c r="AH38" s="101"/>
      <c r="AI38" s="101"/>
      <c r="AJ38" s="101"/>
      <c r="AK38" s="101"/>
      <c r="AL38" s="101"/>
      <c r="AM38" s="101"/>
      <c r="AN38" s="102"/>
    </row>
    <row r="39" spans="2:92" ht="13.5" customHeight="1">
      <c r="I39" s="8"/>
      <c r="J39" s="2"/>
      <c r="K39" s="101"/>
      <c r="L39" s="101"/>
      <c r="M39" s="101"/>
      <c r="N39" s="101"/>
      <c r="O39" s="101"/>
      <c r="P39" s="101"/>
      <c r="Q39" s="101"/>
      <c r="R39" s="101"/>
      <c r="S39" s="101"/>
      <c r="T39" s="101"/>
      <c r="U39" s="101"/>
      <c r="V39" s="101"/>
      <c r="W39" s="101"/>
      <c r="X39" s="101"/>
      <c r="Y39" s="101"/>
      <c r="Z39" s="101"/>
      <c r="AA39" s="101"/>
      <c r="AB39" s="101"/>
      <c r="AC39" s="101"/>
      <c r="AD39" s="101"/>
      <c r="AE39" s="101"/>
      <c r="AF39" s="101"/>
      <c r="AG39" s="101"/>
      <c r="AH39" s="101"/>
      <c r="AI39" s="101"/>
      <c r="AJ39" s="101"/>
      <c r="AK39" s="101"/>
      <c r="AL39" s="101"/>
      <c r="AM39" s="101"/>
      <c r="AN39" s="102"/>
    </row>
    <row r="40" spans="2:92" ht="13.5" customHeight="1">
      <c r="I40" s="8"/>
      <c r="J40" s="2"/>
      <c r="K40" s="101"/>
      <c r="L40" s="101"/>
      <c r="M40" s="101"/>
      <c r="N40" s="101"/>
      <c r="O40" s="101"/>
      <c r="P40" s="101"/>
      <c r="Q40" s="101"/>
      <c r="R40" s="101"/>
      <c r="S40" s="101"/>
      <c r="T40" s="101"/>
      <c r="U40" s="101"/>
      <c r="V40" s="101"/>
      <c r="W40" s="101"/>
      <c r="X40" s="101"/>
      <c r="Y40" s="101"/>
      <c r="Z40" s="101"/>
      <c r="AA40" s="101"/>
      <c r="AB40" s="101"/>
      <c r="AC40" s="101"/>
      <c r="AD40" s="101"/>
      <c r="AE40" s="101"/>
      <c r="AF40" s="101"/>
      <c r="AG40" s="101"/>
      <c r="AH40" s="101"/>
      <c r="AI40" s="101"/>
      <c r="AJ40" s="101"/>
      <c r="AK40" s="101"/>
      <c r="AL40" s="101"/>
      <c r="AM40" s="101"/>
      <c r="AN40" s="102"/>
    </row>
    <row r="41" spans="2:92" ht="13.5" customHeight="1">
      <c r="I41" s="8"/>
      <c r="J41" s="2"/>
      <c r="K41" s="101"/>
      <c r="L41" s="101"/>
      <c r="M41" s="101"/>
      <c r="N41" s="101"/>
      <c r="O41" s="101"/>
      <c r="P41" s="101"/>
      <c r="Q41" s="101"/>
      <c r="R41" s="101"/>
      <c r="S41" s="101"/>
      <c r="T41" s="101"/>
      <c r="U41" s="101"/>
      <c r="V41" s="101"/>
      <c r="W41" s="101"/>
      <c r="X41" s="101"/>
      <c r="Y41" s="101"/>
      <c r="Z41" s="101"/>
      <c r="AA41" s="101"/>
      <c r="AB41" s="101"/>
      <c r="AC41" s="101"/>
      <c r="AD41" s="101"/>
      <c r="AE41" s="101"/>
      <c r="AF41" s="101"/>
      <c r="AG41" s="101"/>
      <c r="AH41" s="101"/>
      <c r="AI41" s="101"/>
      <c r="AJ41" s="101"/>
      <c r="AK41" s="101"/>
      <c r="AL41" s="101"/>
      <c r="AM41" s="101"/>
      <c r="AN41" s="102"/>
    </row>
    <row r="42" spans="2:92" ht="13.5" customHeight="1">
      <c r="I42" s="8"/>
      <c r="J42" s="2"/>
      <c r="K42" s="101"/>
      <c r="L42" s="101"/>
      <c r="M42" s="101"/>
      <c r="N42" s="101"/>
      <c r="O42" s="101"/>
      <c r="P42" s="101"/>
      <c r="Q42" s="101"/>
      <c r="R42" s="101"/>
      <c r="S42" s="101"/>
      <c r="T42" s="101"/>
      <c r="U42" s="101"/>
      <c r="V42" s="101"/>
      <c r="W42" s="101"/>
      <c r="X42" s="101"/>
      <c r="Y42" s="101"/>
      <c r="Z42" s="101"/>
      <c r="AA42" s="101"/>
      <c r="AB42" s="101"/>
      <c r="AC42" s="101"/>
      <c r="AD42" s="101"/>
      <c r="AE42" s="101"/>
      <c r="AF42" s="101"/>
      <c r="AG42" s="101"/>
      <c r="AH42" s="101"/>
      <c r="AI42" s="101"/>
      <c r="AJ42" s="101"/>
      <c r="AK42" s="101"/>
      <c r="AL42" s="101"/>
      <c r="AM42" s="101"/>
      <c r="AN42" s="102"/>
    </row>
    <row r="43" spans="2:92" ht="13.5" customHeight="1">
      <c r="I43" s="8"/>
      <c r="J43" s="2"/>
      <c r="K43" s="101"/>
      <c r="L43" s="101"/>
      <c r="M43" s="101"/>
      <c r="N43" s="101"/>
      <c r="O43" s="101"/>
      <c r="P43" s="101"/>
      <c r="Q43" s="101"/>
      <c r="R43" s="101"/>
      <c r="S43" s="101"/>
      <c r="T43" s="101"/>
      <c r="U43" s="101"/>
      <c r="V43" s="101"/>
      <c r="W43" s="101"/>
      <c r="X43" s="101"/>
      <c r="Y43" s="101"/>
      <c r="Z43" s="101"/>
      <c r="AA43" s="101"/>
      <c r="AB43" s="101"/>
      <c r="AC43" s="101"/>
      <c r="AD43" s="101"/>
      <c r="AE43" s="101"/>
      <c r="AF43" s="101"/>
      <c r="AG43" s="101"/>
      <c r="AH43" s="101"/>
      <c r="AI43" s="101"/>
      <c r="AJ43" s="101"/>
      <c r="AK43" s="101"/>
      <c r="AL43" s="101"/>
      <c r="AM43" s="101"/>
      <c r="AN43" s="102"/>
    </row>
    <row r="44" spans="2:92" ht="13.5" customHeight="1">
      <c r="I44" s="8"/>
      <c r="J44" s="2"/>
      <c r="K44" s="101"/>
      <c r="L44" s="101"/>
      <c r="M44" s="101"/>
      <c r="N44" s="101"/>
      <c r="O44" s="101"/>
      <c r="P44" s="101"/>
      <c r="Q44" s="101"/>
      <c r="R44" s="101"/>
      <c r="S44" s="101"/>
      <c r="T44" s="101"/>
      <c r="U44" s="101"/>
      <c r="V44" s="101"/>
      <c r="W44" s="101"/>
      <c r="X44" s="101"/>
      <c r="Y44" s="101"/>
      <c r="Z44" s="101"/>
      <c r="AA44" s="101"/>
      <c r="AB44" s="101"/>
      <c r="AC44" s="101"/>
      <c r="AD44" s="101"/>
      <c r="AE44" s="101"/>
      <c r="AF44" s="101"/>
      <c r="AG44" s="101"/>
      <c r="AH44" s="101"/>
      <c r="AI44" s="101"/>
      <c r="AJ44" s="101"/>
      <c r="AK44" s="101"/>
      <c r="AL44" s="101"/>
      <c r="AM44" s="101"/>
      <c r="AN44" s="102"/>
    </row>
    <row r="45" spans="2:92" ht="13.5" customHeight="1">
      <c r="I45" s="8"/>
      <c r="J45" s="2"/>
      <c r="K45" s="101"/>
      <c r="L45" s="101"/>
      <c r="M45" s="101"/>
      <c r="N45" s="101"/>
      <c r="O45" s="101"/>
      <c r="P45" s="101"/>
      <c r="Q45" s="101"/>
      <c r="R45" s="101"/>
      <c r="S45" s="101"/>
      <c r="T45" s="101"/>
      <c r="U45" s="101"/>
      <c r="V45" s="101"/>
      <c r="W45" s="101"/>
      <c r="X45" s="101"/>
      <c r="Y45" s="101"/>
      <c r="Z45" s="101"/>
      <c r="AA45" s="101"/>
      <c r="AB45" s="101"/>
      <c r="AC45" s="101"/>
      <c r="AD45" s="101"/>
      <c r="AE45" s="101"/>
      <c r="AF45" s="101"/>
      <c r="AG45" s="101"/>
      <c r="AH45" s="101"/>
      <c r="AI45" s="101"/>
      <c r="AJ45" s="101"/>
      <c r="AK45" s="101"/>
      <c r="AL45" s="101"/>
      <c r="AM45" s="101"/>
      <c r="AN45" s="102"/>
    </row>
    <row r="46" spans="2:92" ht="13.5" customHeight="1">
      <c r="I46" s="8"/>
      <c r="J46" s="2"/>
      <c r="K46" s="101"/>
      <c r="L46" s="101"/>
      <c r="M46" s="101"/>
      <c r="N46" s="101"/>
      <c r="O46" s="101"/>
      <c r="P46" s="101"/>
      <c r="Q46" s="101"/>
      <c r="R46" s="101"/>
      <c r="S46" s="101"/>
      <c r="T46" s="101"/>
      <c r="U46" s="101"/>
      <c r="V46" s="101"/>
      <c r="W46" s="101"/>
      <c r="X46" s="101"/>
      <c r="Y46" s="101"/>
      <c r="Z46" s="101"/>
      <c r="AA46" s="101"/>
      <c r="AB46" s="101"/>
      <c r="AC46" s="101"/>
      <c r="AD46" s="101"/>
      <c r="AE46" s="101"/>
      <c r="AF46" s="101"/>
      <c r="AG46" s="101"/>
      <c r="AH46" s="101"/>
      <c r="AI46" s="101"/>
      <c r="AJ46" s="101"/>
      <c r="AK46" s="101"/>
      <c r="AL46" s="101"/>
      <c r="AM46" s="101"/>
      <c r="AN46" s="102"/>
    </row>
    <row r="47" spans="2:92" ht="13.5" customHeight="1">
      <c r="I47" s="8"/>
      <c r="J47" s="2"/>
      <c r="K47" s="101"/>
      <c r="L47" s="101"/>
      <c r="M47" s="101"/>
      <c r="N47" s="101"/>
      <c r="O47" s="101"/>
      <c r="P47" s="101"/>
      <c r="Q47" s="101"/>
      <c r="R47" s="101"/>
      <c r="S47" s="101"/>
      <c r="T47" s="101"/>
      <c r="U47" s="101"/>
      <c r="V47" s="101"/>
      <c r="W47" s="101"/>
      <c r="X47" s="101"/>
      <c r="Y47" s="101"/>
      <c r="Z47" s="101"/>
      <c r="AA47" s="101"/>
      <c r="AB47" s="101"/>
      <c r="AC47" s="101"/>
      <c r="AD47" s="101"/>
      <c r="AE47" s="101"/>
      <c r="AF47" s="101"/>
      <c r="AG47" s="101"/>
      <c r="AH47" s="101"/>
      <c r="AI47" s="101"/>
      <c r="AJ47" s="101"/>
      <c r="AK47" s="101"/>
      <c r="AL47" s="101"/>
      <c r="AM47" s="101"/>
      <c r="AN47" s="102"/>
    </row>
    <row r="48" spans="2:92" ht="13.5" customHeight="1">
      <c r="I48" s="8"/>
      <c r="J48" s="2"/>
      <c r="K48" s="101"/>
      <c r="L48" s="101"/>
      <c r="M48" s="101"/>
      <c r="N48" s="101"/>
      <c r="O48" s="101"/>
      <c r="P48" s="101"/>
      <c r="Q48" s="101"/>
      <c r="R48" s="101"/>
      <c r="S48" s="101"/>
      <c r="T48" s="101"/>
      <c r="U48" s="101"/>
      <c r="V48" s="101"/>
      <c r="W48" s="101"/>
      <c r="X48" s="101"/>
      <c r="Y48" s="101"/>
      <c r="Z48" s="101"/>
      <c r="AA48" s="101"/>
      <c r="AB48" s="101"/>
      <c r="AC48" s="101"/>
      <c r="AD48" s="101"/>
      <c r="AE48" s="101"/>
      <c r="AF48" s="101"/>
      <c r="AG48" s="101"/>
      <c r="AH48" s="101"/>
      <c r="AI48" s="101"/>
      <c r="AJ48" s="101"/>
      <c r="AK48" s="101"/>
      <c r="AL48" s="101"/>
      <c r="AM48" s="101"/>
      <c r="AN48" s="102"/>
    </row>
    <row r="49" spans="2:39" ht="13.5" customHeight="1">
      <c r="J49" s="2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</row>
    <row r="50" spans="2:39" ht="13.5" customHeight="1">
      <c r="J50" s="2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</row>
    <row r="51" spans="2:39" ht="13.5" customHeight="1">
      <c r="J51" s="2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</row>
    <row r="52" spans="2:39" ht="13.5" customHeight="1">
      <c r="J52" s="2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</row>
    <row r="53" spans="2:39" ht="13.5" customHeight="1"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</row>
    <row r="54" spans="2:39" ht="13.5" customHeight="1"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</row>
    <row r="60" spans="2:39" ht="13.5" customHeight="1">
      <c r="B60" s="3"/>
    </row>
    <row r="61" spans="2:39" ht="13.5" customHeight="1">
      <c r="B61" s="3"/>
    </row>
    <row r="62" spans="2:39" ht="13.5" customHeight="1">
      <c r="B62" s="3"/>
    </row>
    <row r="63" spans="2:39" ht="13.5" customHeight="1">
      <c r="B63" s="3"/>
    </row>
    <row r="64" spans="2:39" ht="13.5" customHeight="1">
      <c r="B64" s="3"/>
    </row>
    <row r="65" spans="2:2" ht="13.5" customHeight="1">
      <c r="B65" s="3"/>
    </row>
    <row r="66" spans="2:2" ht="13.5" customHeight="1">
      <c r="B66" s="3"/>
    </row>
    <row r="67" spans="2:2" ht="13.5" customHeight="1">
      <c r="B67" s="3"/>
    </row>
    <row r="68" spans="2:2" ht="13.5" customHeight="1">
      <c r="B68" s="3"/>
    </row>
    <row r="69" spans="2:2" ht="13.5" customHeight="1">
      <c r="B69" s="3"/>
    </row>
    <row r="70" spans="2:2" ht="13.5" customHeight="1">
      <c r="B70" s="3"/>
    </row>
    <row r="71" spans="2:2" ht="13.5" customHeight="1">
      <c r="B71" s="3"/>
    </row>
    <row r="72" spans="2:2" ht="13.5" customHeight="1">
      <c r="B72" s="3"/>
    </row>
    <row r="73" spans="2:2" ht="13.5" customHeight="1">
      <c r="B73" s="3"/>
    </row>
    <row r="74" spans="2:2" ht="13.5" customHeight="1">
      <c r="B74" s="3"/>
    </row>
    <row r="75" spans="2:2" ht="13.5" customHeight="1">
      <c r="B75" s="3"/>
    </row>
    <row r="76" spans="2:2" ht="13.5" customHeight="1">
      <c r="B76" s="3"/>
    </row>
    <row r="77" spans="2:2" ht="13.5" customHeight="1">
      <c r="B77" s="3"/>
    </row>
    <row r="78" spans="2:2" ht="13.5" customHeight="1">
      <c r="B78" s="3"/>
    </row>
    <row r="79" spans="2:2" ht="13.5" customHeight="1">
      <c r="B79" s="3"/>
    </row>
    <row r="80" spans="2:2" ht="13.5" customHeight="1">
      <c r="B80" s="3"/>
    </row>
    <row r="81" spans="2:2" ht="13.5" customHeight="1">
      <c r="B81" s="3"/>
    </row>
    <row r="82" spans="2:2" ht="13.5" customHeight="1">
      <c r="B82" s="3"/>
    </row>
    <row r="83" spans="2:2" ht="13.5" customHeight="1">
      <c r="B83" s="3"/>
    </row>
    <row r="84" spans="2:2" ht="13.5" customHeight="1">
      <c r="B84" s="3"/>
    </row>
    <row r="85" spans="2:2" ht="13.5" customHeight="1">
      <c r="B85" s="3"/>
    </row>
    <row r="86" spans="2:2" ht="13.5" customHeight="1">
      <c r="B86" s="3"/>
    </row>
    <row r="87" spans="2:2" ht="13.5" customHeight="1">
      <c r="B87" s="3"/>
    </row>
    <row r="88" spans="2:2" ht="13.5" customHeight="1">
      <c r="B88" s="3"/>
    </row>
    <row r="89" spans="2:2" ht="13.5" customHeight="1">
      <c r="B89" s="3"/>
    </row>
    <row r="90" spans="2:2" ht="13.5" customHeight="1">
      <c r="B90" s="3"/>
    </row>
    <row r="91" spans="2:2" ht="13.5" customHeight="1">
      <c r="B91" s="3"/>
    </row>
    <row r="92" spans="2:2" ht="13.5" customHeight="1">
      <c r="B92" s="3"/>
    </row>
    <row r="93" spans="2:2" ht="13.5" customHeight="1">
      <c r="B93" s="3"/>
    </row>
    <row r="94" spans="2:2" ht="13.5" customHeight="1">
      <c r="B94" s="3"/>
    </row>
    <row r="95" spans="2:2" ht="13.5" customHeight="1">
      <c r="B95" s="3"/>
    </row>
    <row r="96" spans="2:2" ht="13.5" customHeight="1">
      <c r="B96" s="3"/>
    </row>
    <row r="97" spans="2:2" ht="13.5" customHeight="1">
      <c r="B97" s="3"/>
    </row>
    <row r="98" spans="2:2" ht="13.5" customHeight="1">
      <c r="B98" s="3"/>
    </row>
    <row r="99" spans="2:2" ht="13.5" customHeight="1">
      <c r="B99" s="3"/>
    </row>
    <row r="100" spans="2:2" ht="13.5" customHeight="1">
      <c r="B100" s="3"/>
    </row>
    <row r="101" spans="2:2" ht="13.5" customHeight="1">
      <c r="B101" s="3"/>
    </row>
    <row r="102" spans="2:2" ht="13.5" customHeight="1">
      <c r="B102" s="3"/>
    </row>
    <row r="103" spans="2:2" ht="13.5" customHeight="1">
      <c r="B103" s="3"/>
    </row>
    <row r="104" spans="2:2" ht="13.5" customHeight="1">
      <c r="B104" s="3"/>
    </row>
    <row r="105" spans="2:2" ht="13.5" customHeight="1">
      <c r="B105" s="3"/>
    </row>
    <row r="106" spans="2:2" ht="13.5" customHeight="1">
      <c r="B106" s="3"/>
    </row>
    <row r="107" spans="2:2" ht="13.5" customHeight="1">
      <c r="B107" s="3"/>
    </row>
    <row r="108" spans="2:2" ht="13.5" customHeight="1">
      <c r="B108" s="3"/>
    </row>
    <row r="109" spans="2:2" ht="13.5" customHeight="1">
      <c r="B109" s="3"/>
    </row>
    <row r="110" spans="2:2" ht="13.5" customHeight="1">
      <c r="B110" s="3"/>
    </row>
    <row r="111" spans="2:2" ht="13.5" customHeight="1">
      <c r="B111" s="3"/>
    </row>
    <row r="112" spans="2:2" ht="13.5" customHeight="1">
      <c r="B112" s="3"/>
    </row>
    <row r="113" spans="2:2" ht="13.5" customHeight="1">
      <c r="B113" s="3"/>
    </row>
    <row r="114" spans="2:2" ht="13.5" customHeight="1">
      <c r="B114" s="3"/>
    </row>
    <row r="115" spans="2:2" ht="13.5" customHeight="1">
      <c r="B115" s="3"/>
    </row>
    <row r="116" spans="2:2" ht="13.5" customHeight="1">
      <c r="B116" s="3"/>
    </row>
    <row r="117" spans="2:2" ht="13.5" customHeight="1">
      <c r="B117" s="3"/>
    </row>
    <row r="118" spans="2:2" ht="13.5" customHeight="1">
      <c r="B118" s="3"/>
    </row>
    <row r="119" spans="2:2" ht="13.5" customHeight="1">
      <c r="B119" s="3"/>
    </row>
    <row r="120" spans="2:2" ht="13.5" customHeight="1">
      <c r="B120" s="3"/>
    </row>
    <row r="121" spans="2:2" ht="13.5" customHeight="1">
      <c r="B121" s="3"/>
    </row>
    <row r="122" spans="2:2" ht="13.5" customHeight="1">
      <c r="B122" s="3"/>
    </row>
    <row r="123" spans="2:2" ht="13.5" customHeight="1">
      <c r="B123" s="3"/>
    </row>
    <row r="124" spans="2:2" ht="13.5" customHeight="1">
      <c r="B124" s="3"/>
    </row>
    <row r="125" spans="2:2" ht="13.5" customHeight="1">
      <c r="B125" s="3"/>
    </row>
    <row r="126" spans="2:2" ht="13.5" customHeight="1">
      <c r="B126" s="3"/>
    </row>
    <row r="127" spans="2:2" ht="13.5" customHeight="1">
      <c r="B127" s="3"/>
    </row>
  </sheetData>
  <sortState xmlns:xlrd2="http://schemas.microsoft.com/office/spreadsheetml/2017/richdata2" ref="B39:DQ40">
    <sortCondition ref="B39"/>
  </sortState>
  <pageMargins left="0.7" right="0.7" top="0.75" bottom="0.75" header="0.3" footer="0.3"/>
  <pageSetup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5">
    <tabColor rgb="FF6699FF"/>
    <pageSetUpPr fitToPage="1"/>
  </sheetPr>
  <dimension ref="B1:AQ760"/>
  <sheetViews>
    <sheetView showGridLines="0" view="pageBreakPreview" zoomScaleNormal="100" zoomScaleSheetLayoutView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defaultColWidth="9.83203125" defaultRowHeight="11.25"/>
  <cols>
    <col min="1" max="1" width="5.83203125" style="14" customWidth="1"/>
    <col min="2" max="2" width="41.5" style="14" customWidth="1"/>
    <col min="3" max="5" width="11.83203125" style="243" customWidth="1"/>
    <col min="6" max="9" width="11.83203125" style="14" customWidth="1"/>
    <col min="10" max="10" width="9.83203125" style="14"/>
    <col min="11" max="18" width="9.83203125" style="111" hidden="1" customWidth="1"/>
    <col min="19" max="25" width="9.83203125" style="111" customWidth="1"/>
    <col min="26" max="38" width="9.83203125" style="14" customWidth="1"/>
    <col min="39" max="16384" width="9.83203125" style="14"/>
  </cols>
  <sheetData>
    <row r="1" spans="2:39" ht="13.5" customHeight="1">
      <c r="K1" s="30">
        <v>40633</v>
      </c>
      <c r="L1" s="30">
        <f t="shared" ref="L1:AL1" si="0">EOMONTH(K1,3)</f>
        <v>40724</v>
      </c>
      <c r="M1" s="30">
        <f t="shared" si="0"/>
        <v>40816</v>
      </c>
      <c r="N1" s="30">
        <f t="shared" si="0"/>
        <v>40908</v>
      </c>
      <c r="O1" s="30">
        <f t="shared" si="0"/>
        <v>40999</v>
      </c>
      <c r="P1" s="30">
        <f t="shared" si="0"/>
        <v>41090</v>
      </c>
      <c r="Q1" s="30">
        <f t="shared" si="0"/>
        <v>41182</v>
      </c>
      <c r="R1" s="30">
        <f t="shared" si="0"/>
        <v>41274</v>
      </c>
      <c r="S1" s="30">
        <f t="shared" si="0"/>
        <v>41364</v>
      </c>
      <c r="T1" s="30">
        <f t="shared" si="0"/>
        <v>41455</v>
      </c>
      <c r="U1" s="30">
        <f t="shared" si="0"/>
        <v>41547</v>
      </c>
      <c r="V1" s="30">
        <f t="shared" si="0"/>
        <v>41639</v>
      </c>
      <c r="W1" s="30">
        <f t="shared" si="0"/>
        <v>41729</v>
      </c>
      <c r="X1" s="30">
        <f t="shared" si="0"/>
        <v>41820</v>
      </c>
      <c r="Y1" s="30">
        <f t="shared" si="0"/>
        <v>41912</v>
      </c>
      <c r="Z1" s="30">
        <f t="shared" si="0"/>
        <v>42004</v>
      </c>
      <c r="AA1" s="30">
        <f t="shared" si="0"/>
        <v>42094</v>
      </c>
      <c r="AB1" s="30">
        <f t="shared" si="0"/>
        <v>42185</v>
      </c>
      <c r="AC1" s="30">
        <f t="shared" si="0"/>
        <v>42277</v>
      </c>
      <c r="AD1" s="30">
        <f t="shared" si="0"/>
        <v>42369</v>
      </c>
      <c r="AE1" s="30">
        <f t="shared" si="0"/>
        <v>42460</v>
      </c>
      <c r="AF1" s="30">
        <f t="shared" si="0"/>
        <v>42551</v>
      </c>
      <c r="AG1" s="30">
        <f t="shared" si="0"/>
        <v>42643</v>
      </c>
      <c r="AH1" s="30">
        <f t="shared" si="0"/>
        <v>42735</v>
      </c>
      <c r="AI1" s="30">
        <f t="shared" si="0"/>
        <v>42825</v>
      </c>
      <c r="AJ1" s="30">
        <f t="shared" si="0"/>
        <v>42916</v>
      </c>
      <c r="AK1" s="30">
        <f t="shared" si="0"/>
        <v>43008</v>
      </c>
      <c r="AL1" s="30">
        <f t="shared" si="0"/>
        <v>43100</v>
      </c>
    </row>
    <row r="2" spans="2:39" ht="13.5" customHeight="1">
      <c r="B2" s="219" t="str">
        <f>Debt!B2</f>
        <v>Mondelez International, Inc. (MDLZ)</v>
      </c>
      <c r="E2" s="247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</row>
    <row r="3" spans="2:39" ht="13.5" customHeight="1">
      <c r="B3" s="8" t="s">
        <v>130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</row>
    <row r="4" spans="2:39" ht="13.5" customHeight="1">
      <c r="B4" s="8" t="s">
        <v>8</v>
      </c>
      <c r="H4" s="317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</row>
    <row r="5" spans="2:39" ht="13.5" customHeight="1">
      <c r="C5" s="5" t="s">
        <v>11</v>
      </c>
      <c r="D5" s="4"/>
      <c r="E5" s="4"/>
      <c r="F5" s="4"/>
      <c r="G5" s="4"/>
      <c r="H5" s="4"/>
      <c r="I5" s="4"/>
      <c r="K5" s="29">
        <v>2011</v>
      </c>
      <c r="L5" s="27"/>
      <c r="M5" s="27"/>
      <c r="N5" s="28"/>
      <c r="O5" s="29">
        <f>K5+1</f>
        <v>2012</v>
      </c>
      <c r="P5" s="27"/>
      <c r="Q5" s="27"/>
      <c r="R5" s="28"/>
      <c r="S5" s="29">
        <f>O5+1</f>
        <v>2013</v>
      </c>
      <c r="T5" s="27"/>
      <c r="U5" s="27"/>
      <c r="V5" s="28"/>
      <c r="W5" s="29">
        <f>S5+1</f>
        <v>2014</v>
      </c>
      <c r="X5" s="27"/>
      <c r="Y5" s="27"/>
      <c r="Z5" s="28"/>
      <c r="AA5" s="29">
        <f>W5+1</f>
        <v>2015</v>
      </c>
      <c r="AB5" s="27"/>
      <c r="AC5" s="27"/>
      <c r="AD5" s="28"/>
      <c r="AE5" s="29">
        <f>AA5+1</f>
        <v>2016</v>
      </c>
      <c r="AF5" s="27"/>
      <c r="AG5" s="27"/>
      <c r="AH5" s="28"/>
      <c r="AI5" s="29">
        <f>AE5+1</f>
        <v>2017</v>
      </c>
      <c r="AJ5" s="27"/>
      <c r="AK5" s="27"/>
      <c r="AL5" s="28"/>
    </row>
    <row r="6" spans="2:39" ht="13.5" customHeight="1" thickBot="1">
      <c r="C6" s="32">
        <v>2011</v>
      </c>
      <c r="D6" s="32">
        <f t="shared" ref="D6:I6" si="1">+C6+1</f>
        <v>2012</v>
      </c>
      <c r="E6" s="32">
        <f t="shared" si="1"/>
        <v>2013</v>
      </c>
      <c r="F6" s="32">
        <f t="shared" si="1"/>
        <v>2014</v>
      </c>
      <c r="G6" s="470">
        <f t="shared" si="1"/>
        <v>2015</v>
      </c>
      <c r="H6" s="15">
        <f t="shared" si="1"/>
        <v>2016</v>
      </c>
      <c r="I6" s="15">
        <f t="shared" si="1"/>
        <v>2017</v>
      </c>
      <c r="K6" s="465">
        <v>1</v>
      </c>
      <c r="L6" s="465">
        <f>K6+1</f>
        <v>2</v>
      </c>
      <c r="M6" s="465">
        <f>L6+1</f>
        <v>3</v>
      </c>
      <c r="N6" s="465">
        <f>M6+1</f>
        <v>4</v>
      </c>
      <c r="O6" s="465">
        <v>1</v>
      </c>
      <c r="P6" s="465">
        <f>O6+1</f>
        <v>2</v>
      </c>
      <c r="Q6" s="465">
        <f>P6+1</f>
        <v>3</v>
      </c>
      <c r="R6" s="465">
        <f>Q6+1</f>
        <v>4</v>
      </c>
      <c r="S6" s="465">
        <v>1</v>
      </c>
      <c r="T6" s="465">
        <f>S6+1</f>
        <v>2</v>
      </c>
      <c r="U6" s="465">
        <f>T6+1</f>
        <v>3</v>
      </c>
      <c r="V6" s="465">
        <f>U6+1</f>
        <v>4</v>
      </c>
      <c r="W6" s="465">
        <v>1</v>
      </c>
      <c r="X6" s="465">
        <f>W6+1</f>
        <v>2</v>
      </c>
      <c r="Y6" s="465">
        <f>X6+1</f>
        <v>3</v>
      </c>
      <c r="Z6" s="465">
        <f>Y6+1</f>
        <v>4</v>
      </c>
      <c r="AA6" s="465">
        <v>1</v>
      </c>
      <c r="AB6" s="465">
        <f>AA6+1</f>
        <v>2</v>
      </c>
      <c r="AC6" s="465">
        <f>AB6+1</f>
        <v>3</v>
      </c>
      <c r="AD6" s="465">
        <f>AC6+1</f>
        <v>4</v>
      </c>
      <c r="AE6" s="465">
        <v>1</v>
      </c>
      <c r="AF6" s="465">
        <f>AE6+1</f>
        <v>2</v>
      </c>
      <c r="AG6" s="465">
        <f>AF6+1</f>
        <v>3</v>
      </c>
      <c r="AH6" s="465">
        <f>AG6+1</f>
        <v>4</v>
      </c>
      <c r="AI6" s="465">
        <v>1</v>
      </c>
      <c r="AJ6" s="465">
        <f>AI6+1</f>
        <v>2</v>
      </c>
      <c r="AK6" s="465">
        <f>AJ6+1</f>
        <v>3</v>
      </c>
      <c r="AL6" s="465">
        <f>AK6+1</f>
        <v>4</v>
      </c>
    </row>
    <row r="7" spans="2:39" ht="13.5" customHeight="1">
      <c r="B7" s="252" t="s">
        <v>182</v>
      </c>
      <c r="C7" s="253"/>
      <c r="D7" s="253"/>
      <c r="E7" s="253"/>
      <c r="F7" s="253"/>
      <c r="G7" s="471"/>
      <c r="H7" s="254"/>
      <c r="I7" s="254"/>
      <c r="K7" s="881"/>
      <c r="L7" s="154"/>
      <c r="M7" s="882"/>
      <c r="N7" s="883"/>
      <c r="O7" s="884"/>
      <c r="P7" s="882"/>
      <c r="Q7" s="882"/>
      <c r="R7" s="883"/>
      <c r="S7" s="884"/>
      <c r="T7" s="882"/>
      <c r="U7" s="882"/>
      <c r="V7" s="883"/>
      <c r="W7" s="885"/>
      <c r="X7" s="154"/>
      <c r="Y7" s="154"/>
      <c r="Z7" s="886"/>
      <c r="AA7" s="885"/>
      <c r="AB7" s="154"/>
      <c r="AC7" s="154"/>
      <c r="AD7" s="886"/>
      <c r="AE7" s="885"/>
      <c r="AF7" s="154"/>
      <c r="AG7" s="154"/>
      <c r="AH7" s="886"/>
      <c r="AI7" s="885"/>
      <c r="AJ7" s="154"/>
      <c r="AK7" s="154"/>
      <c r="AL7" s="886"/>
      <c r="AM7" s="153"/>
    </row>
    <row r="8" spans="2:39" s="417" customFormat="1" ht="13.5" customHeight="1">
      <c r="B8" s="422" t="s">
        <v>53</v>
      </c>
      <c r="C8" s="417">
        <f>SUM(K8:N8)</f>
        <v>6833</v>
      </c>
      <c r="D8" s="417">
        <f>SUM(O8:R8)</f>
        <v>6903</v>
      </c>
      <c r="E8" s="417">
        <f>SUM(S8:V8)</f>
        <v>6991</v>
      </c>
      <c r="F8" s="417">
        <f>SUM(W8:Z8)</f>
        <v>6936</v>
      </c>
      <c r="G8" s="455">
        <f>SUM(AA8:AD8)</f>
        <v>6797.28</v>
      </c>
      <c r="H8" s="417">
        <f>SUM(AE8:AH8)</f>
        <v>6899.2391999999991</v>
      </c>
      <c r="I8" s="417">
        <f>SUM(AI8:AL8)</f>
        <v>7002.7277879999983</v>
      </c>
      <c r="K8" s="423">
        <v>1602</v>
      </c>
      <c r="L8" s="424">
        <v>1648</v>
      </c>
      <c r="M8" s="425">
        <v>1735</v>
      </c>
      <c r="N8" s="426">
        <v>1848</v>
      </c>
      <c r="O8" s="427">
        <v>1634</v>
      </c>
      <c r="P8" s="428">
        <v>1685</v>
      </c>
      <c r="Q8" s="428">
        <v>1768</v>
      </c>
      <c r="R8" s="429">
        <v>1816</v>
      </c>
      <c r="S8" s="427">
        <v>1658</v>
      </c>
      <c r="T8" s="428">
        <v>1704</v>
      </c>
      <c r="U8" s="428">
        <v>1785</v>
      </c>
      <c r="V8" s="429">
        <v>1844</v>
      </c>
      <c r="W8" s="455">
        <v>1667</v>
      </c>
      <c r="X8" s="430">
        <v>1723</v>
      </c>
      <c r="Y8" s="430">
        <v>1760</v>
      </c>
      <c r="Z8" s="439">
        <v>1786</v>
      </c>
      <c r="AA8" s="455">
        <f>W8*(1+AA9)</f>
        <v>1633.66</v>
      </c>
      <c r="AB8" s="430">
        <f>X8*(1+AB9)</f>
        <v>1688.54</v>
      </c>
      <c r="AC8" s="430">
        <f t="shared" ref="AC8:AL8" si="2">Y8*(1+AC9)</f>
        <v>1724.8</v>
      </c>
      <c r="AD8" s="439">
        <f t="shared" si="2"/>
        <v>1750.28</v>
      </c>
      <c r="AE8" s="455">
        <f t="shared" si="2"/>
        <v>1658.1649</v>
      </c>
      <c r="AF8" s="430">
        <f t="shared" si="2"/>
        <v>1713.8680999999997</v>
      </c>
      <c r="AG8" s="430">
        <f t="shared" si="2"/>
        <v>1750.6719999999998</v>
      </c>
      <c r="AH8" s="439">
        <f t="shared" si="2"/>
        <v>1776.5341999999998</v>
      </c>
      <c r="AI8" s="455">
        <f t="shared" si="2"/>
        <v>1683.0373734999998</v>
      </c>
      <c r="AJ8" s="430">
        <f t="shared" si="2"/>
        <v>1739.5761214999995</v>
      </c>
      <c r="AK8" s="430">
        <f t="shared" si="2"/>
        <v>1776.9320799999996</v>
      </c>
      <c r="AL8" s="439">
        <f t="shared" si="2"/>
        <v>1803.1822129999996</v>
      </c>
    </row>
    <row r="9" spans="2:39" s="419" customFormat="1" ht="13.5" customHeight="1">
      <c r="B9" s="431" t="s">
        <v>143</v>
      </c>
      <c r="D9" s="419">
        <f>D8/C8-1</f>
        <v>1.0244402165959343E-2</v>
      </c>
      <c r="E9" s="419">
        <f t="shared" ref="E9:I9" si="3">E8/D8-1</f>
        <v>1.2748080544690676E-2</v>
      </c>
      <c r="F9" s="419">
        <f t="shared" si="3"/>
        <v>-7.8672579030181211E-3</v>
      </c>
      <c r="G9" s="436">
        <f t="shared" si="3"/>
        <v>-2.0000000000000018E-2</v>
      </c>
      <c r="H9" s="419">
        <f t="shared" si="3"/>
        <v>1.4999999999999902E-2</v>
      </c>
      <c r="I9" s="419">
        <f t="shared" si="3"/>
        <v>1.4999999999999902E-2</v>
      </c>
      <c r="K9" s="291"/>
      <c r="L9" s="105"/>
      <c r="M9" s="93"/>
      <c r="N9" s="136"/>
      <c r="O9" s="420">
        <v>1.9975031210986316E-2</v>
      </c>
      <c r="P9" s="271">
        <v>2.2451456310679685E-2</v>
      </c>
      <c r="Q9" s="271">
        <v>1.9020172910662714E-2</v>
      </c>
      <c r="R9" s="270">
        <v>-1.7316017316017285E-2</v>
      </c>
      <c r="S9" s="420">
        <v>1.4687882496940086E-2</v>
      </c>
      <c r="T9" s="271">
        <v>1.1275964391691318E-2</v>
      </c>
      <c r="U9" s="271">
        <v>9.6153846153845812E-3</v>
      </c>
      <c r="V9" s="270">
        <v>1.5418502202643181E-2</v>
      </c>
      <c r="W9" s="436">
        <v>5.4282267792520322E-3</v>
      </c>
      <c r="X9" s="421">
        <v>1.1150234741784004E-2</v>
      </c>
      <c r="Y9" s="421">
        <v>-1.4005602240896309E-2</v>
      </c>
      <c r="Z9" s="440">
        <v>-3.1453362255965289E-2</v>
      </c>
      <c r="AA9" s="436">
        <f>SUM(AA17:AA20)</f>
        <v>-2.0000000000000004E-2</v>
      </c>
      <c r="AB9" s="421">
        <f t="shared" ref="AB9:AL9" si="4">SUM(AB17:AB20)</f>
        <v>-2.0000000000000004E-2</v>
      </c>
      <c r="AC9" s="421">
        <f t="shared" si="4"/>
        <v>-2.0000000000000004E-2</v>
      </c>
      <c r="AD9" s="440">
        <f t="shared" si="4"/>
        <v>-2.0000000000000004E-2</v>
      </c>
      <c r="AE9" s="436">
        <f t="shared" si="4"/>
        <v>1.4999999999999999E-2</v>
      </c>
      <c r="AF9" s="421">
        <f t="shared" si="4"/>
        <v>1.4999999999999999E-2</v>
      </c>
      <c r="AG9" s="421">
        <f t="shared" si="4"/>
        <v>1.4999999999999999E-2</v>
      </c>
      <c r="AH9" s="440">
        <f t="shared" si="4"/>
        <v>1.4999999999999999E-2</v>
      </c>
      <c r="AI9" s="436">
        <f t="shared" si="4"/>
        <v>1.4999999999999999E-2</v>
      </c>
      <c r="AJ9" s="421">
        <f t="shared" si="4"/>
        <v>1.4999999999999999E-2</v>
      </c>
      <c r="AK9" s="421">
        <f t="shared" si="4"/>
        <v>1.4999999999999999E-2</v>
      </c>
      <c r="AL9" s="440">
        <f t="shared" si="4"/>
        <v>1.4999999999999999E-2</v>
      </c>
    </row>
    <row r="10" spans="2:39" s="417" customFormat="1" ht="13.5" customHeight="1">
      <c r="B10" s="422" t="s">
        <v>83</v>
      </c>
      <c r="C10" s="417">
        <f>SUM(K10:N10)</f>
        <v>937</v>
      </c>
      <c r="D10" s="417">
        <f>SUM(O10:R10)</f>
        <v>962</v>
      </c>
      <c r="E10" s="417">
        <f>SUM(S10:V10)</f>
        <v>1049</v>
      </c>
      <c r="F10" s="417">
        <f>SUM(W10:Z10)</f>
        <v>1129</v>
      </c>
      <c r="G10" s="455">
        <f>SUM(AA10:AD10)</f>
        <v>1114.9313</v>
      </c>
      <c r="H10" s="417">
        <f>SUM(AE10:AH10)</f>
        <v>1148.6300985424996</v>
      </c>
      <c r="I10" s="417">
        <f>SUM(AI10:AL10)</f>
        <v>1189.1767410210496</v>
      </c>
      <c r="K10" s="423">
        <v>213</v>
      </c>
      <c r="L10" s="424">
        <v>221</v>
      </c>
      <c r="M10" s="425">
        <v>244</v>
      </c>
      <c r="N10" s="426">
        <v>259</v>
      </c>
      <c r="O10" s="427">
        <v>197</v>
      </c>
      <c r="P10" s="428">
        <v>227</v>
      </c>
      <c r="Q10" s="428">
        <v>275</v>
      </c>
      <c r="R10" s="429">
        <v>263</v>
      </c>
      <c r="S10" s="427">
        <v>192</v>
      </c>
      <c r="T10" s="428">
        <v>226</v>
      </c>
      <c r="U10" s="428">
        <v>301</v>
      </c>
      <c r="V10" s="429">
        <v>330</v>
      </c>
      <c r="W10" s="455">
        <v>230</v>
      </c>
      <c r="X10" s="430">
        <v>291</v>
      </c>
      <c r="Y10" s="430">
        <v>314</v>
      </c>
      <c r="Z10" s="439">
        <v>294</v>
      </c>
      <c r="AA10" s="455">
        <f>AA8*AA12</f>
        <v>226.52699999999999</v>
      </c>
      <c r="AB10" s="430">
        <f t="shared" ref="AB10:AL10" si="5">AB8*AB12</f>
        <v>286.60589999999996</v>
      </c>
      <c r="AC10" s="430">
        <f t="shared" si="5"/>
        <v>310.79719999999998</v>
      </c>
      <c r="AD10" s="439">
        <f t="shared" si="5"/>
        <v>291.00119999999998</v>
      </c>
      <c r="AE10" s="455">
        <f t="shared" si="5"/>
        <v>233.37377857499993</v>
      </c>
      <c r="AF10" s="430">
        <f t="shared" si="5"/>
        <v>295.26856332749986</v>
      </c>
      <c r="AG10" s="430">
        <f t="shared" si="5"/>
        <v>320.19104536999987</v>
      </c>
      <c r="AH10" s="439">
        <f t="shared" si="5"/>
        <v>299.79671126999995</v>
      </c>
      <c r="AI10" s="455">
        <f t="shared" si="5"/>
        <v>241.6118729586974</v>
      </c>
      <c r="AJ10" s="430">
        <f t="shared" si="5"/>
        <v>305.69154361296057</v>
      </c>
      <c r="AK10" s="430">
        <f t="shared" si="5"/>
        <v>331.49378927156084</v>
      </c>
      <c r="AL10" s="439">
        <f t="shared" si="5"/>
        <v>310.37953517783092</v>
      </c>
    </row>
    <row r="11" spans="2:39" s="419" customFormat="1" ht="13.5" customHeight="1">
      <c r="B11" s="431" t="s">
        <v>143</v>
      </c>
      <c r="D11" s="419">
        <f>D10/C10-1</f>
        <v>2.6680896478121774E-2</v>
      </c>
      <c r="E11" s="419">
        <f t="shared" ref="E11" si="6">E10/D10-1</f>
        <v>9.0436590436590469E-2</v>
      </c>
      <c r="F11" s="419">
        <f t="shared" ref="F11" si="7">F10/E10-1</f>
        <v>7.6263107721639578E-2</v>
      </c>
      <c r="G11" s="436">
        <f t="shared" ref="G11" si="8">G10/F10-1</f>
        <v>-1.2461204605845877E-2</v>
      </c>
      <c r="H11" s="419">
        <f t="shared" ref="H11" si="9">H10/G10-1</f>
        <v>3.0224999999999724E-2</v>
      </c>
      <c r="I11" s="419">
        <f t="shared" ref="I11" si="10">I10/H10-1</f>
        <v>3.5299999999999887E-2</v>
      </c>
      <c r="K11" s="291"/>
      <c r="L11" s="105"/>
      <c r="M11" s="93"/>
      <c r="N11" s="136"/>
      <c r="O11" s="420">
        <v>-7.5117370892018753E-2</v>
      </c>
      <c r="P11" s="271">
        <v>2.7149321266968229E-2</v>
      </c>
      <c r="Q11" s="271">
        <v>0.12704918032786883</v>
      </c>
      <c r="R11" s="270">
        <v>1.5444015444015413E-2</v>
      </c>
      <c r="S11" s="420">
        <v>-2.5380710659898442E-2</v>
      </c>
      <c r="T11" s="271">
        <v>-4.405286343612369E-3</v>
      </c>
      <c r="U11" s="271">
        <v>9.4545454545454488E-2</v>
      </c>
      <c r="V11" s="270">
        <v>0.25475285171102668</v>
      </c>
      <c r="W11" s="436">
        <v>0.19791666666666674</v>
      </c>
      <c r="X11" s="421">
        <v>0.28761061946902644</v>
      </c>
      <c r="Y11" s="421">
        <v>4.3189368770764069E-2</v>
      </c>
      <c r="Z11" s="440">
        <v>-0.10909090909090913</v>
      </c>
      <c r="AA11" s="436">
        <f>AA10/W10-1</f>
        <v>-1.5100000000000002E-2</v>
      </c>
      <c r="AB11" s="421">
        <f t="shared" ref="AB11:AL11" si="11">AB10/X10-1</f>
        <v>-1.5100000000000113E-2</v>
      </c>
      <c r="AC11" s="421">
        <f t="shared" si="11"/>
        <v>-1.0200000000000098E-2</v>
      </c>
      <c r="AD11" s="440">
        <f t="shared" si="11"/>
        <v>-1.0200000000000098E-2</v>
      </c>
      <c r="AE11" s="436">
        <f t="shared" si="11"/>
        <v>3.0224999999999724E-2</v>
      </c>
      <c r="AF11" s="421">
        <f t="shared" si="11"/>
        <v>3.0224999999999724E-2</v>
      </c>
      <c r="AG11" s="421">
        <f t="shared" si="11"/>
        <v>3.0224999999999724E-2</v>
      </c>
      <c r="AH11" s="440">
        <f t="shared" si="11"/>
        <v>3.0224999999999946E-2</v>
      </c>
      <c r="AI11" s="436">
        <f t="shared" si="11"/>
        <v>3.5299999999999887E-2</v>
      </c>
      <c r="AJ11" s="421">
        <f t="shared" si="11"/>
        <v>3.5299999999999887E-2</v>
      </c>
      <c r="AK11" s="421">
        <f t="shared" si="11"/>
        <v>3.5299999999999887E-2</v>
      </c>
      <c r="AL11" s="440">
        <f t="shared" si="11"/>
        <v>3.5299999999999887E-2</v>
      </c>
    </row>
    <row r="12" spans="2:39" s="418" customFormat="1" ht="13.5" customHeight="1">
      <c r="B12" s="416" t="s">
        <v>187</v>
      </c>
      <c r="C12" s="419">
        <f>C10/C8</f>
        <v>0.13712864042148398</v>
      </c>
      <c r="D12" s="419">
        <f>D10/D8</f>
        <v>0.13935969868173259</v>
      </c>
      <c r="E12" s="419">
        <f t="shared" ref="E12:I12" si="12">E10/E8</f>
        <v>0.15005006436847376</v>
      </c>
      <c r="F12" s="419">
        <f t="shared" si="12"/>
        <v>0.16277393310265281</v>
      </c>
      <c r="G12" s="436">
        <f t="shared" si="12"/>
        <v>0.16402609573241062</v>
      </c>
      <c r="H12" s="419">
        <f t="shared" si="12"/>
        <v>0.16648648716839673</v>
      </c>
      <c r="I12" s="419">
        <f t="shared" si="12"/>
        <v>0.16981621691176466</v>
      </c>
      <c r="K12" s="291">
        <v>0.13295880149812733</v>
      </c>
      <c r="L12" s="105">
        <v>0.13410194174757281</v>
      </c>
      <c r="M12" s="93">
        <v>0.14063400576368876</v>
      </c>
      <c r="N12" s="136">
        <v>0.14015151515151514</v>
      </c>
      <c r="O12" s="420">
        <v>0.12056303549571604</v>
      </c>
      <c r="P12" s="271">
        <v>0.13471810089020772</v>
      </c>
      <c r="Q12" s="271">
        <v>0.15554298642533937</v>
      </c>
      <c r="R12" s="270">
        <v>0.14482378854625549</v>
      </c>
      <c r="S12" s="420">
        <v>0.1158021712907117</v>
      </c>
      <c r="T12" s="271">
        <v>0.13262910798122066</v>
      </c>
      <c r="U12" s="271">
        <v>0.16862745098039217</v>
      </c>
      <c r="V12" s="270">
        <v>0.17895878524945771</v>
      </c>
      <c r="W12" s="436">
        <v>0.13797240551889622</v>
      </c>
      <c r="X12" s="421">
        <v>0.16889146836912361</v>
      </c>
      <c r="Y12" s="421">
        <v>0.17840909090909091</v>
      </c>
      <c r="Z12" s="440">
        <v>0.16461366181410975</v>
      </c>
      <c r="AA12" s="480">
        <f>W12*(1+AA13)</f>
        <v>0.13866226754649069</v>
      </c>
      <c r="AB12" s="481">
        <f t="shared" ref="AB12:AL12" si="13">X12*(1+AB13)</f>
        <v>0.16973592571096921</v>
      </c>
      <c r="AC12" s="481">
        <f t="shared" si="13"/>
        <v>0.18019318181818181</v>
      </c>
      <c r="AD12" s="482">
        <f t="shared" si="13"/>
        <v>0.16625979843225083</v>
      </c>
      <c r="AE12" s="480">
        <f t="shared" si="13"/>
        <v>0.14074220155968803</v>
      </c>
      <c r="AF12" s="481">
        <f t="shared" si="13"/>
        <v>0.17228196459663372</v>
      </c>
      <c r="AG12" s="481">
        <f t="shared" si="13"/>
        <v>0.1828960795454545</v>
      </c>
      <c r="AH12" s="482">
        <f t="shared" si="13"/>
        <v>0.16875369540873458</v>
      </c>
      <c r="AI12" s="480">
        <f t="shared" si="13"/>
        <v>0.14355704559088178</v>
      </c>
      <c r="AJ12" s="481">
        <f t="shared" si="13"/>
        <v>0.1757276038885664</v>
      </c>
      <c r="AK12" s="481">
        <f t="shared" si="13"/>
        <v>0.18655400113636358</v>
      </c>
      <c r="AL12" s="482">
        <f t="shared" si="13"/>
        <v>0.17212876931690929</v>
      </c>
    </row>
    <row r="13" spans="2:39" s="418" customFormat="1" ht="13.5" customHeight="1">
      <c r="B13" s="603" t="s">
        <v>243</v>
      </c>
      <c r="D13" s="419">
        <f t="shared" ref="D13:I13" si="14">D12-C12</f>
        <v>2.2310582602486084E-3</v>
      </c>
      <c r="E13" s="419">
        <f t="shared" si="14"/>
        <v>1.0690365686741171E-2</v>
      </c>
      <c r="F13" s="479">
        <f t="shared" si="14"/>
        <v>1.272386873417905E-2</v>
      </c>
      <c r="G13" s="419">
        <f t="shared" si="14"/>
        <v>1.2521626297578026E-3</v>
      </c>
      <c r="H13" s="419">
        <f t="shared" si="14"/>
        <v>2.4603914359861145E-3</v>
      </c>
      <c r="I13" s="419">
        <f t="shared" si="14"/>
        <v>3.3297297433679263E-3</v>
      </c>
      <c r="K13" s="291"/>
      <c r="L13" s="105"/>
      <c r="M13" s="93"/>
      <c r="N13" s="136"/>
      <c r="O13" s="420">
        <f>O12-K12</f>
        <v>-1.2395766002411296E-2</v>
      </c>
      <c r="P13" s="271">
        <f t="shared" ref="P13:Z13" si="15">P12-L12</f>
        <v>6.161591426349089E-4</v>
      </c>
      <c r="Q13" s="271">
        <f t="shared" si="15"/>
        <v>1.4908980661650612E-2</v>
      </c>
      <c r="R13" s="270">
        <f t="shared" si="15"/>
        <v>4.6722733947403561E-3</v>
      </c>
      <c r="S13" s="420">
        <f t="shared" si="15"/>
        <v>-4.7608642050043365E-3</v>
      </c>
      <c r="T13" s="271">
        <f t="shared" si="15"/>
        <v>-2.088992908987064E-3</v>
      </c>
      <c r="U13" s="271">
        <f t="shared" si="15"/>
        <v>1.3084464555052799E-2</v>
      </c>
      <c r="V13" s="270">
        <f t="shared" si="15"/>
        <v>3.4134996703202219E-2</v>
      </c>
      <c r="W13" s="436">
        <f t="shared" si="15"/>
        <v>2.2170234228184524E-2</v>
      </c>
      <c r="X13" s="421">
        <f t="shared" si="15"/>
        <v>3.6262360387902953E-2</v>
      </c>
      <c r="Y13" s="421">
        <f t="shared" si="15"/>
        <v>9.7816399286987377E-3</v>
      </c>
      <c r="Z13" s="440">
        <f t="shared" si="15"/>
        <v>-1.4345123435347967E-2</v>
      </c>
      <c r="AA13" s="432">
        <v>5.0000000000000001E-3</v>
      </c>
      <c r="AB13" s="432">
        <v>5.0000000000000001E-3</v>
      </c>
      <c r="AC13" s="432">
        <v>0.01</v>
      </c>
      <c r="AD13" s="442">
        <v>0.01</v>
      </c>
      <c r="AE13" s="432">
        <v>1.4999999999999999E-2</v>
      </c>
      <c r="AF13" s="432">
        <v>1.4999999999999999E-2</v>
      </c>
      <c r="AG13" s="432">
        <v>1.4999999999999999E-2</v>
      </c>
      <c r="AH13" s="442">
        <v>1.4999999999999999E-2</v>
      </c>
      <c r="AI13" s="432">
        <v>0.02</v>
      </c>
      <c r="AJ13" s="432">
        <v>0.02</v>
      </c>
      <c r="AK13" s="432">
        <v>0.02</v>
      </c>
      <c r="AL13" s="442">
        <v>0.02</v>
      </c>
    </row>
    <row r="14" spans="2:39" ht="13.5" customHeight="1">
      <c r="B14" s="252" t="s">
        <v>189</v>
      </c>
      <c r="C14" s="253"/>
      <c r="D14" s="253"/>
      <c r="E14" s="253"/>
      <c r="F14" s="253"/>
      <c r="G14" s="471"/>
      <c r="H14" s="254"/>
      <c r="I14" s="254"/>
      <c r="K14" s="386"/>
      <c r="L14" s="104"/>
      <c r="M14" s="281"/>
      <c r="N14" s="393"/>
      <c r="O14" s="394"/>
      <c r="P14" s="282"/>
      <c r="Q14" s="282"/>
      <c r="R14" s="395"/>
      <c r="S14" s="394"/>
      <c r="T14" s="282"/>
      <c r="U14" s="282"/>
      <c r="V14" s="395"/>
      <c r="W14" s="437"/>
      <c r="Z14" s="441"/>
      <c r="AA14" s="437"/>
      <c r="AB14" s="111"/>
      <c r="AC14" s="111"/>
      <c r="AD14" s="441"/>
      <c r="AE14" s="437"/>
      <c r="AF14" s="111"/>
      <c r="AG14" s="111"/>
      <c r="AH14" s="441"/>
      <c r="AI14" s="437"/>
      <c r="AJ14" s="111"/>
      <c r="AK14" s="111"/>
      <c r="AL14" s="441"/>
    </row>
    <row r="15" spans="2:39" ht="13.5" customHeight="1">
      <c r="B15" s="293" t="s">
        <v>183</v>
      </c>
      <c r="C15" s="272">
        <v>-0.01</v>
      </c>
      <c r="D15" s="272">
        <v>-1.2E-2</v>
      </c>
      <c r="E15" s="272">
        <f>SUMPRODUCT(O$8:R$8,S15:V15)/SUM(O$8:R$8)</f>
        <v>2.3482254092423587E-2</v>
      </c>
      <c r="F15" s="272">
        <f>SUMPRODUCT(S$8:V$8,W15:Z15)/SUM(S$8:V$8)</f>
        <v>6.773709054498641E-3</v>
      </c>
      <c r="G15" s="472">
        <f>SUMPRODUCT(W$8:Z$8,AA15:AD15)/SUM(W$8:Z$8)</f>
        <v>1.4999999999999999E-2</v>
      </c>
      <c r="H15" s="272">
        <f>SUMPRODUCT(AA$8:AD$8,AE15:AH15)/SUM(AA$8:AD$8)</f>
        <v>1.0000000000000002E-2</v>
      </c>
      <c r="I15" s="272">
        <f>SUMPRODUCT(AE$8:AH$8,AI15:AL15)/SUM(AE$8:AH$8)</f>
        <v>0.01</v>
      </c>
      <c r="J15" s="418"/>
      <c r="K15" s="291">
        <v>1.2999999999999999E-2</v>
      </c>
      <c r="L15" s="105">
        <v>-0.03</v>
      </c>
      <c r="M15" s="93">
        <v>-1.0999999999999999E-2</v>
      </c>
      <c r="N15" s="136">
        <v>-4.4999999999999998E-2</v>
      </c>
      <c r="O15" s="420">
        <v>-1.2999999999999999E-2</v>
      </c>
      <c r="P15" s="271">
        <v>-2.4E-2</v>
      </c>
      <c r="Q15" s="271">
        <v>-2E-3</v>
      </c>
      <c r="R15" s="270">
        <v>-0.01</v>
      </c>
      <c r="S15" s="420">
        <v>8.9999999999999993E-3</v>
      </c>
      <c r="T15" s="271">
        <v>3.2000000000000001E-2</v>
      </c>
      <c r="U15" s="271">
        <v>0.02</v>
      </c>
      <c r="V15" s="270">
        <v>3.2000000000000001E-2</v>
      </c>
      <c r="W15" s="436">
        <v>0.01</v>
      </c>
      <c r="X15" s="421">
        <v>1.6E-2</v>
      </c>
      <c r="Y15" s="421">
        <v>3.0000000000000001E-3</v>
      </c>
      <c r="Z15" s="440">
        <v>-1E-3</v>
      </c>
      <c r="AA15" s="459">
        <v>1.4999999999999999E-2</v>
      </c>
      <c r="AB15" s="432">
        <v>1.4999999999999999E-2</v>
      </c>
      <c r="AC15" s="432">
        <v>1.4999999999999999E-2</v>
      </c>
      <c r="AD15" s="442">
        <v>1.4999999999999999E-2</v>
      </c>
      <c r="AE15" s="459">
        <v>0.01</v>
      </c>
      <c r="AF15" s="432">
        <v>0.01</v>
      </c>
      <c r="AG15" s="432">
        <v>0.01</v>
      </c>
      <c r="AH15" s="442">
        <v>0.01</v>
      </c>
      <c r="AI15" s="459">
        <v>0.01</v>
      </c>
      <c r="AJ15" s="432">
        <v>0.01</v>
      </c>
      <c r="AK15" s="432">
        <v>0.01</v>
      </c>
      <c r="AL15" s="442">
        <v>0.01</v>
      </c>
    </row>
    <row r="16" spans="2:39" ht="13.5" customHeight="1">
      <c r="B16" s="294" t="s">
        <v>188</v>
      </c>
      <c r="C16" s="272">
        <v>3.5000000000000003E-2</v>
      </c>
      <c r="D16" s="272">
        <v>3.5999999999999997E-2</v>
      </c>
      <c r="E16" s="272">
        <f>SUMPRODUCT(O$8:R$8,S16:V16)/SUM(O$8:R$8)</f>
        <v>2.1151673185571488E-3</v>
      </c>
      <c r="F16" s="272">
        <f>SUMPRODUCT(S$8:V$8,W16:Z16)/SUM(S$8:V$8)</f>
        <v>1.2692032613360025E-3</v>
      </c>
      <c r="G16" s="472">
        <f>SUMPRODUCT(W$8:Z$8,AA16:AD16)/SUM(W$8:Z$8)</f>
        <v>-1.0000000000000002E-2</v>
      </c>
      <c r="H16" s="272">
        <f>SUMPRODUCT(AA$8:AD$8,AE16:AH16)/SUM(AA$8:AD$8)</f>
        <v>5.000000000000001E-3</v>
      </c>
      <c r="I16" s="272">
        <f>SUMPRODUCT(AE$8:AH$8,AI16:AL16)/SUM(AE$8:AH$8)</f>
        <v>5.0000000000000001E-3</v>
      </c>
      <c r="J16" s="418"/>
      <c r="K16" s="389">
        <v>4.0000000000000001E-3</v>
      </c>
      <c r="L16" s="43">
        <v>2.5999999999999999E-2</v>
      </c>
      <c r="M16" s="105">
        <v>0.06</v>
      </c>
      <c r="N16" s="135">
        <v>0.104</v>
      </c>
      <c r="O16" s="133">
        <v>3.5000000000000003E-2</v>
      </c>
      <c r="P16" s="105">
        <v>5.3999999999999999E-2</v>
      </c>
      <c r="Q16" s="105">
        <v>2.5000000000000001E-2</v>
      </c>
      <c r="R16" s="135">
        <v>3.2000000000000001E-2</v>
      </c>
      <c r="S16" s="133">
        <v>1.4999999999999999E-2</v>
      </c>
      <c r="T16" s="105">
        <v>-8.9999999999999993E-3</v>
      </c>
      <c r="U16" s="105">
        <v>4.0000000000000001E-3</v>
      </c>
      <c r="V16" s="135">
        <v>-1E-3</v>
      </c>
      <c r="W16" s="436">
        <v>1.4999999999999999E-2</v>
      </c>
      <c r="X16" s="421">
        <v>1.0999999999999999E-2</v>
      </c>
      <c r="Y16" s="421">
        <v>-5.0000000000000001E-3</v>
      </c>
      <c r="Z16" s="440">
        <v>-1.4E-2</v>
      </c>
      <c r="AA16" s="459">
        <v>-0.01</v>
      </c>
      <c r="AB16" s="432">
        <v>-0.01</v>
      </c>
      <c r="AC16" s="432">
        <v>-0.01</v>
      </c>
      <c r="AD16" s="442">
        <v>-0.01</v>
      </c>
      <c r="AE16" s="459">
        <v>5.0000000000000001E-3</v>
      </c>
      <c r="AF16" s="432">
        <v>5.0000000000000001E-3</v>
      </c>
      <c r="AG16" s="432">
        <v>5.0000000000000001E-3</v>
      </c>
      <c r="AH16" s="442">
        <v>5.0000000000000001E-3</v>
      </c>
      <c r="AI16" s="459">
        <v>5.0000000000000001E-3</v>
      </c>
      <c r="AJ16" s="432">
        <v>5.0000000000000001E-3</v>
      </c>
      <c r="AK16" s="432">
        <v>5.0000000000000001E-3</v>
      </c>
      <c r="AL16" s="442">
        <v>5.0000000000000001E-3</v>
      </c>
    </row>
    <row r="17" spans="2:38" ht="13.5" customHeight="1">
      <c r="B17" s="294" t="s">
        <v>184</v>
      </c>
      <c r="C17" s="272">
        <f>SUM(C15:C16)</f>
        <v>2.5000000000000001E-2</v>
      </c>
      <c r="D17" s="272">
        <f t="shared" ref="D17:I17" si="16">SUM(D15:D16)</f>
        <v>2.3999999999999997E-2</v>
      </c>
      <c r="E17" s="272">
        <f t="shared" si="16"/>
        <v>2.5597421410980738E-2</v>
      </c>
      <c r="F17" s="272">
        <f t="shared" si="16"/>
        <v>8.0429123158346442E-3</v>
      </c>
      <c r="G17" s="472">
        <f t="shared" si="16"/>
        <v>4.9999999999999975E-3</v>
      </c>
      <c r="H17" s="272">
        <f t="shared" si="16"/>
        <v>1.5000000000000003E-2</v>
      </c>
      <c r="I17" s="272">
        <f t="shared" si="16"/>
        <v>1.4999999999999999E-2</v>
      </c>
      <c r="J17" s="418"/>
      <c r="K17" s="389">
        <v>1.7000000000000001E-2</v>
      </c>
      <c r="L17" s="43">
        <v>-4.0000000000000001E-3</v>
      </c>
      <c r="M17" s="105">
        <v>4.9000000000000002E-2</v>
      </c>
      <c r="N17" s="135">
        <v>5.8999999999999997E-2</v>
      </c>
      <c r="O17" s="133">
        <v>2.2000000000000006E-2</v>
      </c>
      <c r="P17" s="105">
        <v>0.03</v>
      </c>
      <c r="Q17" s="105">
        <v>2.3E-2</v>
      </c>
      <c r="R17" s="135">
        <v>2.1999999999999999E-2</v>
      </c>
      <c r="S17" s="133">
        <v>2.4E-2</v>
      </c>
      <c r="T17" s="105">
        <v>2.3E-2</v>
      </c>
      <c r="U17" s="105">
        <v>2.4E-2</v>
      </c>
      <c r="V17" s="135">
        <v>3.1E-2</v>
      </c>
      <c r="W17" s="436">
        <v>2.5000000000000001E-2</v>
      </c>
      <c r="X17" s="421">
        <v>2.7E-2</v>
      </c>
      <c r="Y17" s="421">
        <v>-2E-3</v>
      </c>
      <c r="Z17" s="440">
        <v>-1.4999999999999999E-2</v>
      </c>
      <c r="AA17" s="460">
        <f>SUM(AA15:AA16)</f>
        <v>4.9999999999999992E-3</v>
      </c>
      <c r="AB17" s="433">
        <f t="shared" ref="AB17:AL17" si="17">SUM(AB15:AB16)</f>
        <v>4.9999999999999992E-3</v>
      </c>
      <c r="AC17" s="433">
        <f t="shared" si="17"/>
        <v>4.9999999999999992E-3</v>
      </c>
      <c r="AD17" s="443">
        <f t="shared" si="17"/>
        <v>4.9999999999999992E-3</v>
      </c>
      <c r="AE17" s="460">
        <f t="shared" si="17"/>
        <v>1.4999999999999999E-2</v>
      </c>
      <c r="AF17" s="433">
        <f t="shared" si="17"/>
        <v>1.4999999999999999E-2</v>
      </c>
      <c r="AG17" s="433">
        <f t="shared" si="17"/>
        <v>1.4999999999999999E-2</v>
      </c>
      <c r="AH17" s="443">
        <f t="shared" si="17"/>
        <v>1.4999999999999999E-2</v>
      </c>
      <c r="AI17" s="460">
        <f t="shared" si="17"/>
        <v>1.4999999999999999E-2</v>
      </c>
      <c r="AJ17" s="433">
        <f t="shared" si="17"/>
        <v>1.4999999999999999E-2</v>
      </c>
      <c r="AK17" s="433">
        <f t="shared" si="17"/>
        <v>1.4999999999999999E-2</v>
      </c>
      <c r="AL17" s="443">
        <f t="shared" si="17"/>
        <v>1.4999999999999999E-2</v>
      </c>
    </row>
    <row r="18" spans="2:38" ht="13.5" customHeight="1">
      <c r="B18" s="293" t="s">
        <v>185</v>
      </c>
      <c r="C18" s="272">
        <v>7.0000000000000001E-3</v>
      </c>
      <c r="D18" s="272">
        <v>-2E-3</v>
      </c>
      <c r="E18" s="272">
        <f>SUMPRODUCT(O$8:R$8,S18:V18)/SUM(O$8:R$8)</f>
        <v>-4.4161958568738231E-3</v>
      </c>
      <c r="F18" s="272">
        <f>SUMPRODUCT(S$8:V$8,W18:Z18)/SUM(S$8:V$8)</f>
        <v>-1.0155914747532541E-2</v>
      </c>
      <c r="G18" s="472">
        <f>SUMPRODUCT(W$8:Z$8,AA18:AD18)/SUM(W$8:Z$8)</f>
        <v>-2.5000000000000001E-2</v>
      </c>
      <c r="H18" s="272">
        <f>SUMPRODUCT(AA$8:AD$8,AE18:AH18)/SUM(AA$8:AD$8)</f>
        <v>0</v>
      </c>
      <c r="I18" s="272">
        <f>SUMPRODUCT(AE$8:AH$8,AI18:AL18)/SUM(AE$8:AH$8)</f>
        <v>0</v>
      </c>
      <c r="J18" s="418"/>
      <c r="K18" s="388">
        <v>0</v>
      </c>
      <c r="L18" s="434">
        <v>0</v>
      </c>
      <c r="M18" s="105">
        <v>0</v>
      </c>
      <c r="N18" s="135">
        <v>0</v>
      </c>
      <c r="O18" s="133">
        <v>-1E-3</v>
      </c>
      <c r="P18" s="105">
        <v>-8.0000000000000002E-3</v>
      </c>
      <c r="Q18" s="105">
        <v>-3.0000000000000001E-3</v>
      </c>
      <c r="R18" s="135">
        <v>5.0000000000000001E-3</v>
      </c>
      <c r="S18" s="133">
        <v>-1E-3</v>
      </c>
      <c r="T18" s="105">
        <v>1E-3</v>
      </c>
      <c r="U18" s="105">
        <v>-7.0000000000000001E-3</v>
      </c>
      <c r="V18" s="135">
        <v>-0.01</v>
      </c>
      <c r="W18" s="436">
        <v>-1.2062726176115802E-2</v>
      </c>
      <c r="X18" s="421">
        <v>-9.3896713615023476E-3</v>
      </c>
      <c r="Y18" s="421">
        <v>-6.7226890756302525E-3</v>
      </c>
      <c r="Z18" s="440">
        <v>-1.2472885032537961E-2</v>
      </c>
      <c r="AA18" s="459">
        <v>-2.5000000000000001E-2</v>
      </c>
      <c r="AB18" s="432">
        <v>-2.5000000000000001E-2</v>
      </c>
      <c r="AC18" s="432">
        <v>-2.5000000000000001E-2</v>
      </c>
      <c r="AD18" s="442">
        <v>-2.5000000000000001E-2</v>
      </c>
      <c r="AE18" s="459">
        <v>0</v>
      </c>
      <c r="AF18" s="432">
        <v>0</v>
      </c>
      <c r="AG18" s="432">
        <v>0</v>
      </c>
      <c r="AH18" s="442">
        <v>0</v>
      </c>
      <c r="AI18" s="459">
        <v>0</v>
      </c>
      <c r="AJ18" s="432">
        <v>0</v>
      </c>
      <c r="AK18" s="432">
        <v>0</v>
      </c>
      <c r="AL18" s="442">
        <v>0</v>
      </c>
    </row>
    <row r="19" spans="2:38" ht="13.5" customHeight="1">
      <c r="B19" s="294" t="s">
        <v>186</v>
      </c>
      <c r="C19" s="272">
        <v>1.7999999999999999E-2</v>
      </c>
      <c r="D19" s="272">
        <v>-2E-3</v>
      </c>
      <c r="E19" s="272">
        <f>SUMPRODUCT(O$8:R$8,S19:V19)/SUM(O$8:R$8)</f>
        <v>-7.9500217296827463E-3</v>
      </c>
      <c r="F19" s="272">
        <f>SUMPRODUCT(S$8:V$8,W19:Z19)/SUM(S$8:V$8)</f>
        <v>-3.3277070519239027E-3</v>
      </c>
      <c r="G19" s="472">
        <f>SUMPRODUCT(W$8:Z$8,AA19:AD19)/SUM(W$8:Z$8)</f>
        <v>0</v>
      </c>
      <c r="H19" s="272">
        <f>SUMPRODUCT(AA$8:AD$8,AE19:AH19)/SUM(AA$8:AD$8)</f>
        <v>0</v>
      </c>
      <c r="I19" s="272">
        <f>SUMPRODUCT(AE$8:AH$8,AI19:AL19)/SUM(AE$8:AH$8)</f>
        <v>0</v>
      </c>
      <c r="J19" s="418"/>
      <c r="K19" s="389">
        <v>5.459770114942529E-2</v>
      </c>
      <c r="L19" s="434">
        <v>0</v>
      </c>
      <c r="M19" s="105">
        <v>0</v>
      </c>
      <c r="N19" s="135">
        <v>0</v>
      </c>
      <c r="O19" s="133">
        <v>-1E-3</v>
      </c>
      <c r="P19" s="105">
        <v>0</v>
      </c>
      <c r="Q19" s="105">
        <v>-1E-3</v>
      </c>
      <c r="R19" s="135">
        <v>-6.0000000000000001E-3</v>
      </c>
      <c r="S19" s="133">
        <v>-8.0000000000000002E-3</v>
      </c>
      <c r="T19" s="105">
        <v>-1.0999999999999999E-2</v>
      </c>
      <c r="U19" s="105">
        <v>-7.0000000000000001E-3</v>
      </c>
      <c r="V19" s="135">
        <v>-6.0000000000000001E-3</v>
      </c>
      <c r="W19" s="436">
        <v>-8.0000000000000002E-3</v>
      </c>
      <c r="X19" s="421">
        <v>-5.8685446009389668E-3</v>
      </c>
      <c r="Y19" s="421">
        <v>0</v>
      </c>
      <c r="Z19" s="440">
        <v>0</v>
      </c>
      <c r="AA19" s="459">
        <v>0</v>
      </c>
      <c r="AB19" s="432">
        <v>0</v>
      </c>
      <c r="AC19" s="432">
        <v>0</v>
      </c>
      <c r="AD19" s="442">
        <v>0</v>
      </c>
      <c r="AE19" s="459">
        <v>0</v>
      </c>
      <c r="AF19" s="432">
        <v>0</v>
      </c>
      <c r="AG19" s="432">
        <v>0</v>
      </c>
      <c r="AH19" s="442">
        <v>0</v>
      </c>
      <c r="AI19" s="459">
        <v>0</v>
      </c>
      <c r="AJ19" s="432">
        <v>0</v>
      </c>
      <c r="AK19" s="432">
        <v>0</v>
      </c>
      <c r="AL19" s="442">
        <v>0</v>
      </c>
    </row>
    <row r="20" spans="2:38" ht="13.5" customHeight="1" thickBot="1">
      <c r="B20" s="469" t="s">
        <v>1</v>
      </c>
      <c r="C20" s="468">
        <v>1.0999999999999999E-2</v>
      </c>
      <c r="D20" s="468">
        <f>SUMPRODUCT(K8:N8,O20:R20)/SUM(K8:N8)</f>
        <v>-1.0277184252890386E-2</v>
      </c>
      <c r="E20" s="468">
        <f>SUMPRODUCT(O$8:R$8,S20:V20)/SUM(O$8:R$8)</f>
        <v>0</v>
      </c>
      <c r="F20" s="468">
        <f>SUMPRODUCT(S$8:V$8,W20:Z20)/SUM(S$8:V$8)</f>
        <v>0</v>
      </c>
      <c r="G20" s="473">
        <f>SUMPRODUCT(W$8:Z$8,AA20:AD20)/SUM(W$8:Z$8)</f>
        <v>0</v>
      </c>
      <c r="H20" s="468">
        <f>SUMPRODUCT(AA$8:AD$8,AE20:AH20)/SUM(AA$8:AD$8)</f>
        <v>0</v>
      </c>
      <c r="I20" s="468">
        <f>SUMPRODUCT(AE$8:AH$8,AI20:AL20)/SUM(AE$8:AH$8)</f>
        <v>0</v>
      </c>
      <c r="J20" s="418"/>
      <c r="K20" s="390">
        <v>0</v>
      </c>
      <c r="L20" s="449">
        <v>0</v>
      </c>
      <c r="M20" s="449">
        <v>0</v>
      </c>
      <c r="N20" s="450">
        <v>0</v>
      </c>
      <c r="O20" s="452">
        <v>0</v>
      </c>
      <c r="P20" s="449">
        <v>0</v>
      </c>
      <c r="Q20" s="449">
        <v>0</v>
      </c>
      <c r="R20" s="450">
        <v>-3.7999999999999999E-2</v>
      </c>
      <c r="S20" s="452">
        <v>0</v>
      </c>
      <c r="T20" s="449">
        <v>0</v>
      </c>
      <c r="U20" s="449">
        <v>0</v>
      </c>
      <c r="V20" s="450">
        <v>0</v>
      </c>
      <c r="W20" s="456">
        <v>0</v>
      </c>
      <c r="X20" s="457">
        <v>0</v>
      </c>
      <c r="Y20" s="457">
        <v>0</v>
      </c>
      <c r="Z20" s="458">
        <v>0</v>
      </c>
      <c r="AA20" s="461">
        <v>0</v>
      </c>
      <c r="AB20" s="438">
        <v>0</v>
      </c>
      <c r="AC20" s="438">
        <v>0</v>
      </c>
      <c r="AD20" s="444">
        <v>0</v>
      </c>
      <c r="AE20" s="461">
        <v>0</v>
      </c>
      <c r="AF20" s="438">
        <v>0</v>
      </c>
      <c r="AG20" s="438">
        <v>0</v>
      </c>
      <c r="AH20" s="444">
        <v>0</v>
      </c>
      <c r="AI20" s="461">
        <v>0</v>
      </c>
      <c r="AJ20" s="438">
        <v>0</v>
      </c>
      <c r="AK20" s="438">
        <v>0</v>
      </c>
      <c r="AL20" s="444">
        <v>0</v>
      </c>
    </row>
    <row r="21" spans="2:38" ht="13.5" customHeight="1">
      <c r="B21" s="296"/>
      <c r="C21" s="415"/>
      <c r="D21" s="415"/>
      <c r="E21" s="415"/>
      <c r="F21" s="415"/>
      <c r="G21" s="474"/>
      <c r="H21" s="415"/>
      <c r="I21" s="415"/>
      <c r="K21" s="387"/>
      <c r="L21" s="283"/>
      <c r="M21" s="283"/>
      <c r="N21" s="283"/>
      <c r="O21" s="283"/>
      <c r="P21" s="283"/>
      <c r="Q21" s="283"/>
      <c r="R21" s="283"/>
      <c r="S21" s="283"/>
      <c r="T21" s="283"/>
      <c r="U21" s="283"/>
      <c r="V21" s="283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441"/>
    </row>
    <row r="22" spans="2:38" ht="13.5" customHeight="1">
      <c r="B22" s="252" t="s">
        <v>190</v>
      </c>
      <c r="C22" s="253"/>
      <c r="D22" s="253"/>
      <c r="E22" s="253"/>
      <c r="F22" s="253"/>
      <c r="G22" s="471"/>
      <c r="H22" s="254"/>
      <c r="I22" s="254"/>
      <c r="K22" s="445"/>
      <c r="L22" s="446"/>
      <c r="M22" s="447"/>
      <c r="N22" s="448"/>
      <c r="O22" s="451"/>
      <c r="P22" s="447"/>
      <c r="Q22" s="447"/>
      <c r="R22" s="448"/>
      <c r="S22" s="451"/>
      <c r="T22" s="447"/>
      <c r="U22" s="447"/>
      <c r="V22" s="448"/>
      <c r="W22" s="453"/>
      <c r="X22" s="446"/>
      <c r="Y22" s="446"/>
      <c r="Z22" s="454"/>
      <c r="AA22" s="453"/>
      <c r="AB22" s="446"/>
      <c r="AC22" s="446"/>
      <c r="AD22" s="454"/>
      <c r="AE22" s="453"/>
      <c r="AF22" s="446"/>
      <c r="AG22" s="446"/>
      <c r="AH22" s="454"/>
      <c r="AI22" s="453"/>
      <c r="AJ22" s="446"/>
      <c r="AK22" s="446"/>
      <c r="AL22" s="454"/>
    </row>
    <row r="23" spans="2:38" ht="13.5" customHeight="1">
      <c r="B23" s="422" t="s">
        <v>53</v>
      </c>
      <c r="C23" s="417">
        <f>SUM(K23:N23)</f>
        <v>5403</v>
      </c>
      <c r="D23" s="417">
        <f>SUM(O23:R23)</f>
        <v>5396</v>
      </c>
      <c r="E23" s="417">
        <f>SUM(S23:V23)</f>
        <v>5382</v>
      </c>
      <c r="F23" s="417">
        <f>SUM(W23:Z23)</f>
        <v>5153</v>
      </c>
      <c r="G23" s="455">
        <f>SUM(AA23:AD23)</f>
        <v>4736.54</v>
      </c>
      <c r="H23" s="417">
        <f>SUM(AE23:AH23)</f>
        <v>5103.0413000000008</v>
      </c>
      <c r="I23" s="417">
        <f>SUM(AI23:AL23)</f>
        <v>5486.0805670000009</v>
      </c>
      <c r="J23" s="417"/>
      <c r="K23" s="423">
        <v>1256</v>
      </c>
      <c r="L23" s="424">
        <v>1415</v>
      </c>
      <c r="M23" s="425">
        <v>1379</v>
      </c>
      <c r="N23" s="426">
        <v>1353</v>
      </c>
      <c r="O23" s="427">
        <v>1370</v>
      </c>
      <c r="P23" s="428">
        <v>1340</v>
      </c>
      <c r="Q23" s="428">
        <v>1286</v>
      </c>
      <c r="R23" s="429">
        <v>1400</v>
      </c>
      <c r="S23" s="427">
        <v>1398</v>
      </c>
      <c r="T23" s="428">
        <v>1339</v>
      </c>
      <c r="U23" s="428">
        <v>1308</v>
      </c>
      <c r="V23" s="429">
        <v>1337</v>
      </c>
      <c r="W23" s="455">
        <v>1356</v>
      </c>
      <c r="X23" s="430">
        <v>1242</v>
      </c>
      <c r="Y23" s="430">
        <v>1315</v>
      </c>
      <c r="Z23" s="439">
        <v>1240</v>
      </c>
      <c r="AA23" s="455">
        <f>W23*(1+AA24)</f>
        <v>1206.8399999999999</v>
      </c>
      <c r="AB23" s="430">
        <f>X23*(1+AB24)</f>
        <v>1148.8500000000001</v>
      </c>
      <c r="AC23" s="430">
        <f t="shared" ref="AC23" si="18">Y23*(1+AC24)</f>
        <v>1196.6500000000001</v>
      </c>
      <c r="AD23" s="439">
        <f t="shared" ref="AD23" si="19">Z23*(1+AD24)</f>
        <v>1184.2</v>
      </c>
      <c r="AE23" s="455">
        <f t="shared" ref="AE23" si="20">AA23*(1+AE24)</f>
        <v>1291.3188</v>
      </c>
      <c r="AF23" s="430">
        <f t="shared" ref="AF23" si="21">AB23*(1+AF24)</f>
        <v>1252.2465000000002</v>
      </c>
      <c r="AG23" s="430">
        <f t="shared" ref="AG23" si="22">AC23*(1+AG24)</f>
        <v>1292.3820000000003</v>
      </c>
      <c r="AH23" s="439">
        <f t="shared" ref="AH23" si="23">AD23*(1+AH24)</f>
        <v>1267.0940000000001</v>
      </c>
      <c r="AI23" s="455">
        <f t="shared" ref="AI23" si="24">AE23*(1+AI24)</f>
        <v>1407.5374920000002</v>
      </c>
      <c r="AJ23" s="430">
        <f t="shared" ref="AJ23" si="25">AF23*(1+AJ24)</f>
        <v>1339.9037550000003</v>
      </c>
      <c r="AK23" s="430">
        <f t="shared" ref="AK23" si="26">AG23*(1+AK24)</f>
        <v>1382.8487400000004</v>
      </c>
      <c r="AL23" s="439">
        <f t="shared" ref="AL23" si="27">AH23*(1+AL24)</f>
        <v>1355.7905800000001</v>
      </c>
    </row>
    <row r="24" spans="2:38" s="248" customFormat="1" ht="13.5" customHeight="1">
      <c r="B24" s="431" t="s">
        <v>143</v>
      </c>
      <c r="C24" s="419"/>
      <c r="D24" s="419">
        <f>D23/C23-1</f>
        <v>-1.2955765315565415E-3</v>
      </c>
      <c r="E24" s="419">
        <f t="shared" ref="E24" si="28">E23/D23-1</f>
        <v>-2.5945144551520194E-3</v>
      </c>
      <c r="F24" s="419">
        <f t="shared" ref="F24" si="29">F23/E23-1</f>
        <v>-4.2549238201412098E-2</v>
      </c>
      <c r="G24" s="436">
        <f t="shared" ref="G24" si="30">G23/F23-1</f>
        <v>-8.0818940423054486E-2</v>
      </c>
      <c r="H24" s="419">
        <f t="shared" ref="H24" si="31">H23/G23-1</f>
        <v>7.7377431627306148E-2</v>
      </c>
      <c r="I24" s="419">
        <f t="shared" ref="I24" si="32">I23/H23-1</f>
        <v>7.5060977264675532E-2</v>
      </c>
      <c r="J24" s="419"/>
      <c r="K24" s="291"/>
      <c r="L24" s="105"/>
      <c r="M24" s="93"/>
      <c r="N24" s="136"/>
      <c r="O24" s="420">
        <f>O23/K23-1</f>
        <v>9.0764331210191118E-2</v>
      </c>
      <c r="P24" s="271">
        <f t="shared" ref="P24:Z24" si="33">P23/L23-1</f>
        <v>-5.3003533568904637E-2</v>
      </c>
      <c r="Q24" s="271">
        <f t="shared" si="33"/>
        <v>-6.7440174039158807E-2</v>
      </c>
      <c r="R24" s="270">
        <f t="shared" si="33"/>
        <v>3.4737620103473699E-2</v>
      </c>
      <c r="S24" s="420">
        <f t="shared" si="33"/>
        <v>2.0437956204379493E-2</v>
      </c>
      <c r="T24" s="271">
        <f t="shared" si="33"/>
        <v>-7.4626865671645337E-4</v>
      </c>
      <c r="U24" s="271">
        <f t="shared" si="33"/>
        <v>1.7107309486780631E-2</v>
      </c>
      <c r="V24" s="270">
        <f t="shared" si="33"/>
        <v>-4.500000000000004E-2</v>
      </c>
      <c r="W24" s="436">
        <f t="shared" si="33"/>
        <v>-3.0042918454935674E-2</v>
      </c>
      <c r="X24" s="421">
        <f t="shared" si="33"/>
        <v>-7.2442120985810265E-2</v>
      </c>
      <c r="Y24" s="421">
        <f t="shared" si="33"/>
        <v>5.3516819571866048E-3</v>
      </c>
      <c r="Z24" s="440">
        <f t="shared" si="33"/>
        <v>-7.2550486163051597E-2</v>
      </c>
      <c r="AA24" s="436">
        <f>SUM(AA32:AA35)</f>
        <v>-0.11000000000000001</v>
      </c>
      <c r="AB24" s="421">
        <f t="shared" ref="AB24:AL24" si="34">SUM(AB32:AB35)</f>
        <v>-7.4999999999999983E-2</v>
      </c>
      <c r="AC24" s="421">
        <f t="shared" si="34"/>
        <v>-0.09</v>
      </c>
      <c r="AD24" s="440">
        <f t="shared" si="34"/>
        <v>-4.4999999999999998E-2</v>
      </c>
      <c r="AE24" s="436">
        <f t="shared" si="34"/>
        <v>6.9999999999999993E-2</v>
      </c>
      <c r="AF24" s="421">
        <f t="shared" si="34"/>
        <v>0.09</v>
      </c>
      <c r="AG24" s="421">
        <f t="shared" si="34"/>
        <v>0.08</v>
      </c>
      <c r="AH24" s="440">
        <f t="shared" si="34"/>
        <v>6.9999999999999993E-2</v>
      </c>
      <c r="AI24" s="436">
        <f t="shared" si="34"/>
        <v>0.09</v>
      </c>
      <c r="AJ24" s="421">
        <f t="shared" si="34"/>
        <v>6.9999999999999993E-2</v>
      </c>
      <c r="AK24" s="421">
        <f t="shared" si="34"/>
        <v>6.9999999999999993E-2</v>
      </c>
      <c r="AL24" s="440">
        <f t="shared" si="34"/>
        <v>6.9999999999999993E-2</v>
      </c>
    </row>
    <row r="25" spans="2:38" s="251" customFormat="1" ht="13.5" customHeight="1">
      <c r="B25" s="422" t="s">
        <v>83</v>
      </c>
      <c r="C25" s="417">
        <f>SUM(K25:N25)</f>
        <v>824</v>
      </c>
      <c r="D25" s="417">
        <f>SUM(O25:R25)</f>
        <v>814</v>
      </c>
      <c r="E25" s="417">
        <f>SUM(S25:V25)</f>
        <v>678</v>
      </c>
      <c r="F25" s="417">
        <f>SUM(W25:Z25)</f>
        <v>750</v>
      </c>
      <c r="G25" s="455">
        <f>SUM(AA25:AD25)</f>
        <v>697.1395500000001</v>
      </c>
      <c r="H25" s="417">
        <f>SUM(AE25:AH25)</f>
        <v>754.01789531250006</v>
      </c>
      <c r="I25" s="417">
        <f>SUM(AI25:AL25)</f>
        <v>818.48234357431875</v>
      </c>
      <c r="J25" s="417"/>
      <c r="K25" s="423">
        <v>171</v>
      </c>
      <c r="L25" s="424">
        <v>233</v>
      </c>
      <c r="M25" s="425">
        <v>212</v>
      </c>
      <c r="N25" s="426">
        <v>208</v>
      </c>
      <c r="O25" s="427">
        <v>172</v>
      </c>
      <c r="P25" s="428">
        <v>217</v>
      </c>
      <c r="Q25" s="428">
        <v>200</v>
      </c>
      <c r="R25" s="429">
        <v>225</v>
      </c>
      <c r="S25" s="427">
        <v>150</v>
      </c>
      <c r="T25" s="428">
        <v>166</v>
      </c>
      <c r="U25" s="428">
        <v>180</v>
      </c>
      <c r="V25" s="429">
        <v>182</v>
      </c>
      <c r="W25" s="455">
        <v>187</v>
      </c>
      <c r="X25" s="430">
        <v>146</v>
      </c>
      <c r="Y25" s="430">
        <v>174</v>
      </c>
      <c r="Z25" s="439">
        <v>243</v>
      </c>
      <c r="AA25" s="455">
        <f>AA23*AA27</f>
        <v>166.42999999999998</v>
      </c>
      <c r="AB25" s="430">
        <f t="shared" ref="AB25:AL25" si="35">AB23*AB27</f>
        <v>136.40050000000002</v>
      </c>
      <c r="AC25" s="430">
        <f t="shared" si="35"/>
        <v>159.92340000000002</v>
      </c>
      <c r="AD25" s="439">
        <f t="shared" si="35"/>
        <v>234.38565</v>
      </c>
      <c r="AE25" s="455">
        <f t="shared" si="35"/>
        <v>178.97050049999999</v>
      </c>
      <c r="AF25" s="430">
        <f t="shared" si="35"/>
        <v>149.41992772500001</v>
      </c>
      <c r="AG25" s="430">
        <f t="shared" si="35"/>
        <v>173.58085836000004</v>
      </c>
      <c r="AH25" s="439">
        <f t="shared" si="35"/>
        <v>252.04660872749997</v>
      </c>
      <c r="AI25" s="455">
        <f t="shared" si="35"/>
        <v>197.02862400045001</v>
      </c>
      <c r="AJ25" s="430">
        <f t="shared" si="35"/>
        <v>161.47811589240752</v>
      </c>
      <c r="AK25" s="430">
        <f t="shared" si="35"/>
        <v>187.58883362965204</v>
      </c>
      <c r="AL25" s="439">
        <f t="shared" si="35"/>
        <v>272.38677005180921</v>
      </c>
    </row>
    <row r="26" spans="2:38" s="248" customFormat="1" ht="13.5" customHeight="1">
      <c r="B26" s="431" t="s">
        <v>143</v>
      </c>
      <c r="C26" s="419"/>
      <c r="D26" s="419">
        <f>D25/C25-1</f>
        <v>-1.2135922330097082E-2</v>
      </c>
      <c r="E26" s="419">
        <f t="shared" ref="E26" si="36">E25/D25-1</f>
        <v>-0.16707616707616713</v>
      </c>
      <c r="F26" s="419">
        <f t="shared" ref="F26" si="37">F25/E25-1</f>
        <v>0.10619469026548667</v>
      </c>
      <c r="G26" s="436">
        <f t="shared" ref="G26" si="38">G25/F25-1</f>
        <v>-7.0480599999999893E-2</v>
      </c>
      <c r="H26" s="419">
        <f t="shared" ref="H26" si="39">H25/G25-1</f>
        <v>8.1588177449550825E-2</v>
      </c>
      <c r="I26" s="419">
        <f t="shared" ref="I26" si="40">I25/H25-1</f>
        <v>8.5494586617339774E-2</v>
      </c>
      <c r="J26" s="419"/>
      <c r="K26" s="291"/>
      <c r="L26" s="105"/>
      <c r="M26" s="93"/>
      <c r="N26" s="136"/>
      <c r="O26" s="420">
        <f>O25/K25-1</f>
        <v>5.8479532163742132E-3</v>
      </c>
      <c r="P26" s="271">
        <f t="shared" ref="P26:Z26" si="41">P25/L25-1</f>
        <v>-6.8669527896995763E-2</v>
      </c>
      <c r="Q26" s="271">
        <f t="shared" si="41"/>
        <v>-5.6603773584905648E-2</v>
      </c>
      <c r="R26" s="270">
        <f t="shared" si="41"/>
        <v>8.1730769230769162E-2</v>
      </c>
      <c r="S26" s="420">
        <f t="shared" si="41"/>
        <v>-0.12790697674418605</v>
      </c>
      <c r="T26" s="271">
        <f t="shared" si="41"/>
        <v>-0.23502304147465436</v>
      </c>
      <c r="U26" s="271">
        <f t="shared" si="41"/>
        <v>-9.9999999999999978E-2</v>
      </c>
      <c r="V26" s="270">
        <f t="shared" si="41"/>
        <v>-0.19111111111111112</v>
      </c>
      <c r="W26" s="436">
        <f t="shared" si="41"/>
        <v>0.24666666666666659</v>
      </c>
      <c r="X26" s="421">
        <f t="shared" si="41"/>
        <v>-0.12048192771084343</v>
      </c>
      <c r="Y26" s="421">
        <f t="shared" si="41"/>
        <v>-3.3333333333333326E-2</v>
      </c>
      <c r="Z26" s="440">
        <f t="shared" si="41"/>
        <v>0.33516483516483508</v>
      </c>
      <c r="AA26" s="436">
        <f>AA25/W25-1</f>
        <v>-0.1100000000000001</v>
      </c>
      <c r="AB26" s="421">
        <f t="shared" ref="AB26" si="42">AB25/X25-1</f>
        <v>-6.5749999999999864E-2</v>
      </c>
      <c r="AC26" s="421">
        <f t="shared" ref="AC26" si="43">AC25/Y25-1</f>
        <v>-8.0899999999999861E-2</v>
      </c>
      <c r="AD26" s="440">
        <f t="shared" ref="AD26" si="44">AD25/Z25-1</f>
        <v>-3.5449999999999982E-2</v>
      </c>
      <c r="AE26" s="436">
        <f t="shared" ref="AE26" si="45">AE25/AA25-1</f>
        <v>7.5350000000000028E-2</v>
      </c>
      <c r="AF26" s="421">
        <f t="shared" ref="AF26" si="46">AF25/AB25-1</f>
        <v>9.5449999999999813E-2</v>
      </c>
      <c r="AG26" s="421">
        <f t="shared" ref="AG26" si="47">AG25/AC25-1</f>
        <v>8.5400000000000142E-2</v>
      </c>
      <c r="AH26" s="440">
        <f t="shared" ref="AH26" si="48">AH25/AD25-1</f>
        <v>7.5349999999999806E-2</v>
      </c>
      <c r="AI26" s="436">
        <f t="shared" ref="AI26" si="49">AI25/AE25-1</f>
        <v>0.10090000000000021</v>
      </c>
      <c r="AJ26" s="421">
        <f t="shared" ref="AJ26" si="50">AJ25/AF25-1</f>
        <v>8.0699999999999994E-2</v>
      </c>
      <c r="AK26" s="421">
        <f t="shared" ref="AK26" si="51">AK25/AG25-1</f>
        <v>8.0699999999999994E-2</v>
      </c>
      <c r="AL26" s="440">
        <f t="shared" ref="AL26" si="52">AL25/AH25-1</f>
        <v>8.0699999999999994E-2</v>
      </c>
    </row>
    <row r="27" spans="2:38" s="251" customFormat="1" ht="13.5" customHeight="1">
      <c r="B27" s="416" t="s">
        <v>187</v>
      </c>
      <c r="C27" s="419">
        <f>C25/C23</f>
        <v>0.15250786600037017</v>
      </c>
      <c r="D27" s="419">
        <f>D25/D23</f>
        <v>0.1508524833209785</v>
      </c>
      <c r="E27" s="419">
        <f t="shared" ref="E27:I27" si="53">E25/E23</f>
        <v>0.12597547380156077</v>
      </c>
      <c r="F27" s="419">
        <f t="shared" si="53"/>
        <v>0.1455462837182224</v>
      </c>
      <c r="G27" s="436">
        <f t="shared" si="53"/>
        <v>0.14718329202329128</v>
      </c>
      <c r="H27" s="419">
        <f t="shared" si="53"/>
        <v>0.14775853280131201</v>
      </c>
      <c r="I27" s="419">
        <f t="shared" si="53"/>
        <v>0.14919254895702275</v>
      </c>
      <c r="J27" s="418"/>
      <c r="K27" s="291">
        <f t="shared" ref="K27:Z27" si="54">K25/K23</f>
        <v>0.13614649681528662</v>
      </c>
      <c r="L27" s="105">
        <f t="shared" si="54"/>
        <v>0.16466431095406361</v>
      </c>
      <c r="M27" s="93">
        <f t="shared" si="54"/>
        <v>0.15373459028281364</v>
      </c>
      <c r="N27" s="136">
        <f t="shared" si="54"/>
        <v>0.15373244641537326</v>
      </c>
      <c r="O27" s="420">
        <f t="shared" si="54"/>
        <v>0.12554744525547445</v>
      </c>
      <c r="P27" s="271">
        <f t="shared" si="54"/>
        <v>0.16194029850746269</v>
      </c>
      <c r="Q27" s="271">
        <f t="shared" si="54"/>
        <v>0.15552099533437014</v>
      </c>
      <c r="R27" s="270">
        <f t="shared" si="54"/>
        <v>0.16071428571428573</v>
      </c>
      <c r="S27" s="420">
        <f t="shared" si="54"/>
        <v>0.1072961373390558</v>
      </c>
      <c r="T27" s="271">
        <f t="shared" si="54"/>
        <v>0.12397311426437641</v>
      </c>
      <c r="U27" s="271">
        <f t="shared" si="54"/>
        <v>0.13761467889908258</v>
      </c>
      <c r="V27" s="270">
        <f t="shared" si="54"/>
        <v>0.13612565445026178</v>
      </c>
      <c r="W27" s="436">
        <f t="shared" si="54"/>
        <v>0.13790560471976401</v>
      </c>
      <c r="X27" s="421">
        <f t="shared" si="54"/>
        <v>0.11755233494363929</v>
      </c>
      <c r="Y27" s="421">
        <f t="shared" si="54"/>
        <v>0.13231939163498099</v>
      </c>
      <c r="Z27" s="440">
        <f t="shared" si="54"/>
        <v>0.19596774193548386</v>
      </c>
      <c r="AA27" s="480">
        <f>W27*(1+AA28)</f>
        <v>0.13790560471976401</v>
      </c>
      <c r="AB27" s="481">
        <f t="shared" ref="AB27" si="55">X27*(1+AB28)</f>
        <v>0.11872785829307568</v>
      </c>
      <c r="AC27" s="481">
        <f t="shared" ref="AC27" si="56">Y27*(1+AC28)</f>
        <v>0.13364258555133079</v>
      </c>
      <c r="AD27" s="482">
        <f t="shared" ref="AD27" si="57">Z27*(1+AD28)</f>
        <v>0.19792741935483871</v>
      </c>
      <c r="AE27" s="480">
        <f t="shared" ref="AE27" si="58">AA27*(1+AE28)</f>
        <v>0.13859513274336283</v>
      </c>
      <c r="AF27" s="481">
        <f t="shared" ref="AF27" si="59">AB27*(1+AF28)</f>
        <v>0.11932149758454105</v>
      </c>
      <c r="AG27" s="481">
        <f t="shared" ref="AG27" si="60">AC27*(1+AG28)</f>
        <v>0.13431079847908745</v>
      </c>
      <c r="AH27" s="482">
        <f t="shared" ref="AH27" si="61">AD27*(1+AH28)</f>
        <v>0.19891705645161287</v>
      </c>
      <c r="AI27" s="480">
        <f t="shared" ref="AI27" si="62">AE27*(1+AI28)</f>
        <v>0.13998108407079646</v>
      </c>
      <c r="AJ27" s="481">
        <f t="shared" ref="AJ27" si="63">AF27*(1+AJ28)</f>
        <v>0.12051471256038647</v>
      </c>
      <c r="AK27" s="481">
        <f t="shared" ref="AK27" si="64">AG27*(1+AK28)</f>
        <v>0.13565390646387832</v>
      </c>
      <c r="AL27" s="482">
        <f t="shared" ref="AL27" si="65">AH27*(1+AL28)</f>
        <v>0.20090622701612901</v>
      </c>
    </row>
    <row r="28" spans="2:38" s="251" customFormat="1" ht="13.5" customHeight="1">
      <c r="B28" s="478" t="s">
        <v>198</v>
      </c>
      <c r="C28" s="418"/>
      <c r="D28" s="419">
        <f t="shared" ref="D28:I28" si="66">D27-C27</f>
        <v>-1.6553826793916648E-3</v>
      </c>
      <c r="E28" s="419">
        <f t="shared" si="66"/>
        <v>-2.4877009519417737E-2</v>
      </c>
      <c r="F28" s="479">
        <f t="shared" si="66"/>
        <v>1.957080991666163E-2</v>
      </c>
      <c r="G28" s="419">
        <f t="shared" si="66"/>
        <v>1.6370083050688822E-3</v>
      </c>
      <c r="H28" s="419">
        <f t="shared" si="66"/>
        <v>5.7524077802073581E-4</v>
      </c>
      <c r="I28" s="419">
        <f t="shared" si="66"/>
        <v>1.4340161557107323E-3</v>
      </c>
      <c r="J28" s="418"/>
      <c r="K28" s="291"/>
      <c r="L28" s="105"/>
      <c r="M28" s="93"/>
      <c r="N28" s="136"/>
      <c r="O28" s="420">
        <f>O27-K27</f>
        <v>-1.0599051559812167E-2</v>
      </c>
      <c r="P28" s="271">
        <f t="shared" ref="P28" si="67">P27-L27</f>
        <v>-2.7240124466009208E-3</v>
      </c>
      <c r="Q28" s="271">
        <f t="shared" ref="Q28" si="68">Q27-M27</f>
        <v>1.7864050515565E-3</v>
      </c>
      <c r="R28" s="270">
        <f t="shared" ref="R28" si="69">R27-N27</f>
        <v>6.9818392989124678E-3</v>
      </c>
      <c r="S28" s="420">
        <f t="shared" ref="S28" si="70">S27-O27</f>
        <v>-1.8251307916418658E-2</v>
      </c>
      <c r="T28" s="271">
        <f t="shared" ref="T28" si="71">T27-P27</f>
        <v>-3.7967184243086288E-2</v>
      </c>
      <c r="U28" s="271">
        <f t="shared" ref="U28" si="72">U27-Q27</f>
        <v>-1.7906316435287561E-2</v>
      </c>
      <c r="V28" s="270">
        <f t="shared" ref="V28" si="73">V27-R27</f>
        <v>-2.4588631264023941E-2</v>
      </c>
      <c r="W28" s="436">
        <f t="shared" ref="W28" si="74">W27-S27</f>
        <v>3.0609467380708216E-2</v>
      </c>
      <c r="X28" s="421">
        <f t="shared" ref="X28" si="75">X27-T27</f>
        <v>-6.4207793207371189E-3</v>
      </c>
      <c r="Y28" s="421">
        <f t="shared" ref="Y28" si="76">Y27-U27</f>
        <v>-5.2952872641015836E-3</v>
      </c>
      <c r="Z28" s="440">
        <f t="shared" ref="Z28" si="77">Z27-V27</f>
        <v>5.9842087485222073E-2</v>
      </c>
      <c r="AA28" s="432">
        <v>0</v>
      </c>
      <c r="AB28" s="432">
        <v>0.01</v>
      </c>
      <c r="AC28" s="432">
        <v>0.01</v>
      </c>
      <c r="AD28" s="442">
        <v>0.01</v>
      </c>
      <c r="AE28" s="432">
        <v>5.0000000000000001E-3</v>
      </c>
      <c r="AF28" s="432">
        <v>5.0000000000000001E-3</v>
      </c>
      <c r="AG28" s="432">
        <v>5.0000000000000001E-3</v>
      </c>
      <c r="AH28" s="442">
        <v>5.0000000000000001E-3</v>
      </c>
      <c r="AI28" s="432">
        <v>0.01</v>
      </c>
      <c r="AJ28" s="432">
        <v>0.01</v>
      </c>
      <c r="AK28" s="432">
        <v>0.01</v>
      </c>
      <c r="AL28" s="442">
        <v>0.01</v>
      </c>
    </row>
    <row r="29" spans="2:38" s="45" customFormat="1" ht="13.5" customHeight="1">
      <c r="B29" s="252" t="s">
        <v>191</v>
      </c>
      <c r="C29" s="253"/>
      <c r="D29" s="253"/>
      <c r="E29" s="253"/>
      <c r="F29" s="253"/>
      <c r="G29" s="471"/>
      <c r="H29" s="254"/>
      <c r="I29" s="254"/>
      <c r="J29" s="14"/>
      <c r="K29" s="386"/>
      <c r="L29" s="104"/>
      <c r="M29" s="281"/>
      <c r="N29" s="393"/>
      <c r="O29" s="394"/>
      <c r="P29" s="282"/>
      <c r="Q29" s="282"/>
      <c r="R29" s="395"/>
      <c r="S29" s="394"/>
      <c r="T29" s="282"/>
      <c r="U29" s="282"/>
      <c r="V29" s="395"/>
      <c r="W29" s="437"/>
      <c r="X29" s="111"/>
      <c r="Y29" s="111"/>
      <c r="Z29" s="441"/>
      <c r="AA29" s="437"/>
      <c r="AB29" s="111"/>
      <c r="AC29" s="111"/>
      <c r="AD29" s="441"/>
      <c r="AE29" s="437"/>
      <c r="AF29" s="111"/>
      <c r="AG29" s="111"/>
      <c r="AH29" s="441"/>
      <c r="AI29" s="437"/>
      <c r="AJ29" s="111"/>
      <c r="AK29" s="111"/>
      <c r="AL29" s="441"/>
    </row>
    <row r="30" spans="2:38" s="419" customFormat="1" ht="13.5" customHeight="1">
      <c r="B30" s="293" t="s">
        <v>183</v>
      </c>
      <c r="C30" s="272">
        <v>4.3999999999999997E-2</v>
      </c>
      <c r="D30" s="272">
        <v>-5.0000000000000001E-3</v>
      </c>
      <c r="E30" s="272">
        <v>0.01</v>
      </c>
      <c r="F30" s="272">
        <v>-4.2999999999999997E-2</v>
      </c>
      <c r="G30" s="472">
        <f>SUMPRODUCT(W$23:Z$23,AA30:AD30)/SUM(W$23:Z$23)</f>
        <v>-4.2998253444595382E-2</v>
      </c>
      <c r="H30" s="272">
        <f>SUMPRODUCT(AA$23:AD$23,AE30:AH30)/SUM(AA$23:AD$23)</f>
        <v>1.5095871670037623E-2</v>
      </c>
      <c r="I30" s="272">
        <f>SUMPRODUCT(AE$23:AH$23,AI30:AL30)/SUM(AE$23:AH$23)</f>
        <v>1.5060977264675477E-2</v>
      </c>
      <c r="J30" s="418"/>
      <c r="K30" s="291"/>
      <c r="L30" s="105"/>
      <c r="M30" s="93"/>
      <c r="N30" s="136"/>
      <c r="O30" s="420">
        <v>2.7E-2</v>
      </c>
      <c r="P30" s="271">
        <v>-1.6E-2</v>
      </c>
      <c r="Q30" s="271">
        <v>-4.4999999999999998E-2</v>
      </c>
      <c r="R30" s="270">
        <v>1.9E-2</v>
      </c>
      <c r="S30" s="420">
        <v>3.2000000000000001E-2</v>
      </c>
      <c r="T30" s="271">
        <v>-0.02</v>
      </c>
      <c r="U30" s="271">
        <v>3.7999999999999999E-2</v>
      </c>
      <c r="V30" s="270">
        <v>-0.01</v>
      </c>
      <c r="W30" s="436">
        <v>-1.4E-2</v>
      </c>
      <c r="X30" s="421">
        <v>-6.9000000000000006E-2</v>
      </c>
      <c r="Y30" s="421">
        <v>-3.1E-2</v>
      </c>
      <c r="Z30" s="440">
        <v>-5.8000000000000003E-2</v>
      </c>
      <c r="AA30" s="459">
        <v>-0.06</v>
      </c>
      <c r="AB30" s="432">
        <v>-0.03</v>
      </c>
      <c r="AC30" s="432">
        <v>-0.05</v>
      </c>
      <c r="AD30" s="442">
        <v>-0.03</v>
      </c>
      <c r="AE30" s="459">
        <v>0.03</v>
      </c>
      <c r="AF30" s="432">
        <v>0.01</v>
      </c>
      <c r="AG30" s="432">
        <v>0.01</v>
      </c>
      <c r="AH30" s="442">
        <v>0.01</v>
      </c>
      <c r="AI30" s="459">
        <v>0.03</v>
      </c>
      <c r="AJ30" s="432">
        <v>0.01</v>
      </c>
      <c r="AK30" s="432">
        <v>0.01</v>
      </c>
      <c r="AL30" s="442">
        <v>0.01</v>
      </c>
    </row>
    <row r="31" spans="2:38" s="419" customFormat="1" ht="13.5" customHeight="1">
      <c r="B31" s="294" t="s">
        <v>188</v>
      </c>
      <c r="C31" s="272">
        <v>0.108</v>
      </c>
      <c r="D31" s="272">
        <v>9.5000000000000001E-2</v>
      </c>
      <c r="E31" s="272">
        <v>0.113</v>
      </c>
      <c r="F31" s="272">
        <v>0.193</v>
      </c>
      <c r="G31" s="472">
        <f>SUMPRODUCT(W$23:Z$23,AA31:AD31)/SUM(W$23:Z$23)</f>
        <v>0.12534640015524937</v>
      </c>
      <c r="H31" s="272">
        <f>SUMPRODUCT(AA$23:AD$23,AE31:AH31)/SUM(AA$23:AD$23)</f>
        <v>7.5021239132362444E-2</v>
      </c>
      <c r="I31" s="272">
        <f>SUMPRODUCT(AE$23:AH$23,AI31:AL31)/SUM(AE$23:AH$23)</f>
        <v>5.9999999999999991E-2</v>
      </c>
      <c r="J31" s="418"/>
      <c r="K31" s="389"/>
      <c r="L31" s="43"/>
      <c r="M31" s="105"/>
      <c r="N31" s="135"/>
      <c r="O31" s="133">
        <v>0.11600000000000001</v>
      </c>
      <c r="P31" s="105">
        <v>0.1</v>
      </c>
      <c r="Q31" s="105">
        <v>8.1000000000000003E-2</v>
      </c>
      <c r="R31" s="135">
        <v>8.4000000000000005E-2</v>
      </c>
      <c r="S31" s="133">
        <v>9.4E-2</v>
      </c>
      <c r="T31" s="105">
        <v>0.11600000000000001</v>
      </c>
      <c r="U31" s="105">
        <v>0.13100000000000001</v>
      </c>
      <c r="V31" s="135">
        <v>0.114</v>
      </c>
      <c r="W31" s="436">
        <v>0.161</v>
      </c>
      <c r="X31" s="421">
        <v>0.187</v>
      </c>
      <c r="Y31" s="421">
        <v>0.216</v>
      </c>
      <c r="Z31" s="440">
        <v>0.21099999999999999</v>
      </c>
      <c r="AA31" s="459">
        <v>0.15</v>
      </c>
      <c r="AB31" s="432">
        <v>0.13</v>
      </c>
      <c r="AC31" s="432">
        <v>0.11</v>
      </c>
      <c r="AD31" s="442">
        <v>0.11</v>
      </c>
      <c r="AE31" s="459">
        <v>0.09</v>
      </c>
      <c r="AF31" s="432">
        <v>0.08</v>
      </c>
      <c r="AG31" s="432">
        <v>7.0000000000000007E-2</v>
      </c>
      <c r="AH31" s="442">
        <v>0.06</v>
      </c>
      <c r="AI31" s="459">
        <v>0.06</v>
      </c>
      <c r="AJ31" s="432">
        <v>0.06</v>
      </c>
      <c r="AK31" s="432">
        <v>0.06</v>
      </c>
      <c r="AL31" s="442">
        <v>0.06</v>
      </c>
    </row>
    <row r="32" spans="2:38" s="419" customFormat="1" ht="13.5" customHeight="1">
      <c r="B32" s="294" t="s">
        <v>184</v>
      </c>
      <c r="C32" s="272">
        <f t="shared" ref="C32:E32" si="78">SUM(C30:C31)</f>
        <v>0.152</v>
      </c>
      <c r="D32" s="272">
        <f t="shared" si="78"/>
        <v>0.09</v>
      </c>
      <c r="E32" s="272">
        <f t="shared" si="78"/>
        <v>0.123</v>
      </c>
      <c r="F32" s="272">
        <f t="shared" ref="F32" si="79">SUM(F30:F31)</f>
        <v>0.15000000000000002</v>
      </c>
      <c r="G32" s="472">
        <f t="shared" ref="G32" si="80">SUM(G30:G31)</f>
        <v>8.2348146710653991E-2</v>
      </c>
      <c r="H32" s="272">
        <f t="shared" ref="H32" si="81">SUM(H30:H31)</f>
        <v>9.0117110802400063E-2</v>
      </c>
      <c r="I32" s="272">
        <f t="shared" ref="I32" si="82">SUM(I30:I31)</f>
        <v>7.5060977264675463E-2</v>
      </c>
      <c r="J32" s="418"/>
      <c r="K32" s="389"/>
      <c r="L32" s="43"/>
      <c r="M32" s="105"/>
      <c r="N32" s="135"/>
      <c r="O32" s="133">
        <f>SUM(O30:O31)</f>
        <v>0.14300000000000002</v>
      </c>
      <c r="P32" s="105">
        <f t="shared" ref="P32:Z32" si="83">SUM(P30:P31)</f>
        <v>8.4000000000000005E-2</v>
      </c>
      <c r="Q32" s="105">
        <f t="shared" si="83"/>
        <v>3.6000000000000004E-2</v>
      </c>
      <c r="R32" s="135">
        <f t="shared" si="83"/>
        <v>0.10300000000000001</v>
      </c>
      <c r="S32" s="133">
        <f t="shared" si="83"/>
        <v>0.126</v>
      </c>
      <c r="T32" s="105">
        <f t="shared" si="83"/>
        <v>9.6000000000000002E-2</v>
      </c>
      <c r="U32" s="105">
        <f t="shared" si="83"/>
        <v>0.16900000000000001</v>
      </c>
      <c r="V32" s="135">
        <f t="shared" si="83"/>
        <v>0.10400000000000001</v>
      </c>
      <c r="W32" s="436">
        <f t="shared" si="83"/>
        <v>0.14699999999999999</v>
      </c>
      <c r="X32" s="421">
        <f t="shared" si="83"/>
        <v>0.11799999999999999</v>
      </c>
      <c r="Y32" s="421">
        <f t="shared" si="83"/>
        <v>0.185</v>
      </c>
      <c r="Z32" s="440">
        <f t="shared" si="83"/>
        <v>0.153</v>
      </c>
      <c r="AA32" s="460">
        <f>SUM(AA30:AA31)</f>
        <v>0.09</v>
      </c>
      <c r="AB32" s="433">
        <f t="shared" ref="AB32" si="84">SUM(AB30:AB31)</f>
        <v>0.1</v>
      </c>
      <c r="AC32" s="433">
        <f t="shared" ref="AC32" si="85">SUM(AC30:AC31)</f>
        <v>0.06</v>
      </c>
      <c r="AD32" s="443">
        <f t="shared" ref="AD32" si="86">SUM(AD30:AD31)</f>
        <v>0.08</v>
      </c>
      <c r="AE32" s="460">
        <f t="shared" ref="AE32" si="87">SUM(AE30:AE31)</f>
        <v>0.12</v>
      </c>
      <c r="AF32" s="433">
        <f t="shared" ref="AF32" si="88">SUM(AF30:AF31)</f>
        <v>0.09</v>
      </c>
      <c r="AG32" s="433">
        <f t="shared" ref="AG32" si="89">SUM(AG30:AG31)</f>
        <v>0.08</v>
      </c>
      <c r="AH32" s="443">
        <f t="shared" ref="AH32" si="90">SUM(AH30:AH31)</f>
        <v>6.9999999999999993E-2</v>
      </c>
      <c r="AI32" s="460">
        <f t="shared" ref="AI32" si="91">SUM(AI30:AI31)</f>
        <v>0.09</v>
      </c>
      <c r="AJ32" s="433">
        <f t="shared" ref="AJ32" si="92">SUM(AJ30:AJ31)</f>
        <v>6.9999999999999993E-2</v>
      </c>
      <c r="AK32" s="433">
        <f t="shared" ref="AK32" si="93">SUM(AK30:AK31)</f>
        <v>6.9999999999999993E-2</v>
      </c>
      <c r="AL32" s="443">
        <f t="shared" ref="AL32" si="94">SUM(AL30:AL31)</f>
        <v>6.9999999999999993E-2</v>
      </c>
    </row>
    <row r="33" spans="2:43" s="419" customFormat="1" ht="13.5" customHeight="1">
      <c r="B33" s="293" t="s">
        <v>185</v>
      </c>
      <c r="C33" s="272">
        <v>1.9378991411583352E-2</v>
      </c>
      <c r="D33" s="272">
        <v>-8.6803627614288364E-2</v>
      </c>
      <c r="E33" s="272">
        <f>SUMPRODUCT(O$8:R$8,S33:V33)/SUM(O$8:R$8)</f>
        <v>-4.4161958568738231E-3</v>
      </c>
      <c r="F33" s="272">
        <f>SUMPRODUCT(S$8:V$8,W33:Z33)/SUM(S$8:V$8)</f>
        <v>-1.0155914747532541E-2</v>
      </c>
      <c r="G33" s="472">
        <f>SUMPRODUCT(W$23:Z$23,AA33:AD33)/SUM(W$23:Z$23)</f>
        <v>-0.1631670871337085</v>
      </c>
      <c r="H33" s="272">
        <f>SUMPRODUCT(AA$23:AD$23,AE33:AH33)/SUM(AA$23:AD$23)</f>
        <v>-1.2739679175094056E-2</v>
      </c>
      <c r="I33" s="272">
        <f>SUMPRODUCT(AE$23:AH$23,AI33:AL33)/SUM(AE$23:AH$23)</f>
        <v>0</v>
      </c>
      <c r="J33" s="418"/>
      <c r="K33" s="388"/>
      <c r="L33" s="434"/>
      <c r="M33" s="105"/>
      <c r="N33" s="135"/>
      <c r="O33" s="133">
        <v>-1E-3</v>
      </c>
      <c r="P33" s="105">
        <v>-8.0000000000000002E-3</v>
      </c>
      <c r="Q33" s="105">
        <v>-3.0000000000000001E-3</v>
      </c>
      <c r="R33" s="135">
        <v>5.0000000000000001E-3</v>
      </c>
      <c r="S33" s="133">
        <v>-1E-3</v>
      </c>
      <c r="T33" s="105">
        <v>1E-3</v>
      </c>
      <c r="U33" s="105">
        <v>-7.0000000000000001E-3</v>
      </c>
      <c r="V33" s="135">
        <v>-0.01</v>
      </c>
      <c r="W33" s="436">
        <v>-1.2062726176115802E-2</v>
      </c>
      <c r="X33" s="421">
        <v>-9.3896713615023476E-3</v>
      </c>
      <c r="Y33" s="421">
        <v>-6.7226890756302525E-3</v>
      </c>
      <c r="Z33" s="440">
        <v>-1.2472885032537961E-2</v>
      </c>
      <c r="AA33" s="459">
        <v>-0.2</v>
      </c>
      <c r="AB33" s="432">
        <v>-0.17499999999999999</v>
      </c>
      <c r="AC33" s="432">
        <v>-0.15</v>
      </c>
      <c r="AD33" s="442">
        <v>-0.125</v>
      </c>
      <c r="AE33" s="459">
        <v>-0.05</v>
      </c>
      <c r="AF33" s="432">
        <v>0</v>
      </c>
      <c r="AG33" s="432">
        <v>0</v>
      </c>
      <c r="AH33" s="442">
        <v>0</v>
      </c>
      <c r="AI33" s="459">
        <v>0</v>
      </c>
      <c r="AJ33" s="432">
        <v>0</v>
      </c>
      <c r="AK33" s="432">
        <v>0</v>
      </c>
      <c r="AL33" s="442">
        <v>0</v>
      </c>
    </row>
    <row r="34" spans="2:43" s="419" customFormat="1" ht="13.5" customHeight="1">
      <c r="B34" s="294" t="s">
        <v>186</v>
      </c>
      <c r="C34" s="272">
        <v>2.2902444395507596E-2</v>
      </c>
      <c r="D34" s="272">
        <v>0</v>
      </c>
      <c r="E34" s="272">
        <f>SUMPRODUCT(O$8:R$8,S34:V34)/SUM(O$8:R$8)</f>
        <v>-7.9500217296827463E-3</v>
      </c>
      <c r="F34" s="272">
        <f>SUMPRODUCT(S$8:V$8,W34:Z34)/SUM(S$8:V$8)</f>
        <v>-3.3277070519239027E-3</v>
      </c>
      <c r="G34" s="472">
        <f>SUMPRODUCT(W$23:Z$23,AA34:AD34)/SUM(W$23:Z$23)</f>
        <v>0</v>
      </c>
      <c r="H34" s="272">
        <f>SUMPRODUCT(AA$23:AD$23,AE34:AH34)/SUM(AA$23:AD$23)</f>
        <v>0</v>
      </c>
      <c r="I34" s="272">
        <f>SUMPRODUCT(AE$23:AH$23,AI34:AL34)/SUM(AE$23:AH$23)</f>
        <v>0</v>
      </c>
      <c r="J34" s="418"/>
      <c r="K34" s="389"/>
      <c r="L34" s="434"/>
      <c r="M34" s="105"/>
      <c r="N34" s="135"/>
      <c r="O34" s="133">
        <v>-1E-3</v>
      </c>
      <c r="P34" s="105">
        <v>0</v>
      </c>
      <c r="Q34" s="105">
        <v>-1E-3</v>
      </c>
      <c r="R34" s="135">
        <v>-6.0000000000000001E-3</v>
      </c>
      <c r="S34" s="133">
        <v>-8.0000000000000002E-3</v>
      </c>
      <c r="T34" s="105">
        <v>-1.0999999999999999E-2</v>
      </c>
      <c r="U34" s="105">
        <v>-7.0000000000000001E-3</v>
      </c>
      <c r="V34" s="135">
        <v>-6.0000000000000001E-3</v>
      </c>
      <c r="W34" s="436">
        <v>-8.0000000000000002E-3</v>
      </c>
      <c r="X34" s="421">
        <v>-5.8685446009389668E-3</v>
      </c>
      <c r="Y34" s="421">
        <v>0</v>
      </c>
      <c r="Z34" s="440">
        <v>0</v>
      </c>
      <c r="AA34" s="459">
        <v>0</v>
      </c>
      <c r="AB34" s="432">
        <v>0</v>
      </c>
      <c r="AC34" s="432">
        <v>0</v>
      </c>
      <c r="AD34" s="442">
        <v>0</v>
      </c>
      <c r="AE34" s="459">
        <v>0</v>
      </c>
      <c r="AF34" s="432">
        <v>0</v>
      </c>
      <c r="AG34" s="432">
        <v>0</v>
      </c>
      <c r="AH34" s="442">
        <v>0</v>
      </c>
      <c r="AI34" s="459">
        <v>0</v>
      </c>
      <c r="AJ34" s="432">
        <v>0</v>
      </c>
      <c r="AK34" s="432">
        <v>0</v>
      </c>
      <c r="AL34" s="442">
        <v>0</v>
      </c>
    </row>
    <row r="35" spans="2:43" s="419" customFormat="1" ht="13.5" customHeight="1" thickBot="1">
      <c r="B35" s="469" t="s">
        <v>1</v>
      </c>
      <c r="C35" s="468">
        <v>5.2851794758863686E-3</v>
      </c>
      <c r="D35" s="468">
        <v>-4.4419766796224315E-3</v>
      </c>
      <c r="E35" s="468">
        <f>SUMPRODUCT(O$8:R$8,S35:V35)/SUM(O$8:R$8)</f>
        <v>0</v>
      </c>
      <c r="F35" s="468">
        <f>SUMPRODUCT(S$8:V$8,W35:Z35)/SUM(S$8:V$8)</f>
        <v>0</v>
      </c>
      <c r="G35" s="473">
        <f>SUMPRODUCT(W$23:Z$23,AA35:AD35)/SUM(W$23:Z$23)</f>
        <v>0</v>
      </c>
      <c r="H35" s="468">
        <f>SUMPRODUCT(AA$23:AD$23,AE35:AH35)/SUM(AA$23:AD$23)</f>
        <v>0</v>
      </c>
      <c r="I35" s="468">
        <f>SUMPRODUCT(AE$23:AH$23,AI35:AL35)/SUM(AE$23:AH$23)</f>
        <v>0</v>
      </c>
      <c r="J35" s="418"/>
      <c r="K35" s="390"/>
      <c r="L35" s="449"/>
      <c r="M35" s="449"/>
      <c r="N35" s="450"/>
      <c r="O35" s="452">
        <v>0</v>
      </c>
      <c r="P35" s="449">
        <v>0</v>
      </c>
      <c r="Q35" s="449">
        <v>0</v>
      </c>
      <c r="R35" s="450">
        <v>-3.7999999999999999E-2</v>
      </c>
      <c r="S35" s="452">
        <v>0</v>
      </c>
      <c r="T35" s="449">
        <v>0</v>
      </c>
      <c r="U35" s="449">
        <v>0</v>
      </c>
      <c r="V35" s="450">
        <v>0</v>
      </c>
      <c r="W35" s="456">
        <v>0</v>
      </c>
      <c r="X35" s="457">
        <v>0</v>
      </c>
      <c r="Y35" s="457">
        <v>0</v>
      </c>
      <c r="Z35" s="440">
        <v>0</v>
      </c>
      <c r="AA35" s="461">
        <v>0</v>
      </c>
      <c r="AB35" s="438">
        <v>0</v>
      </c>
      <c r="AC35" s="438">
        <v>0</v>
      </c>
      <c r="AD35" s="444">
        <v>0</v>
      </c>
      <c r="AE35" s="461">
        <v>0</v>
      </c>
      <c r="AF35" s="438">
        <v>0</v>
      </c>
      <c r="AG35" s="438">
        <v>0</v>
      </c>
      <c r="AH35" s="444">
        <v>0</v>
      </c>
      <c r="AI35" s="461">
        <v>0</v>
      </c>
      <c r="AJ35" s="438">
        <v>0</v>
      </c>
      <c r="AK35" s="438">
        <v>0</v>
      </c>
      <c r="AL35" s="444">
        <v>0</v>
      </c>
    </row>
    <row r="36" spans="2:43" ht="13.5" customHeight="1">
      <c r="B36" s="411"/>
      <c r="C36" s="466"/>
      <c r="D36" s="466"/>
      <c r="E36" s="466"/>
      <c r="F36" s="466"/>
      <c r="G36" s="475"/>
      <c r="H36" s="467"/>
      <c r="I36" s="467"/>
      <c r="K36" s="391"/>
      <c r="L36" s="101"/>
      <c r="M36" s="103"/>
      <c r="N36" s="137"/>
      <c r="O36" s="290"/>
      <c r="P36" s="98"/>
      <c r="Q36" s="98"/>
      <c r="R36" s="137"/>
      <c r="S36" s="290"/>
      <c r="T36" s="98"/>
      <c r="U36" s="98"/>
      <c r="V36" s="137"/>
      <c r="W36" s="264"/>
      <c r="Z36" s="464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441"/>
    </row>
    <row r="37" spans="2:43" ht="13.5" customHeight="1">
      <c r="B37" s="252" t="s">
        <v>192</v>
      </c>
      <c r="C37" s="253"/>
      <c r="D37" s="253"/>
      <c r="E37" s="253"/>
      <c r="F37" s="253"/>
      <c r="G37" s="471"/>
      <c r="H37" s="254"/>
      <c r="I37" s="254"/>
      <c r="K37" s="887"/>
      <c r="L37" s="888"/>
      <c r="M37" s="889"/>
      <c r="N37" s="890"/>
      <c r="O37" s="891"/>
      <c r="P37" s="889"/>
      <c r="Q37" s="889"/>
      <c r="R37" s="890"/>
      <c r="S37" s="891"/>
      <c r="T37" s="889"/>
      <c r="U37" s="889"/>
      <c r="V37" s="890"/>
      <c r="W37" s="892"/>
      <c r="X37" s="888"/>
      <c r="Y37" s="888"/>
      <c r="Z37" s="886"/>
      <c r="AA37" s="892"/>
      <c r="AB37" s="888"/>
      <c r="AC37" s="888"/>
      <c r="AD37" s="893"/>
      <c r="AE37" s="892"/>
      <c r="AF37" s="888"/>
      <c r="AG37" s="888"/>
      <c r="AH37" s="893"/>
      <c r="AI37" s="892"/>
      <c r="AJ37" s="888"/>
      <c r="AK37" s="888"/>
      <c r="AL37" s="893"/>
      <c r="AM37" s="153"/>
      <c r="AN37" s="153"/>
      <c r="AO37" s="153"/>
      <c r="AP37" s="153"/>
      <c r="AQ37" s="153"/>
    </row>
    <row r="38" spans="2:43" ht="13.5" customHeight="1">
      <c r="B38" s="422" t="s">
        <v>53</v>
      </c>
      <c r="C38" s="417">
        <f>SUM(K38:N38)</f>
        <v>4864</v>
      </c>
      <c r="D38" s="417">
        <f>SUM(O38:R38)</f>
        <v>5164</v>
      </c>
      <c r="E38" s="417">
        <f>SUM(S38:V38)</f>
        <v>4952</v>
      </c>
      <c r="F38" s="417">
        <f>SUM(W38:Z38)</f>
        <v>4605</v>
      </c>
      <c r="G38" s="455">
        <f>SUM(AA38:AD38)</f>
        <v>4304.8500000000004</v>
      </c>
      <c r="H38" s="417">
        <f>SUM(AE38:AH38)</f>
        <v>4448.915</v>
      </c>
      <c r="I38" s="417">
        <f>SUM(AI38:AL38)</f>
        <v>4626.8716000000004</v>
      </c>
      <c r="J38" s="417"/>
      <c r="K38" s="423">
        <v>1190</v>
      </c>
      <c r="L38" s="424">
        <v>1172</v>
      </c>
      <c r="M38" s="425">
        <v>1249</v>
      </c>
      <c r="N38" s="426">
        <v>1253</v>
      </c>
      <c r="O38" s="427">
        <v>1320</v>
      </c>
      <c r="P38" s="428">
        <v>1222</v>
      </c>
      <c r="Q38" s="428">
        <v>1228</v>
      </c>
      <c r="R38" s="429">
        <v>1394</v>
      </c>
      <c r="S38" s="427">
        <v>1367</v>
      </c>
      <c r="T38" s="428">
        <v>1240</v>
      </c>
      <c r="U38" s="428">
        <v>1136</v>
      </c>
      <c r="V38" s="429">
        <v>1209</v>
      </c>
      <c r="W38" s="455">
        <v>1223</v>
      </c>
      <c r="X38" s="430">
        <v>1084</v>
      </c>
      <c r="Y38" s="430">
        <v>1153</v>
      </c>
      <c r="Z38" s="439">
        <v>1145</v>
      </c>
      <c r="AA38" s="455">
        <f>W38*(1+AA39)</f>
        <v>1125.1600000000001</v>
      </c>
      <c r="AB38" s="430">
        <f>X38*(1+AB39)</f>
        <v>1008.12</v>
      </c>
      <c r="AC38" s="430">
        <f t="shared" ref="AC38" si="95">Y38*(1+AC39)</f>
        <v>1083.82</v>
      </c>
      <c r="AD38" s="439">
        <f t="shared" ref="AD38" si="96">Z38*(1+AD39)</f>
        <v>1087.75</v>
      </c>
      <c r="AE38" s="455">
        <f t="shared" ref="AE38" si="97">AA38*(1+AE39)</f>
        <v>1142.0373999999999</v>
      </c>
      <c r="AF38" s="430">
        <f t="shared" ref="AF38" si="98">AB38*(1+AF39)</f>
        <v>1048.4448</v>
      </c>
      <c r="AG38" s="430">
        <f t="shared" ref="AG38" si="99">AC38*(1+AG39)</f>
        <v>1127.1728000000001</v>
      </c>
      <c r="AH38" s="439">
        <f t="shared" ref="AH38" si="100">AD38*(1+AH39)</f>
        <v>1131.26</v>
      </c>
      <c r="AI38" s="455">
        <f t="shared" ref="AI38" si="101">AE38*(1+AI39)</f>
        <v>1187.7188959999999</v>
      </c>
      <c r="AJ38" s="430">
        <f t="shared" ref="AJ38" si="102">AF38*(1+AJ39)</f>
        <v>1090.3825919999999</v>
      </c>
      <c r="AK38" s="430">
        <f t="shared" ref="AK38" si="103">AG38*(1+AK39)</f>
        <v>1172.259712</v>
      </c>
      <c r="AL38" s="439">
        <f t="shared" ref="AL38" si="104">AH38*(1+AL39)</f>
        <v>1176.5104000000001</v>
      </c>
    </row>
    <row r="39" spans="2:43" ht="13.5" customHeight="1">
      <c r="B39" s="431" t="s">
        <v>143</v>
      </c>
      <c r="C39" s="419"/>
      <c r="D39" s="419">
        <f>D38/C38-1</f>
        <v>6.1677631578947345E-2</v>
      </c>
      <c r="E39" s="419">
        <f t="shared" ref="E39" si="105">E38/D38-1</f>
        <v>-4.1053446940356286E-2</v>
      </c>
      <c r="F39" s="419">
        <f t="shared" ref="F39" si="106">F38/E38-1</f>
        <v>-7.0072697899838499E-2</v>
      </c>
      <c r="G39" s="436">
        <f t="shared" ref="G39" si="107">G38/F38-1</f>
        <v>-6.5179153094462428E-2</v>
      </c>
      <c r="H39" s="419">
        <f t="shared" ref="H39" si="108">H38/G38-1</f>
        <v>3.3465742128064857E-2</v>
      </c>
      <c r="I39" s="419">
        <f t="shared" ref="I39" si="109">I38/H38-1</f>
        <v>4.0000000000000036E-2</v>
      </c>
      <c r="J39" s="419"/>
      <c r="K39" s="291"/>
      <c r="L39" s="105"/>
      <c r="M39" s="93"/>
      <c r="N39" s="136"/>
      <c r="O39" s="420">
        <f t="shared" ref="O39:Y39" si="110">O38/K38-1</f>
        <v>0.10924369747899165</v>
      </c>
      <c r="P39" s="271">
        <f t="shared" si="110"/>
        <v>4.2662116040955711E-2</v>
      </c>
      <c r="Q39" s="271">
        <f t="shared" si="110"/>
        <v>-1.6813450760608473E-2</v>
      </c>
      <c r="R39" s="270">
        <f t="shared" si="110"/>
        <v>0.11252992817238616</v>
      </c>
      <c r="S39" s="420">
        <f t="shared" si="110"/>
        <v>3.5606060606060641E-2</v>
      </c>
      <c r="T39" s="271">
        <f t="shared" si="110"/>
        <v>1.4729950900163713E-2</v>
      </c>
      <c r="U39" s="271">
        <f t="shared" si="110"/>
        <v>-7.4918566775244333E-2</v>
      </c>
      <c r="V39" s="270">
        <f t="shared" si="110"/>
        <v>-0.13271162123385938</v>
      </c>
      <c r="W39" s="436">
        <f t="shared" si="110"/>
        <v>-0.10534016093635701</v>
      </c>
      <c r="X39" s="421">
        <f t="shared" si="110"/>
        <v>-0.12580645161290327</v>
      </c>
      <c r="Y39" s="421">
        <f t="shared" si="110"/>
        <v>1.4964788732394263E-2</v>
      </c>
      <c r="Z39" s="440">
        <f>Z38/V38-1</f>
        <v>-5.2936311000827185E-2</v>
      </c>
      <c r="AA39" s="436">
        <f>SUM(AA47:AA50)</f>
        <v>-0.08</v>
      </c>
      <c r="AB39" s="421">
        <f t="shared" ref="AB39:AL39" si="111">SUM(AB47:AB50)</f>
        <v>-6.9999999999999993E-2</v>
      </c>
      <c r="AC39" s="421">
        <f t="shared" si="111"/>
        <v>-0.06</v>
      </c>
      <c r="AD39" s="440">
        <f t="shared" si="111"/>
        <v>-0.05</v>
      </c>
      <c r="AE39" s="436">
        <f t="shared" si="111"/>
        <v>1.4999999999999999E-2</v>
      </c>
      <c r="AF39" s="421">
        <f t="shared" si="111"/>
        <v>0.04</v>
      </c>
      <c r="AG39" s="421">
        <f t="shared" si="111"/>
        <v>0.04</v>
      </c>
      <c r="AH39" s="440">
        <f t="shared" si="111"/>
        <v>0.04</v>
      </c>
      <c r="AI39" s="436">
        <f t="shared" si="111"/>
        <v>0.04</v>
      </c>
      <c r="AJ39" s="421">
        <f t="shared" si="111"/>
        <v>0.04</v>
      </c>
      <c r="AK39" s="421">
        <f t="shared" si="111"/>
        <v>0.04</v>
      </c>
      <c r="AL39" s="440">
        <f t="shared" si="111"/>
        <v>0.04</v>
      </c>
    </row>
    <row r="40" spans="2:43" ht="13.5" customHeight="1">
      <c r="B40" s="422" t="s">
        <v>83</v>
      </c>
      <c r="C40" s="417">
        <f>SUM(K40:N40)</f>
        <v>731</v>
      </c>
      <c r="D40" s="417">
        <f>SUM(O40:R40)</f>
        <v>716</v>
      </c>
      <c r="E40" s="417">
        <f>SUM(S40:V40)</f>
        <v>555</v>
      </c>
      <c r="F40" s="417">
        <f>SUM(W40:Z40)</f>
        <v>497</v>
      </c>
      <c r="G40" s="455">
        <f>SUM(AA40:AD40)</f>
        <v>465.61649999999997</v>
      </c>
      <c r="H40" s="417">
        <f>SUM(AE40:AH40)</f>
        <v>482.29501769999985</v>
      </c>
      <c r="I40" s="417">
        <f>SUM(AI40:AL40)</f>
        <v>504.09475250003976</v>
      </c>
      <c r="J40" s="417"/>
      <c r="K40" s="423">
        <v>185</v>
      </c>
      <c r="L40" s="424">
        <v>182</v>
      </c>
      <c r="M40" s="425">
        <v>192</v>
      </c>
      <c r="N40" s="426">
        <v>172</v>
      </c>
      <c r="O40" s="427">
        <v>187</v>
      </c>
      <c r="P40" s="428">
        <v>159</v>
      </c>
      <c r="Q40" s="428">
        <v>221</v>
      </c>
      <c r="R40" s="429">
        <v>149</v>
      </c>
      <c r="S40" s="427">
        <v>193</v>
      </c>
      <c r="T40" s="428">
        <v>137</v>
      </c>
      <c r="U40" s="428">
        <v>91</v>
      </c>
      <c r="V40" s="429">
        <v>134</v>
      </c>
      <c r="W40" s="455">
        <v>188</v>
      </c>
      <c r="X40" s="430">
        <v>112</v>
      </c>
      <c r="Y40" s="430">
        <v>97</v>
      </c>
      <c r="Z40" s="439">
        <v>100</v>
      </c>
      <c r="AA40" s="455">
        <f>AA38*AA42</f>
        <v>173.82480000000001</v>
      </c>
      <c r="AB40" s="430">
        <f t="shared" ref="AB40:AL40" si="112">AB38*AB42</f>
        <v>104.68079999999999</v>
      </c>
      <c r="AC40" s="430">
        <f t="shared" si="112"/>
        <v>91.635899999999978</v>
      </c>
      <c r="AD40" s="439">
        <f t="shared" si="112"/>
        <v>95.47499999999998</v>
      </c>
      <c r="AE40" s="455">
        <f t="shared" si="112"/>
        <v>177.31433285999995</v>
      </c>
      <c r="AF40" s="430">
        <f t="shared" si="112"/>
        <v>109.41237215999998</v>
      </c>
      <c r="AG40" s="430">
        <f t="shared" si="112"/>
        <v>95.777842679999964</v>
      </c>
      <c r="AH40" s="439">
        <f t="shared" si="112"/>
        <v>99.790469999999971</v>
      </c>
      <c r="AI40" s="455">
        <f t="shared" si="112"/>
        <v>185.32894070527189</v>
      </c>
      <c r="AJ40" s="430">
        <f t="shared" si="112"/>
        <v>114.35781138163195</v>
      </c>
      <c r="AK40" s="430">
        <f t="shared" si="112"/>
        <v>100.10700116913596</v>
      </c>
      <c r="AL40" s="439">
        <f t="shared" si="112"/>
        <v>104.30099924399997</v>
      </c>
    </row>
    <row r="41" spans="2:43" ht="13.5" customHeight="1">
      <c r="B41" s="431" t="s">
        <v>143</v>
      </c>
      <c r="C41" s="419"/>
      <c r="D41" s="419">
        <f>D40/C40-1</f>
        <v>-2.0519835841313228E-2</v>
      </c>
      <c r="E41" s="419">
        <f t="shared" ref="E41" si="113">E40/D40-1</f>
        <v>-0.22486033519553073</v>
      </c>
      <c r="F41" s="419">
        <f t="shared" ref="F41" si="114">F40/E40-1</f>
        <v>-0.10450450450450455</v>
      </c>
      <c r="G41" s="436">
        <f t="shared" ref="G41" si="115">G40/F40-1</f>
        <v>-6.3145875251509054E-2</v>
      </c>
      <c r="H41" s="419">
        <f t="shared" ref="H41" si="116">H40/G40-1</f>
        <v>3.5820289229440805E-2</v>
      </c>
      <c r="I41" s="419">
        <f t="shared" ref="I41" si="117">I40/H40-1</f>
        <v>4.5199999999999907E-2</v>
      </c>
      <c r="J41" s="419"/>
      <c r="K41" s="291"/>
      <c r="L41" s="105"/>
      <c r="M41" s="93"/>
      <c r="N41" s="136"/>
      <c r="O41" s="420">
        <f t="shared" ref="O41" si="118">O40/K40-1</f>
        <v>1.08108108108107E-2</v>
      </c>
      <c r="P41" s="271">
        <f t="shared" ref="P41" si="119">P40/L40-1</f>
        <v>-0.12637362637362637</v>
      </c>
      <c r="Q41" s="271">
        <f t="shared" ref="Q41" si="120">Q40/M40-1</f>
        <v>0.15104166666666674</v>
      </c>
      <c r="R41" s="270">
        <f t="shared" ref="R41" si="121">R40/N40-1</f>
        <v>-0.13372093023255816</v>
      </c>
      <c r="S41" s="420">
        <f t="shared" ref="S41" si="122">S40/O40-1</f>
        <v>3.2085561497326109E-2</v>
      </c>
      <c r="T41" s="271">
        <f t="shared" ref="T41" si="123">T40/P40-1</f>
        <v>-0.13836477987421381</v>
      </c>
      <c r="U41" s="271">
        <f t="shared" ref="U41" si="124">U40/Q40-1</f>
        <v>-0.58823529411764708</v>
      </c>
      <c r="V41" s="270">
        <f t="shared" ref="V41" si="125">V40/R40-1</f>
        <v>-0.10067114093959728</v>
      </c>
      <c r="W41" s="436">
        <f t="shared" ref="W41" si="126">W40/S40-1</f>
        <v>-2.5906735751295318E-2</v>
      </c>
      <c r="X41" s="421">
        <f t="shared" ref="X41" si="127">X40/T40-1</f>
        <v>-0.18248175182481752</v>
      </c>
      <c r="Y41" s="421">
        <f t="shared" ref="Y41" si="128">Y40/U40-1</f>
        <v>6.5934065934065922E-2</v>
      </c>
      <c r="Z41" s="440">
        <f>Z40/V40-1</f>
        <v>-0.25373134328358204</v>
      </c>
      <c r="AA41" s="436">
        <f>AA40/W40-1</f>
        <v>-7.5399999999999912E-2</v>
      </c>
      <c r="AB41" s="421">
        <f t="shared" ref="AB41" si="129">AB40/X40-1</f>
        <v>-6.535000000000013E-2</v>
      </c>
      <c r="AC41" s="421">
        <f t="shared" ref="AC41" si="130">AC40/Y40-1</f>
        <v>-5.5300000000000238E-2</v>
      </c>
      <c r="AD41" s="440">
        <f t="shared" ref="AD41" si="131">AD40/Z40-1</f>
        <v>-4.5250000000000234E-2</v>
      </c>
      <c r="AE41" s="436">
        <f t="shared" ref="AE41" si="132">AE40/AA40-1</f>
        <v>2.0074999999999621E-2</v>
      </c>
      <c r="AF41" s="421">
        <f t="shared" ref="AF41" si="133">AF40/AB40-1</f>
        <v>4.5199999999999907E-2</v>
      </c>
      <c r="AG41" s="421">
        <f t="shared" ref="AG41" si="134">AG40/AC40-1</f>
        <v>4.5199999999999907E-2</v>
      </c>
      <c r="AH41" s="440">
        <f t="shared" ref="AH41" si="135">AH40/AD40-1</f>
        <v>4.5199999999999907E-2</v>
      </c>
      <c r="AI41" s="436">
        <f t="shared" ref="AI41" si="136">AI40/AE40-1</f>
        <v>4.5199999999999685E-2</v>
      </c>
      <c r="AJ41" s="421">
        <f t="shared" ref="AJ41" si="137">AJ40/AF40-1</f>
        <v>4.5199999999999685E-2</v>
      </c>
      <c r="AK41" s="421">
        <f t="shared" ref="AK41" si="138">AK40/AG40-1</f>
        <v>4.5199999999999907E-2</v>
      </c>
      <c r="AL41" s="440">
        <f t="shared" ref="AL41" si="139">AL40/AH40-1</f>
        <v>4.5199999999999907E-2</v>
      </c>
    </row>
    <row r="42" spans="2:43" s="45" customFormat="1" ht="13.5" customHeight="1">
      <c r="B42" s="416" t="s">
        <v>187</v>
      </c>
      <c r="C42" s="419">
        <f>C40/C38</f>
        <v>0.15028782894736842</v>
      </c>
      <c r="D42" s="419">
        <f>D40/D38</f>
        <v>0.13865220759101471</v>
      </c>
      <c r="E42" s="419">
        <f t="shared" ref="E42:I42" si="140">E40/E38</f>
        <v>0.11207592891760905</v>
      </c>
      <c r="F42" s="419">
        <f t="shared" si="140"/>
        <v>0.10792616720955484</v>
      </c>
      <c r="G42" s="436">
        <f t="shared" si="140"/>
        <v>0.10816091153001846</v>
      </c>
      <c r="H42" s="419">
        <f t="shared" si="140"/>
        <v>0.10840733475465363</v>
      </c>
      <c r="I42" s="419">
        <f t="shared" si="140"/>
        <v>0.10894937142842687</v>
      </c>
      <c r="J42" s="418"/>
      <c r="K42" s="291">
        <f>K40/K38</f>
        <v>0.15546218487394958</v>
      </c>
      <c r="L42" s="105">
        <f t="shared" ref="L42:Z42" si="141">L40/L38</f>
        <v>0.1552901023890785</v>
      </c>
      <c r="M42" s="93">
        <f t="shared" si="141"/>
        <v>0.15372297838270615</v>
      </c>
      <c r="N42" s="136">
        <f t="shared" si="141"/>
        <v>0.13727055067837191</v>
      </c>
      <c r="O42" s="420">
        <f t="shared" si="141"/>
        <v>0.14166666666666666</v>
      </c>
      <c r="P42" s="271">
        <f t="shared" si="141"/>
        <v>0.13011456628477905</v>
      </c>
      <c r="Q42" s="271">
        <f t="shared" si="141"/>
        <v>0.17996742671009772</v>
      </c>
      <c r="R42" s="270">
        <f t="shared" si="141"/>
        <v>0.10688665710186514</v>
      </c>
      <c r="S42" s="420">
        <f t="shared" si="141"/>
        <v>0.14118507681053402</v>
      </c>
      <c r="T42" s="271">
        <f t="shared" si="141"/>
        <v>0.11048387096774194</v>
      </c>
      <c r="U42" s="271">
        <f t="shared" si="141"/>
        <v>8.0105633802816906E-2</v>
      </c>
      <c r="V42" s="270">
        <f t="shared" si="141"/>
        <v>0.11083540115798181</v>
      </c>
      <c r="W42" s="436">
        <f t="shared" si="141"/>
        <v>0.15372035977105478</v>
      </c>
      <c r="X42" s="421">
        <f t="shared" si="141"/>
        <v>0.10332103321033211</v>
      </c>
      <c r="Y42" s="421">
        <f t="shared" si="141"/>
        <v>8.4128360797918467E-2</v>
      </c>
      <c r="Z42" s="440">
        <f t="shared" si="141"/>
        <v>8.7336244541484712E-2</v>
      </c>
      <c r="AA42" s="480">
        <f>W42*(1+AA43)</f>
        <v>0.15448896156991004</v>
      </c>
      <c r="AB42" s="481">
        <f t="shared" ref="AB42" si="142">X42*(1+AB43)</f>
        <v>0.10383763837638375</v>
      </c>
      <c r="AC42" s="481">
        <f t="shared" ref="AC42" si="143">Y42*(1+AC43)</f>
        <v>8.4549002601908049E-2</v>
      </c>
      <c r="AD42" s="482">
        <f t="shared" ref="AD42" si="144">Z42*(1+AD43)</f>
        <v>8.7772925764192128E-2</v>
      </c>
      <c r="AE42" s="480">
        <f t="shared" ref="AE42" si="145">AA42*(1+AE43)</f>
        <v>0.15526140637775956</v>
      </c>
      <c r="AF42" s="481">
        <f t="shared" ref="AF42" si="146">AB42*(1+AF43)</f>
        <v>0.10435682656826566</v>
      </c>
      <c r="AG42" s="481">
        <f t="shared" ref="AG42" si="147">AC42*(1+AG43)</f>
        <v>8.4971747614917575E-2</v>
      </c>
      <c r="AH42" s="482">
        <f t="shared" ref="AH42" si="148">AD42*(1+AH43)</f>
        <v>8.8211790393013079E-2</v>
      </c>
      <c r="AI42" s="480">
        <f t="shared" ref="AI42" si="149">AE42*(1+AI43)</f>
        <v>0.15603771340964834</v>
      </c>
      <c r="AJ42" s="481">
        <f t="shared" ref="AJ42" si="150">AF42*(1+AJ43)</f>
        <v>0.10487861070110698</v>
      </c>
      <c r="AK42" s="481">
        <f t="shared" ref="AK42" si="151">AG42*(1+AK43)</f>
        <v>8.5396606352992149E-2</v>
      </c>
      <c r="AL42" s="482">
        <f t="shared" ref="AL42" si="152">AH42*(1+AL43)</f>
        <v>8.8652849344978135E-2</v>
      </c>
    </row>
    <row r="43" spans="2:43" ht="13.5" customHeight="1">
      <c r="B43" s="478" t="s">
        <v>198</v>
      </c>
      <c r="C43" s="418"/>
      <c r="D43" s="419">
        <f t="shared" ref="D43:I43" si="153">D42-C42</f>
        <v>-1.1635621356353709E-2</v>
      </c>
      <c r="E43" s="419">
        <f t="shared" si="153"/>
        <v>-2.6576278673405659E-2</v>
      </c>
      <c r="F43" s="479">
        <f t="shared" si="153"/>
        <v>-4.1497617080542143E-3</v>
      </c>
      <c r="G43" s="419">
        <f t="shared" si="153"/>
        <v>2.3474432046362292E-4</v>
      </c>
      <c r="H43" s="419">
        <f t="shared" si="153"/>
        <v>2.4642322463516719E-4</v>
      </c>
      <c r="I43" s="419">
        <f t="shared" si="153"/>
        <v>5.4203667377324127E-4</v>
      </c>
      <c r="J43" s="418"/>
      <c r="K43" s="291"/>
      <c r="L43" s="105"/>
      <c r="M43" s="93"/>
      <c r="N43" s="136"/>
      <c r="O43" s="420">
        <f>O42-K42</f>
        <v>-1.379551820728292E-2</v>
      </c>
      <c r="P43" s="271">
        <f t="shared" ref="P43" si="154">P42-L42</f>
        <v>-2.5175536104299456E-2</v>
      </c>
      <c r="Q43" s="271">
        <f t="shared" ref="Q43" si="155">Q42-M42</f>
        <v>2.6244448327391562E-2</v>
      </c>
      <c r="R43" s="270">
        <f t="shared" ref="R43" si="156">R42-N42</f>
        <v>-3.0383893576506768E-2</v>
      </c>
      <c r="S43" s="420">
        <f t="shared" ref="S43" si="157">S42-O42</f>
        <v>-4.8158985613264149E-4</v>
      </c>
      <c r="T43" s="271">
        <f t="shared" ref="T43" si="158">T42-P42</f>
        <v>-1.9630695317037108E-2</v>
      </c>
      <c r="U43" s="271">
        <f t="shared" ref="U43" si="159">U42-Q42</f>
        <v>-9.9861792907280811E-2</v>
      </c>
      <c r="V43" s="270">
        <f t="shared" ref="V43" si="160">V42-R42</f>
        <v>3.9487440561166709E-3</v>
      </c>
      <c r="W43" s="436">
        <f t="shared" ref="W43" si="161">W42-S42</f>
        <v>1.2535282960520755E-2</v>
      </c>
      <c r="X43" s="421">
        <f t="shared" ref="X43" si="162">X42-T42</f>
        <v>-7.1628377574098345E-3</v>
      </c>
      <c r="Y43" s="421">
        <f t="shared" ref="Y43" si="163">Y42-U42</f>
        <v>4.022726995101561E-3</v>
      </c>
      <c r="Z43" s="440">
        <f t="shared" ref="Z43" si="164">Z42-V42</f>
        <v>-2.3499156616497097E-2</v>
      </c>
      <c r="AA43" s="432">
        <v>5.0000000000000001E-3</v>
      </c>
      <c r="AB43" s="432">
        <v>5.0000000000000001E-3</v>
      </c>
      <c r="AC43" s="432">
        <v>5.0000000000000001E-3</v>
      </c>
      <c r="AD43" s="442">
        <v>5.0000000000000001E-3</v>
      </c>
      <c r="AE43" s="432">
        <v>5.0000000000000001E-3</v>
      </c>
      <c r="AF43" s="432">
        <v>5.0000000000000001E-3</v>
      </c>
      <c r="AG43" s="432">
        <v>5.0000000000000001E-3</v>
      </c>
      <c r="AH43" s="442">
        <v>5.0000000000000001E-3</v>
      </c>
      <c r="AI43" s="432">
        <v>5.0000000000000001E-3</v>
      </c>
      <c r="AJ43" s="432">
        <v>5.0000000000000001E-3</v>
      </c>
      <c r="AK43" s="432">
        <v>5.0000000000000001E-3</v>
      </c>
      <c r="AL43" s="442">
        <v>5.0000000000000001E-3</v>
      </c>
    </row>
    <row r="44" spans="2:43" ht="13.5" customHeight="1">
      <c r="B44" s="252" t="s">
        <v>193</v>
      </c>
      <c r="C44" s="253"/>
      <c r="D44" s="253"/>
      <c r="E44" s="253"/>
      <c r="F44" s="253"/>
      <c r="G44" s="471"/>
      <c r="H44" s="254"/>
      <c r="I44" s="254"/>
      <c r="K44" s="386"/>
      <c r="L44" s="104"/>
      <c r="M44" s="281"/>
      <c r="N44" s="393"/>
      <c r="O44" s="394"/>
      <c r="P44" s="282"/>
      <c r="Q44" s="282"/>
      <c r="R44" s="395"/>
      <c r="S44" s="394"/>
      <c r="T44" s="282"/>
      <c r="U44" s="282"/>
      <c r="V44" s="395"/>
      <c r="W44" s="437"/>
      <c r="Z44" s="441"/>
      <c r="AA44" s="437"/>
      <c r="AB44" s="111"/>
      <c r="AC44" s="111"/>
      <c r="AD44" s="441"/>
      <c r="AE44" s="437"/>
      <c r="AF44" s="111"/>
      <c r="AG44" s="111"/>
      <c r="AH44" s="441"/>
      <c r="AI44" s="437"/>
      <c r="AJ44" s="111"/>
      <c r="AK44" s="111"/>
      <c r="AL44" s="441"/>
    </row>
    <row r="45" spans="2:43" ht="13.5" customHeight="1">
      <c r="B45" s="293" t="s">
        <v>183</v>
      </c>
      <c r="C45" s="272">
        <v>8.5999999999999993E-2</v>
      </c>
      <c r="D45" s="272">
        <v>3.8997738486842105E-2</v>
      </c>
      <c r="E45" s="272">
        <v>2.5350116189000779E-2</v>
      </c>
      <c r="F45" s="272">
        <v>-5.6669628432956379E-2</v>
      </c>
      <c r="G45" s="472">
        <f>SUMPRODUCT(W$38:Z$38,AA45:AD45)/SUM(W$38:Z$38)</f>
        <v>-0.02</v>
      </c>
      <c r="H45" s="272">
        <f>SUMPRODUCT(AA$38:AD$38,AE45:AH45)/SUM(AA$38:AD$38)</f>
        <v>9.9999999999999985E-3</v>
      </c>
      <c r="I45" s="272">
        <f>SUMPRODUCT(AE$38:AH$38,AI45:AL45)/SUM(AE$38:AH$38)</f>
        <v>9.9999999999999985E-3</v>
      </c>
      <c r="J45" s="418"/>
      <c r="K45" s="291"/>
      <c r="L45" s="105"/>
      <c r="M45" s="93"/>
      <c r="N45" s="136"/>
      <c r="O45" s="420">
        <v>0.06</v>
      </c>
      <c r="P45" s="271">
        <v>5.7000000000000002E-2</v>
      </c>
      <c r="Q45" s="271">
        <v>-2.7E-2</v>
      </c>
      <c r="R45" s="270">
        <v>6.8000000000000005E-2</v>
      </c>
      <c r="S45" s="420">
        <v>4.1000000000000002E-2</v>
      </c>
      <c r="T45" s="271">
        <v>3.5000000000000003E-2</v>
      </c>
      <c r="U45" s="271">
        <v>4.7E-2</v>
      </c>
      <c r="V45" s="270">
        <v>-1.7000000000000001E-2</v>
      </c>
      <c r="W45" s="436">
        <v>-3.7999999999999999E-2</v>
      </c>
      <c r="X45" s="421">
        <v>-9.9000000000000005E-2</v>
      </c>
      <c r="Y45" s="421">
        <v>-2.3E-2</v>
      </c>
      <c r="Z45" s="440">
        <v>-6.6000000000000003E-2</v>
      </c>
      <c r="AA45" s="459">
        <v>-0.02</v>
      </c>
      <c r="AB45" s="432">
        <v>-0.02</v>
      </c>
      <c r="AC45" s="432">
        <v>-0.02</v>
      </c>
      <c r="AD45" s="442">
        <v>-0.02</v>
      </c>
      <c r="AE45" s="459">
        <v>0.01</v>
      </c>
      <c r="AF45" s="432">
        <v>0.01</v>
      </c>
      <c r="AG45" s="432">
        <v>0.01</v>
      </c>
      <c r="AH45" s="442">
        <v>0.01</v>
      </c>
      <c r="AI45" s="459">
        <v>0.01</v>
      </c>
      <c r="AJ45" s="432">
        <v>0.01</v>
      </c>
      <c r="AK45" s="432">
        <v>0.01</v>
      </c>
      <c r="AL45" s="442">
        <v>0.01</v>
      </c>
    </row>
    <row r="46" spans="2:43" ht="13.5" customHeight="1">
      <c r="B46" s="294" t="s">
        <v>188</v>
      </c>
      <c r="C46" s="272">
        <v>2.8000000000000001E-2</v>
      </c>
      <c r="D46" s="272">
        <v>3.9377672697368422E-2</v>
      </c>
      <c r="E46" s="272">
        <v>-1.8944229279628196E-2</v>
      </c>
      <c r="F46" s="272">
        <v>2.8729402261712441E-2</v>
      </c>
      <c r="G46" s="472">
        <f>SUMPRODUCT(W$38:Z$38,AA46:AD46)/SUM(W$38:Z$38)</f>
        <v>0.04</v>
      </c>
      <c r="H46" s="272">
        <f>SUMPRODUCT(AA$38:AD$38,AE46:AH46)/SUM(AA$38:AD$38)</f>
        <v>2.9999999999999995E-2</v>
      </c>
      <c r="I46" s="272">
        <f>SUMPRODUCT(AE$38:AH$38,AI46:AL46)/SUM(AE$38:AH$38)</f>
        <v>2.9999999999999995E-2</v>
      </c>
      <c r="J46" s="418"/>
      <c r="K46" s="389"/>
      <c r="L46" s="43"/>
      <c r="M46" s="105"/>
      <c r="N46" s="135"/>
      <c r="O46" s="133">
        <v>3.6999999999999998E-2</v>
      </c>
      <c r="P46" s="105">
        <v>3.3000000000000002E-2</v>
      </c>
      <c r="Q46" s="105">
        <v>4.5999999999999999E-2</v>
      </c>
      <c r="R46" s="135">
        <v>4.1000000000000002E-2</v>
      </c>
      <c r="S46" s="133">
        <v>1.7000000000000001E-2</v>
      </c>
      <c r="T46" s="105">
        <v>-2E-3</v>
      </c>
      <c r="U46" s="105">
        <v>-4.5999999999999999E-2</v>
      </c>
      <c r="V46" s="135">
        <v>-4.3999999999999997E-2</v>
      </c>
      <c r="W46" s="436">
        <v>1.0999999999999999E-2</v>
      </c>
      <c r="X46" s="421">
        <v>1.6E-2</v>
      </c>
      <c r="Y46" s="421">
        <v>3.5999999999999997E-2</v>
      </c>
      <c r="Z46" s="440">
        <v>5.5E-2</v>
      </c>
      <c r="AA46" s="459">
        <v>0.04</v>
      </c>
      <c r="AB46" s="432">
        <v>0.04</v>
      </c>
      <c r="AC46" s="432">
        <v>0.04</v>
      </c>
      <c r="AD46" s="442">
        <v>0.04</v>
      </c>
      <c r="AE46" s="459">
        <v>0.03</v>
      </c>
      <c r="AF46" s="432">
        <v>0.03</v>
      </c>
      <c r="AG46" s="432">
        <v>0.03</v>
      </c>
      <c r="AH46" s="442">
        <v>0.03</v>
      </c>
      <c r="AI46" s="459">
        <v>0.03</v>
      </c>
      <c r="AJ46" s="432">
        <v>0.03</v>
      </c>
      <c r="AK46" s="432">
        <v>0.03</v>
      </c>
      <c r="AL46" s="442">
        <v>0.03</v>
      </c>
    </row>
    <row r="47" spans="2:43" ht="13.5" customHeight="1">
      <c r="B47" s="294" t="s">
        <v>184</v>
      </c>
      <c r="C47" s="272">
        <v>0.11399999999999999</v>
      </c>
      <c r="D47" s="272">
        <v>7.8375411184210528E-2</v>
      </c>
      <c r="E47" s="272">
        <v>6.4058869093725837E-3</v>
      </c>
      <c r="F47" s="272">
        <v>-2.7940226171243938E-2</v>
      </c>
      <c r="G47" s="472">
        <f t="shared" ref="G47" si="165">SUM(G45:G46)</f>
        <v>0.02</v>
      </c>
      <c r="H47" s="272">
        <f t="shared" ref="H47" si="166">SUM(H45:H46)</f>
        <v>3.9999999999999994E-2</v>
      </c>
      <c r="I47" s="272">
        <f t="shared" ref="I47" si="167">SUM(I45:I46)</f>
        <v>3.9999999999999994E-2</v>
      </c>
      <c r="J47" s="418"/>
      <c r="K47" s="389"/>
      <c r="L47" s="43"/>
      <c r="M47" s="105"/>
      <c r="N47" s="135"/>
      <c r="O47" s="133">
        <v>9.7000000000000003E-2</v>
      </c>
      <c r="P47" s="105">
        <v>0.09</v>
      </c>
      <c r="Q47" s="105">
        <v>1.9E-2</v>
      </c>
      <c r="R47" s="135">
        <v>0.10900000000000001</v>
      </c>
      <c r="S47" s="133">
        <v>5.8000000000000003E-2</v>
      </c>
      <c r="T47" s="105">
        <v>3.3000000000000002E-2</v>
      </c>
      <c r="U47" s="105">
        <v>1.0000000000000009E-3</v>
      </c>
      <c r="V47" s="135">
        <v>-6.0999999999999999E-2</v>
      </c>
      <c r="W47" s="436">
        <v>-2.7E-2</v>
      </c>
      <c r="X47" s="421">
        <v>-8.3000000000000004E-2</v>
      </c>
      <c r="Y47" s="421">
        <v>1.2999999999999998E-2</v>
      </c>
      <c r="Z47" s="440">
        <v>-1.1000000000000003E-2</v>
      </c>
      <c r="AA47" s="460">
        <f>SUM(AA45:AA46)</f>
        <v>0.02</v>
      </c>
      <c r="AB47" s="433">
        <f t="shared" ref="AB47" si="168">SUM(AB45:AB46)</f>
        <v>0.02</v>
      </c>
      <c r="AC47" s="433">
        <f t="shared" ref="AC47" si="169">SUM(AC45:AC46)</f>
        <v>0.02</v>
      </c>
      <c r="AD47" s="443">
        <f t="shared" ref="AD47" si="170">SUM(AD45:AD46)</f>
        <v>0.02</v>
      </c>
      <c r="AE47" s="460">
        <f t="shared" ref="AE47" si="171">SUM(AE45:AE46)</f>
        <v>0.04</v>
      </c>
      <c r="AF47" s="433">
        <f t="shared" ref="AF47" si="172">SUM(AF45:AF46)</f>
        <v>0.04</v>
      </c>
      <c r="AG47" s="433">
        <f t="shared" ref="AG47" si="173">SUM(AG45:AG46)</f>
        <v>0.04</v>
      </c>
      <c r="AH47" s="443">
        <f t="shared" ref="AH47" si="174">SUM(AH45:AH46)</f>
        <v>0.04</v>
      </c>
      <c r="AI47" s="460">
        <f t="shared" ref="AI47" si="175">SUM(AI45:AI46)</f>
        <v>0.04</v>
      </c>
      <c r="AJ47" s="433">
        <f t="shared" ref="AJ47" si="176">SUM(AJ45:AJ46)</f>
        <v>0.04</v>
      </c>
      <c r="AK47" s="433">
        <f t="shared" ref="AK47" si="177">SUM(AK45:AK46)</f>
        <v>0.04</v>
      </c>
      <c r="AL47" s="443">
        <f t="shared" ref="AL47" si="178">SUM(AL45:AL46)</f>
        <v>0.04</v>
      </c>
    </row>
    <row r="48" spans="2:43" s="111" customFormat="1" ht="13.5" customHeight="1">
      <c r="B48" s="293" t="s">
        <v>185</v>
      </c>
      <c r="C48" s="272">
        <v>7.0014844136566057E-2</v>
      </c>
      <c r="D48" s="272">
        <v>-1.6858552631578948E-2</v>
      </c>
      <c r="E48" s="272">
        <v>-4.7391944229279628E-2</v>
      </c>
      <c r="F48" s="272">
        <v>-4.2205169628432959E-2</v>
      </c>
      <c r="G48" s="472">
        <f>SUMPRODUCT(W$38:Z$38,AA48:AD48)/SUM(W$38:Z$38)</f>
        <v>-8.5179153094462542E-2</v>
      </c>
      <c r="H48" s="272">
        <f>SUMPRODUCT(AA$38:AD$38,AE48:AH48)/SUM(AA$38:AD$38)</f>
        <v>-6.5342578719351438E-3</v>
      </c>
      <c r="I48" s="272">
        <f>SUMPRODUCT(AE$38:AH$38,AI48:AL48)/SUM(AE$38:AH$38)</f>
        <v>0</v>
      </c>
      <c r="J48" s="418"/>
      <c r="K48" s="388"/>
      <c r="L48" s="434"/>
      <c r="M48" s="105"/>
      <c r="N48" s="135"/>
      <c r="O48" s="133">
        <v>1.2605042016806723E-2</v>
      </c>
      <c r="P48" s="105">
        <v>-4.778156996587031E-2</v>
      </c>
      <c r="Q48" s="105">
        <v>-3.6028823058446756E-2</v>
      </c>
      <c r="R48" s="135">
        <v>3.1923383878691143E-3</v>
      </c>
      <c r="S48" s="133">
        <v>-2.1999999999999999E-2</v>
      </c>
      <c r="T48" s="105">
        <v>-1.7999999999999999E-2</v>
      </c>
      <c r="U48" s="105">
        <v>-7.5999999999999998E-2</v>
      </c>
      <c r="V48" s="135">
        <v>-7.1999999999999995E-2</v>
      </c>
      <c r="W48" s="436">
        <v>-7.8273591806876375E-2</v>
      </c>
      <c r="X48" s="421">
        <v>-4.2741935483870966E-2</v>
      </c>
      <c r="Y48" s="421">
        <v>1.7605633802816902E-3</v>
      </c>
      <c r="Z48" s="440">
        <v>-4.2183622828784122E-2</v>
      </c>
      <c r="AA48" s="459">
        <v>-0.1</v>
      </c>
      <c r="AB48" s="432">
        <v>-0.09</v>
      </c>
      <c r="AC48" s="432">
        <v>-0.08</v>
      </c>
      <c r="AD48" s="442">
        <v>-7.0000000000000007E-2</v>
      </c>
      <c r="AE48" s="459">
        <v>-2.5000000000000001E-2</v>
      </c>
      <c r="AF48" s="432">
        <v>0</v>
      </c>
      <c r="AG48" s="432">
        <v>0</v>
      </c>
      <c r="AH48" s="442">
        <v>0</v>
      </c>
      <c r="AI48" s="459">
        <v>0</v>
      </c>
      <c r="AJ48" s="432">
        <v>0</v>
      </c>
      <c r="AK48" s="432">
        <v>0</v>
      </c>
      <c r="AL48" s="442">
        <v>0</v>
      </c>
    </row>
    <row r="49" spans="2:38" s="111" customFormat="1" ht="13.5" customHeight="1">
      <c r="B49" s="294" t="s">
        <v>186</v>
      </c>
      <c r="C49" s="272">
        <v>4.9480455220188027E-2</v>
      </c>
      <c r="D49" s="272">
        <v>0</v>
      </c>
      <c r="E49" s="272">
        <v>0</v>
      </c>
      <c r="F49" s="272">
        <v>0</v>
      </c>
      <c r="G49" s="472">
        <f>SUMPRODUCT(W$38:Z$38,AA49:AD49)/SUM(W$38:Z$38)</f>
        <v>0</v>
      </c>
      <c r="H49" s="272">
        <f>SUMPRODUCT(AA$38:AD$38,AE49:AH49)/SUM(AA$38:AD$38)</f>
        <v>0</v>
      </c>
      <c r="I49" s="272">
        <f>SUMPRODUCT(AE$38:AH$38,AI49:AL49)/SUM(AE$38:AH$38)</f>
        <v>0</v>
      </c>
      <c r="J49" s="418"/>
      <c r="K49" s="389"/>
      <c r="L49" s="434"/>
      <c r="M49" s="105"/>
      <c r="N49" s="135"/>
      <c r="O49" s="133">
        <v>0</v>
      </c>
      <c r="P49" s="105">
        <v>0</v>
      </c>
      <c r="Q49" s="105">
        <v>0</v>
      </c>
      <c r="R49" s="135">
        <v>0</v>
      </c>
      <c r="S49" s="133">
        <v>0</v>
      </c>
      <c r="T49" s="105">
        <v>0</v>
      </c>
      <c r="U49" s="105">
        <v>0</v>
      </c>
      <c r="V49" s="135">
        <v>0</v>
      </c>
      <c r="W49" s="436">
        <v>0</v>
      </c>
      <c r="X49" s="421">
        <v>0</v>
      </c>
      <c r="Y49" s="421">
        <v>0</v>
      </c>
      <c r="Z49" s="440">
        <v>0</v>
      </c>
      <c r="AA49" s="459">
        <v>0</v>
      </c>
      <c r="AB49" s="432">
        <v>0</v>
      </c>
      <c r="AC49" s="432">
        <v>0</v>
      </c>
      <c r="AD49" s="442">
        <v>0</v>
      </c>
      <c r="AE49" s="459">
        <v>0</v>
      </c>
      <c r="AF49" s="432">
        <v>0</v>
      </c>
      <c r="AG49" s="432">
        <v>0</v>
      </c>
      <c r="AH49" s="442">
        <v>0</v>
      </c>
      <c r="AI49" s="459">
        <v>0</v>
      </c>
      <c r="AJ49" s="432">
        <v>0</v>
      </c>
      <c r="AK49" s="432">
        <v>0</v>
      </c>
      <c r="AL49" s="442">
        <v>0</v>
      </c>
    </row>
    <row r="50" spans="2:38" s="111" customFormat="1" ht="13.5" customHeight="1" thickBot="1">
      <c r="B50" s="469" t="s">
        <v>1</v>
      </c>
      <c r="C50" s="468">
        <v>-2.7214250371103414E-2</v>
      </c>
      <c r="D50" s="468">
        <v>0</v>
      </c>
      <c r="E50" s="468">
        <v>0</v>
      </c>
      <c r="F50" s="468">
        <v>0</v>
      </c>
      <c r="G50" s="473">
        <f>SUMPRODUCT(W$38:Z$38,AA50:AD50)/SUM(W$38:Z$38)</f>
        <v>0</v>
      </c>
      <c r="H50" s="468">
        <f>SUMPRODUCT(AA$38:AD$38,AE50:AH50)/SUM(AA$38:AD$38)</f>
        <v>0</v>
      </c>
      <c r="I50" s="468">
        <f>SUMPRODUCT(AE$38:AH$38,AI50:AL50)/SUM(AE$38:AH$38)</f>
        <v>0</v>
      </c>
      <c r="J50" s="418"/>
      <c r="K50" s="390"/>
      <c r="L50" s="449"/>
      <c r="M50" s="449"/>
      <c r="N50" s="450"/>
      <c r="O50" s="452">
        <v>0</v>
      </c>
      <c r="P50" s="449">
        <v>0</v>
      </c>
      <c r="Q50" s="449">
        <v>0</v>
      </c>
      <c r="R50" s="450">
        <v>0</v>
      </c>
      <c r="S50" s="452">
        <v>0</v>
      </c>
      <c r="T50" s="449">
        <v>0</v>
      </c>
      <c r="U50" s="449">
        <v>0</v>
      </c>
      <c r="V50" s="450">
        <v>0</v>
      </c>
      <c r="W50" s="456">
        <v>0</v>
      </c>
      <c r="X50" s="457">
        <v>0</v>
      </c>
      <c r="Y50" s="457">
        <v>0</v>
      </c>
      <c r="Z50" s="440">
        <v>0</v>
      </c>
      <c r="AA50" s="461">
        <v>0</v>
      </c>
      <c r="AB50" s="438">
        <v>0</v>
      </c>
      <c r="AC50" s="438">
        <v>0</v>
      </c>
      <c r="AD50" s="444">
        <v>0</v>
      </c>
      <c r="AE50" s="461">
        <v>0</v>
      </c>
      <c r="AF50" s="438">
        <v>0</v>
      </c>
      <c r="AG50" s="438">
        <v>0</v>
      </c>
      <c r="AH50" s="444">
        <v>0</v>
      </c>
      <c r="AI50" s="461">
        <v>0</v>
      </c>
      <c r="AJ50" s="438">
        <v>0</v>
      </c>
      <c r="AK50" s="438">
        <v>0</v>
      </c>
      <c r="AL50" s="444">
        <v>0</v>
      </c>
    </row>
    <row r="51" spans="2:38" s="111" customFormat="1" ht="13.5" customHeight="1">
      <c r="B51" s="273"/>
      <c r="C51" s="274"/>
      <c r="D51" s="274"/>
      <c r="E51" s="274"/>
      <c r="F51" s="274"/>
      <c r="G51" s="476"/>
      <c r="H51" s="274"/>
      <c r="I51" s="274"/>
      <c r="J51" s="154"/>
      <c r="K51" s="392"/>
      <c r="L51" s="287"/>
      <c r="M51" s="284"/>
      <c r="N51" s="286"/>
      <c r="O51" s="396"/>
      <c r="P51" s="285"/>
      <c r="Q51" s="285"/>
      <c r="R51" s="286"/>
      <c r="S51" s="396"/>
      <c r="T51" s="285"/>
      <c r="U51" s="285"/>
      <c r="V51" s="286"/>
      <c r="Z51" s="463"/>
      <c r="AL51" s="441"/>
    </row>
    <row r="52" spans="2:38" s="111" customFormat="1" ht="13.5" customHeight="1">
      <c r="B52" s="252" t="s">
        <v>194</v>
      </c>
      <c r="C52" s="253"/>
      <c r="D52" s="253"/>
      <c r="E52" s="253"/>
      <c r="F52" s="253"/>
      <c r="G52" s="471"/>
      <c r="H52" s="254"/>
      <c r="I52" s="254"/>
      <c r="J52" s="14"/>
      <c r="K52" s="445"/>
      <c r="L52" s="446"/>
      <c r="M52" s="889"/>
      <c r="N52" s="890"/>
      <c r="O52" s="891"/>
      <c r="P52" s="889"/>
      <c r="Q52" s="889"/>
      <c r="R52" s="890"/>
      <c r="S52" s="891"/>
      <c r="T52" s="889"/>
      <c r="U52" s="889"/>
      <c r="V52" s="890"/>
      <c r="W52" s="892"/>
      <c r="X52" s="888"/>
      <c r="Y52" s="446"/>
      <c r="Z52" s="441"/>
      <c r="AA52" s="453"/>
      <c r="AB52" s="446"/>
      <c r="AC52" s="446"/>
      <c r="AD52" s="454"/>
      <c r="AE52" s="453"/>
      <c r="AF52" s="446"/>
      <c r="AG52" s="446"/>
      <c r="AH52" s="454"/>
      <c r="AI52" s="453"/>
      <c r="AJ52" s="446"/>
      <c r="AK52" s="446"/>
      <c r="AL52" s="454"/>
    </row>
    <row r="53" spans="2:38" s="111" customFormat="1" ht="13.5" customHeight="1">
      <c r="B53" s="422" t="s">
        <v>53</v>
      </c>
      <c r="C53" s="417">
        <f>SUM(K53:N53)</f>
        <v>3836</v>
      </c>
      <c r="D53" s="417">
        <f>SUM(O53:R53)</f>
        <v>3735</v>
      </c>
      <c r="E53" s="417">
        <f>SUM(S53:V53)</f>
        <v>3915</v>
      </c>
      <c r="F53" s="417">
        <f>SUM(W53:Z53)</f>
        <v>3638</v>
      </c>
      <c r="G53" s="455">
        <f>SUM(AA53:AD53)</f>
        <v>2922.8500000000004</v>
      </c>
      <c r="H53" s="417">
        <f>SUM(AE53:AH53)</f>
        <v>2885.5675000000001</v>
      </c>
      <c r="I53" s="417">
        <f>SUM(AI53:AL53)</f>
        <v>3058.7015500000002</v>
      </c>
      <c r="J53" s="417"/>
      <c r="K53" s="423">
        <v>796</v>
      </c>
      <c r="L53" s="424">
        <v>1015</v>
      </c>
      <c r="M53" s="425">
        <v>959</v>
      </c>
      <c r="N53" s="426">
        <v>1066</v>
      </c>
      <c r="O53" s="427">
        <v>849</v>
      </c>
      <c r="P53" s="428">
        <v>965</v>
      </c>
      <c r="Q53" s="428">
        <v>886</v>
      </c>
      <c r="R53" s="429">
        <v>1035</v>
      </c>
      <c r="S53" s="427">
        <v>863</v>
      </c>
      <c r="T53" s="428">
        <v>1039</v>
      </c>
      <c r="U53" s="428">
        <v>948</v>
      </c>
      <c r="V53" s="429">
        <v>1065</v>
      </c>
      <c r="W53" s="455">
        <v>838</v>
      </c>
      <c r="X53" s="430">
        <v>1008</v>
      </c>
      <c r="Y53" s="430">
        <v>894</v>
      </c>
      <c r="Z53" s="439">
        <v>898</v>
      </c>
      <c r="AA53" s="455">
        <f>W53*(1+AA54)</f>
        <v>653.64</v>
      </c>
      <c r="AB53" s="430">
        <f>X53*(1+AB54)</f>
        <v>786.24</v>
      </c>
      <c r="AC53" s="430">
        <f t="shared" ref="AC53" si="179">Y53*(1+AC54)</f>
        <v>719.67</v>
      </c>
      <c r="AD53" s="439">
        <f t="shared" ref="AD53" si="180">Z53*(1+AD54)</f>
        <v>763.3</v>
      </c>
      <c r="AE53" s="455">
        <f t="shared" ref="AE53" si="181">AA53*(1+AE54)</f>
        <v>594.81240000000003</v>
      </c>
      <c r="AF53" s="430">
        <f t="shared" ref="AF53" si="182">AB53*(1+AF54)</f>
        <v>754.79039999999998</v>
      </c>
      <c r="AG53" s="430">
        <f t="shared" ref="AG53" si="183">AC53*(1+AG54)</f>
        <v>726.86669999999992</v>
      </c>
      <c r="AH53" s="439">
        <f t="shared" ref="AH53" si="184">AD53*(1+AH54)</f>
        <v>809.09799999999996</v>
      </c>
      <c r="AI53" s="455">
        <f t="shared" ref="AI53" si="185">AE53*(1+AI54)</f>
        <v>630.50114400000007</v>
      </c>
      <c r="AJ53" s="430">
        <f t="shared" ref="AJ53" si="186">AF53*(1+AJ54)</f>
        <v>800.07782399999996</v>
      </c>
      <c r="AK53" s="430">
        <f t="shared" ref="AK53" si="187">AG53*(1+AK54)</f>
        <v>770.478702</v>
      </c>
      <c r="AL53" s="439">
        <f t="shared" ref="AL53" si="188">AH53*(1+AL54)</f>
        <v>857.64387999999997</v>
      </c>
    </row>
    <row r="54" spans="2:38" s="111" customFormat="1" ht="13.5" customHeight="1">
      <c r="B54" s="431" t="s">
        <v>143</v>
      </c>
      <c r="C54" s="419"/>
      <c r="D54" s="419">
        <f>D53/C53-1</f>
        <v>-2.6329509906152238E-2</v>
      </c>
      <c r="E54" s="419">
        <f t="shared" ref="E54" si="189">E53/D53-1</f>
        <v>4.8192771084337283E-2</v>
      </c>
      <c r="F54" s="419">
        <f t="shared" ref="F54" si="190">F53/E53-1</f>
        <v>-7.0753512132822438E-2</v>
      </c>
      <c r="G54" s="436">
        <f t="shared" ref="G54" si="191">G53/F53-1</f>
        <v>-0.19657778999450237</v>
      </c>
      <c r="H54" s="419">
        <f t="shared" ref="H54" si="192">H53/G53-1</f>
        <v>-1.2755529705595681E-2</v>
      </c>
      <c r="I54" s="419">
        <f t="shared" ref="I54" si="193">I53/H53-1</f>
        <v>6.0000000000000053E-2</v>
      </c>
      <c r="J54" s="419"/>
      <c r="K54" s="291"/>
      <c r="L54" s="105"/>
      <c r="M54" s="93"/>
      <c r="N54" s="136"/>
      <c r="O54" s="420">
        <f t="shared" ref="O54" si="194">O53/K53-1</f>
        <v>6.6582914572864249E-2</v>
      </c>
      <c r="P54" s="271">
        <f t="shared" ref="P54" si="195">P53/L53-1</f>
        <v>-4.9261083743842415E-2</v>
      </c>
      <c r="Q54" s="271">
        <f t="shared" ref="Q54" si="196">Q53/M53-1</f>
        <v>-7.6120959332638183E-2</v>
      </c>
      <c r="R54" s="270">
        <f t="shared" ref="R54" si="197">R53/N53-1</f>
        <v>-2.908067542213888E-2</v>
      </c>
      <c r="S54" s="420">
        <f t="shared" ref="S54" si="198">S53/O53-1</f>
        <v>1.648998822143688E-2</v>
      </c>
      <c r="T54" s="271">
        <f t="shared" ref="T54" si="199">T53/P53-1</f>
        <v>7.6683937823834203E-2</v>
      </c>
      <c r="U54" s="271">
        <f t="shared" ref="U54" si="200">U53/Q53-1</f>
        <v>6.9977426636568918E-2</v>
      </c>
      <c r="V54" s="270">
        <f t="shared" ref="V54" si="201">V53/R53-1</f>
        <v>2.8985507246376718E-2</v>
      </c>
      <c r="W54" s="436">
        <f t="shared" ref="W54" si="202">W53/S53-1</f>
        <v>-2.8968713789107814E-2</v>
      </c>
      <c r="X54" s="421">
        <f t="shared" ref="X54" si="203">X53/T53-1</f>
        <v>-2.9836381135707413E-2</v>
      </c>
      <c r="Y54" s="421">
        <f t="shared" ref="Y54" si="204">Y53/U53-1</f>
        <v>-5.6962025316455667E-2</v>
      </c>
      <c r="Z54" s="440">
        <f>Z53/V53-1</f>
        <v>-0.15680751173708918</v>
      </c>
      <c r="AA54" s="436">
        <f>SUM(AA62:AA65)</f>
        <v>-0.22</v>
      </c>
      <c r="AB54" s="421">
        <f t="shared" ref="AB54:AL54" si="205">SUM(AB62:AB65)</f>
        <v>-0.22</v>
      </c>
      <c r="AC54" s="421">
        <f t="shared" si="205"/>
        <v>-0.19500000000000001</v>
      </c>
      <c r="AD54" s="440">
        <f t="shared" si="205"/>
        <v>-0.15000000000000002</v>
      </c>
      <c r="AE54" s="436">
        <f t="shared" si="205"/>
        <v>-0.09</v>
      </c>
      <c r="AF54" s="421">
        <f t="shared" si="205"/>
        <v>-4.0000000000000008E-2</v>
      </c>
      <c r="AG54" s="421">
        <f t="shared" si="205"/>
        <v>9.999999999999995E-3</v>
      </c>
      <c r="AH54" s="440">
        <f t="shared" si="205"/>
        <v>0.06</v>
      </c>
      <c r="AI54" s="436">
        <f t="shared" si="205"/>
        <v>0.06</v>
      </c>
      <c r="AJ54" s="421">
        <f t="shared" si="205"/>
        <v>0.06</v>
      </c>
      <c r="AK54" s="421">
        <f t="shared" si="205"/>
        <v>0.06</v>
      </c>
      <c r="AL54" s="440">
        <f t="shared" si="205"/>
        <v>0.06</v>
      </c>
    </row>
    <row r="55" spans="2:38" s="111" customFormat="1" ht="13.5" customHeight="1">
      <c r="B55" s="422" t="s">
        <v>83</v>
      </c>
      <c r="C55" s="417">
        <f>SUM(K55:N55)</f>
        <v>476</v>
      </c>
      <c r="D55" s="417">
        <f>SUM(O55:R55)</f>
        <v>519</v>
      </c>
      <c r="E55" s="417">
        <f>SUM(S55:V55)</f>
        <v>449</v>
      </c>
      <c r="F55" s="417">
        <f>SUM(W55:Z55)</f>
        <v>418</v>
      </c>
      <c r="G55" s="455">
        <f>SUM(AA55:AD55)</f>
        <v>337.80459999999999</v>
      </c>
      <c r="H55" s="417">
        <f>SUM(AE55:AH55)</f>
        <v>336.29034840999998</v>
      </c>
      <c r="I55" s="417">
        <f>SUM(AI55:AL55)</f>
        <v>360.03244700774599</v>
      </c>
      <c r="J55" s="417"/>
      <c r="K55" s="423">
        <v>34</v>
      </c>
      <c r="L55" s="424">
        <v>121</v>
      </c>
      <c r="M55" s="425">
        <v>154</v>
      </c>
      <c r="N55" s="426">
        <v>167</v>
      </c>
      <c r="O55" s="427">
        <v>140</v>
      </c>
      <c r="P55" s="428">
        <v>143</v>
      </c>
      <c r="Q55" s="428">
        <v>109</v>
      </c>
      <c r="R55" s="429">
        <v>127</v>
      </c>
      <c r="S55" s="427">
        <v>65</v>
      </c>
      <c r="T55" s="428">
        <v>143</v>
      </c>
      <c r="U55" s="428">
        <v>117</v>
      </c>
      <c r="V55" s="429">
        <v>124</v>
      </c>
      <c r="W55" s="455">
        <v>70</v>
      </c>
      <c r="X55" s="430">
        <v>157</v>
      </c>
      <c r="Y55" s="430">
        <v>110</v>
      </c>
      <c r="Z55" s="439">
        <v>81</v>
      </c>
      <c r="AA55" s="455">
        <f>AA53*AA57</f>
        <v>55.146000000000001</v>
      </c>
      <c r="AB55" s="430">
        <f t="shared" ref="AB55:AL55" si="206">AB53*AB57</f>
        <v>123.6846</v>
      </c>
      <c r="AC55" s="430">
        <f t="shared" si="206"/>
        <v>89.43549999999999</v>
      </c>
      <c r="AD55" s="439">
        <f t="shared" si="206"/>
        <v>69.538499999999999</v>
      </c>
      <c r="AE55" s="455">
        <f t="shared" si="206"/>
        <v>50.684688600000008</v>
      </c>
      <c r="AF55" s="430">
        <f t="shared" si="206"/>
        <v>119.92458816</v>
      </c>
      <c r="AG55" s="430">
        <f t="shared" si="206"/>
        <v>91.233153549999983</v>
      </c>
      <c r="AH55" s="439">
        <f t="shared" si="206"/>
        <v>74.447918099999995</v>
      </c>
      <c r="AI55" s="455">
        <f t="shared" si="206"/>
        <v>54.263027615160013</v>
      </c>
      <c r="AJ55" s="430">
        <f t="shared" si="206"/>
        <v>128.39126408409601</v>
      </c>
      <c r="AK55" s="430">
        <f t="shared" si="206"/>
        <v>97.674214190629996</v>
      </c>
      <c r="AL55" s="439">
        <f t="shared" si="206"/>
        <v>79.703941117859998</v>
      </c>
    </row>
    <row r="56" spans="2:38" s="111" customFormat="1" ht="13.5" customHeight="1">
      <c r="B56" s="431" t="s">
        <v>143</v>
      </c>
      <c r="C56" s="419"/>
      <c r="D56" s="419">
        <f>D55/C55-1</f>
        <v>9.0336134453781414E-2</v>
      </c>
      <c r="E56" s="419">
        <f t="shared" ref="E56" si="207">E55/D55-1</f>
        <v>-0.13487475915221581</v>
      </c>
      <c r="F56" s="419">
        <f t="shared" ref="F56" si="208">F55/E55-1</f>
        <v>-6.9042316258351888E-2</v>
      </c>
      <c r="G56" s="436">
        <f t="shared" ref="G56" si="209">G55/F55-1</f>
        <v>-0.191855023923445</v>
      </c>
      <c r="H56" s="419">
        <f t="shared" ref="H56" si="210">H55/G55-1</f>
        <v>-4.4826257250494272E-3</v>
      </c>
      <c r="I56" s="419">
        <f t="shared" ref="I56" si="211">I55/H55-1</f>
        <v>7.0599999999999996E-2</v>
      </c>
      <c r="J56" s="419"/>
      <c r="K56" s="291"/>
      <c r="L56" s="105"/>
      <c r="M56" s="93"/>
      <c r="N56" s="136"/>
      <c r="O56" s="420">
        <f t="shared" ref="O56" si="212">O55/K55-1</f>
        <v>3.117647058823529</v>
      </c>
      <c r="P56" s="271">
        <f t="shared" ref="P56" si="213">P55/L55-1</f>
        <v>0.18181818181818188</v>
      </c>
      <c r="Q56" s="271">
        <f t="shared" ref="Q56" si="214">Q55/M55-1</f>
        <v>-0.29220779220779225</v>
      </c>
      <c r="R56" s="270">
        <f t="shared" ref="R56" si="215">R55/N55-1</f>
        <v>-0.23952095808383234</v>
      </c>
      <c r="S56" s="420">
        <f t="shared" ref="S56" si="216">S55/O55-1</f>
        <v>-0.5357142857142857</v>
      </c>
      <c r="T56" s="271">
        <f t="shared" ref="T56" si="217">T55/P55-1</f>
        <v>0</v>
      </c>
      <c r="U56" s="271">
        <f t="shared" ref="U56" si="218">U55/Q55-1</f>
        <v>7.3394495412844041E-2</v>
      </c>
      <c r="V56" s="270">
        <f t="shared" ref="V56" si="219">V55/R55-1</f>
        <v>-2.3622047244094446E-2</v>
      </c>
      <c r="W56" s="436">
        <f t="shared" ref="W56" si="220">W55/S55-1</f>
        <v>7.6923076923076872E-2</v>
      </c>
      <c r="X56" s="421">
        <f t="shared" ref="X56" si="221">X55/T55-1</f>
        <v>9.7902097902097918E-2</v>
      </c>
      <c r="Y56" s="421">
        <f t="shared" ref="Y56" si="222">Y55/U55-1</f>
        <v>-5.9829059829059839E-2</v>
      </c>
      <c r="Z56" s="440">
        <f>Z55/V55-1</f>
        <v>-0.34677419354838712</v>
      </c>
      <c r="AA56" s="436">
        <f>AA55/W55-1</f>
        <v>-0.21219999999999994</v>
      </c>
      <c r="AB56" s="421">
        <f t="shared" ref="AB56" si="223">AB55/X55-1</f>
        <v>-0.21219999999999994</v>
      </c>
      <c r="AC56" s="421">
        <f t="shared" ref="AC56" si="224">AC55/Y55-1</f>
        <v>-0.18695000000000006</v>
      </c>
      <c r="AD56" s="440">
        <f t="shared" ref="AD56" si="225">AD55/Z55-1</f>
        <v>-0.14149999999999996</v>
      </c>
      <c r="AE56" s="436">
        <f t="shared" ref="AE56" si="226">AE55/AA55-1</f>
        <v>-8.0899999999999861E-2</v>
      </c>
      <c r="AF56" s="421">
        <f t="shared" ref="AF56" si="227">AF55/AB55-1</f>
        <v>-3.0399999999999983E-2</v>
      </c>
      <c r="AG56" s="421">
        <f t="shared" ref="AG56" si="228">AG55/AC55-1</f>
        <v>2.0100000000000007E-2</v>
      </c>
      <c r="AH56" s="440">
        <f t="shared" ref="AH56" si="229">AH55/AD55-1</f>
        <v>7.0599999999999996E-2</v>
      </c>
      <c r="AI56" s="436">
        <f t="shared" ref="AI56" si="230">AI55/AE55-1</f>
        <v>7.0599999999999996E-2</v>
      </c>
      <c r="AJ56" s="421">
        <f t="shared" ref="AJ56" si="231">AJ55/AF55-1</f>
        <v>7.0599999999999996E-2</v>
      </c>
      <c r="AK56" s="421">
        <f t="shared" ref="AK56" si="232">AK55/AG55-1</f>
        <v>7.0600000000000218E-2</v>
      </c>
      <c r="AL56" s="440">
        <f t="shared" ref="AL56" si="233">AL55/AH55-1</f>
        <v>7.0599999999999996E-2</v>
      </c>
    </row>
    <row r="57" spans="2:38" s="111" customFormat="1" ht="13.5" customHeight="1">
      <c r="B57" s="416" t="s">
        <v>187</v>
      </c>
      <c r="C57" s="419">
        <f>C55/C53</f>
        <v>0.12408759124087591</v>
      </c>
      <c r="D57" s="419">
        <f>D55/D53</f>
        <v>0.13895582329317269</v>
      </c>
      <c r="E57" s="419">
        <f t="shared" ref="E57:I57" si="234">E55/E53</f>
        <v>0.11468710089399745</v>
      </c>
      <c r="F57" s="419">
        <f t="shared" si="234"/>
        <v>0.1148982957669049</v>
      </c>
      <c r="G57" s="436">
        <f t="shared" si="234"/>
        <v>0.1155737037480541</v>
      </c>
      <c r="H57" s="419">
        <f t="shared" si="234"/>
        <v>0.11654218742413752</v>
      </c>
      <c r="I57" s="419">
        <f t="shared" si="234"/>
        <v>0.1177076092983789</v>
      </c>
      <c r="J57" s="418"/>
      <c r="K57" s="291">
        <f>K55/K53</f>
        <v>4.2713567839195977E-2</v>
      </c>
      <c r="L57" s="105">
        <f t="shared" ref="L57:Z57" si="235">L55/L53</f>
        <v>0.11921182266009853</v>
      </c>
      <c r="M57" s="93">
        <f t="shared" si="235"/>
        <v>0.16058394160583941</v>
      </c>
      <c r="N57" s="136">
        <f t="shared" si="235"/>
        <v>0.15666041275797374</v>
      </c>
      <c r="O57" s="420">
        <f t="shared" si="235"/>
        <v>0.16489988221436985</v>
      </c>
      <c r="P57" s="271">
        <f t="shared" si="235"/>
        <v>0.14818652849740932</v>
      </c>
      <c r="Q57" s="271">
        <f t="shared" si="235"/>
        <v>0.12302483069977427</v>
      </c>
      <c r="R57" s="270">
        <f t="shared" si="235"/>
        <v>0.12270531400966184</v>
      </c>
      <c r="S57" s="420">
        <f t="shared" si="235"/>
        <v>7.5318655851680183E-2</v>
      </c>
      <c r="T57" s="271">
        <f t="shared" si="235"/>
        <v>0.13763233878729547</v>
      </c>
      <c r="U57" s="271">
        <f t="shared" si="235"/>
        <v>0.12341772151898735</v>
      </c>
      <c r="V57" s="270">
        <f t="shared" si="235"/>
        <v>0.11643192488262911</v>
      </c>
      <c r="W57" s="436">
        <f t="shared" si="235"/>
        <v>8.3532219570405727E-2</v>
      </c>
      <c r="X57" s="421">
        <f t="shared" si="235"/>
        <v>0.15575396825396826</v>
      </c>
      <c r="Y57" s="421">
        <f t="shared" si="235"/>
        <v>0.12304250559284116</v>
      </c>
      <c r="Z57" s="440">
        <f t="shared" si="235"/>
        <v>9.0200445434298435E-2</v>
      </c>
      <c r="AA57" s="480">
        <f>W57*(1+AA58)</f>
        <v>8.4367541766109791E-2</v>
      </c>
      <c r="AB57" s="481">
        <f t="shared" ref="AB57" si="236">X57*(1+AB58)</f>
        <v>0.15731150793650794</v>
      </c>
      <c r="AC57" s="481">
        <f t="shared" ref="AC57" si="237">Y57*(1+AC58)</f>
        <v>0.12427293064876957</v>
      </c>
      <c r="AD57" s="482">
        <f t="shared" ref="AD57" si="238">Z57*(1+AD58)</f>
        <v>9.1102449888641426E-2</v>
      </c>
      <c r="AE57" s="480">
        <f t="shared" ref="AE57" si="239">AA57*(1+AE58)</f>
        <v>8.5211217183770893E-2</v>
      </c>
      <c r="AF57" s="481">
        <f t="shared" ref="AF57" si="240">AB57*(1+AF58)</f>
        <v>0.15888462301587303</v>
      </c>
      <c r="AG57" s="481">
        <f t="shared" ref="AG57" si="241">AC57*(1+AG58)</f>
        <v>0.12551565995525726</v>
      </c>
      <c r="AH57" s="482">
        <f t="shared" ref="AH57" si="242">AD57*(1+AH58)</f>
        <v>9.2013474387527841E-2</v>
      </c>
      <c r="AI57" s="480">
        <f t="shared" ref="AI57" si="243">AE57*(1+AI58)</f>
        <v>8.6063329355608606E-2</v>
      </c>
      <c r="AJ57" s="481">
        <f t="shared" ref="AJ57" si="244">AF57*(1+AJ58)</f>
        <v>0.16047346924603176</v>
      </c>
      <c r="AK57" s="481">
        <f t="shared" ref="AK57" si="245">AG57*(1+AK58)</f>
        <v>0.12677081655480985</v>
      </c>
      <c r="AL57" s="482">
        <f t="shared" ref="AL57" si="246">AH57*(1+AL58)</f>
        <v>9.2933609131403125E-2</v>
      </c>
    </row>
    <row r="58" spans="2:38" ht="13.5" customHeight="1">
      <c r="B58" s="478" t="s">
        <v>198</v>
      </c>
      <c r="C58" s="418"/>
      <c r="D58" s="419">
        <f t="shared" ref="D58:I58" si="247">D57-C57</f>
        <v>1.4868232052296773E-2</v>
      </c>
      <c r="E58" s="419">
        <f t="shared" si="247"/>
        <v>-2.4268722399175241E-2</v>
      </c>
      <c r="F58" s="479">
        <f t="shared" si="247"/>
        <v>2.1119487290745254E-4</v>
      </c>
      <c r="G58" s="419">
        <f t="shared" si="247"/>
        <v>6.7540798114920642E-4</v>
      </c>
      <c r="H58" s="419">
        <f t="shared" si="247"/>
        <v>9.6848367608341757E-4</v>
      </c>
      <c r="I58" s="419">
        <f t="shared" si="247"/>
        <v>1.1654218742413736E-3</v>
      </c>
      <c r="J58" s="418"/>
      <c r="K58" s="291"/>
      <c r="L58" s="105"/>
      <c r="M58" s="93"/>
      <c r="N58" s="136"/>
      <c r="O58" s="420">
        <f>O57-K57</f>
        <v>0.12218631437517388</v>
      </c>
      <c r="P58" s="271">
        <f t="shared" ref="P58" si="248">P57-L57</f>
        <v>2.8974705837310794E-2</v>
      </c>
      <c r="Q58" s="271">
        <f t="shared" ref="Q58" si="249">Q57-M57</f>
        <v>-3.7559110906065146E-2</v>
      </c>
      <c r="R58" s="270">
        <f t="shared" ref="R58" si="250">R57-N57</f>
        <v>-3.3955098748311902E-2</v>
      </c>
      <c r="S58" s="420">
        <f t="shared" ref="S58" si="251">S57-O57</f>
        <v>-8.958122636268967E-2</v>
      </c>
      <c r="T58" s="271">
        <f t="shared" ref="T58" si="252">T57-P57</f>
        <v>-1.0554189710113848E-2</v>
      </c>
      <c r="U58" s="271">
        <f t="shared" ref="U58" si="253">U57-Q57</f>
        <v>3.9289081921307922E-4</v>
      </c>
      <c r="V58" s="270">
        <f t="shared" ref="V58" si="254">V57-R57</f>
        <v>-6.2733891270327219E-3</v>
      </c>
      <c r="W58" s="436">
        <f t="shared" ref="W58" si="255">W57-S57</f>
        <v>8.2135637187255445E-3</v>
      </c>
      <c r="X58" s="421">
        <f t="shared" ref="X58" si="256">X57-T57</f>
        <v>1.8121629466672784E-2</v>
      </c>
      <c r="Y58" s="421">
        <f t="shared" ref="Y58" si="257">Y57-U57</f>
        <v>-3.7521592614618571E-4</v>
      </c>
      <c r="Z58" s="440">
        <f t="shared" ref="Z58" si="258">Z57-V57</f>
        <v>-2.623147944833068E-2</v>
      </c>
      <c r="AA58" s="432">
        <v>0.01</v>
      </c>
      <c r="AB58" s="432">
        <v>0.01</v>
      </c>
      <c r="AC58" s="432">
        <v>0.01</v>
      </c>
      <c r="AD58" s="442">
        <v>0.01</v>
      </c>
      <c r="AE58" s="432">
        <v>0.01</v>
      </c>
      <c r="AF58" s="432">
        <v>0.01</v>
      </c>
      <c r="AG58" s="432">
        <v>0.01</v>
      </c>
      <c r="AH58" s="442">
        <v>0.01</v>
      </c>
      <c r="AI58" s="432">
        <v>0.01</v>
      </c>
      <c r="AJ58" s="432">
        <v>0.01</v>
      </c>
      <c r="AK58" s="432">
        <v>0.01</v>
      </c>
      <c r="AL58" s="442">
        <v>0.01</v>
      </c>
    </row>
    <row r="59" spans="2:38" ht="13.5" customHeight="1">
      <c r="B59" s="252" t="s">
        <v>195</v>
      </c>
      <c r="C59" s="253"/>
      <c r="D59" s="253"/>
      <c r="E59" s="253"/>
      <c r="F59" s="253"/>
      <c r="G59" s="471"/>
      <c r="H59" s="254"/>
      <c r="I59" s="254"/>
      <c r="K59" s="386"/>
      <c r="L59" s="104"/>
      <c r="M59" s="281"/>
      <c r="N59" s="393"/>
      <c r="O59" s="394"/>
      <c r="P59" s="282"/>
      <c r="Q59" s="282"/>
      <c r="R59" s="395"/>
      <c r="S59" s="394"/>
      <c r="T59" s="282"/>
      <c r="U59" s="282"/>
      <c r="V59" s="395"/>
      <c r="W59" s="437"/>
      <c r="Z59" s="441"/>
      <c r="AA59" s="437"/>
      <c r="AB59" s="111"/>
      <c r="AC59" s="111"/>
      <c r="AD59" s="441"/>
      <c r="AE59" s="437"/>
      <c r="AF59" s="111"/>
      <c r="AG59" s="111"/>
      <c r="AH59" s="441"/>
      <c r="AI59" s="437"/>
      <c r="AJ59" s="111"/>
      <c r="AK59" s="111"/>
      <c r="AL59" s="441"/>
    </row>
    <row r="60" spans="2:38" s="40" customFormat="1" ht="13.5" customHeight="1">
      <c r="B60" s="293" t="s">
        <v>183</v>
      </c>
      <c r="C60" s="272">
        <v>1.7999999999999999E-2</v>
      </c>
      <c r="D60" s="272">
        <v>2.5403284671532848E-2</v>
      </c>
      <c r="E60" s="272">
        <v>0.1099491298527443</v>
      </c>
      <c r="F60" s="272">
        <v>7.9159642401021735E-3</v>
      </c>
      <c r="G60" s="472">
        <f>SUMPRODUCT(W$53:Z$53,AA60:AD60)/SUM(W$53:Z$53)</f>
        <v>-2.2440901594282574E-2</v>
      </c>
      <c r="H60" s="272">
        <f>SUMPRODUCT(AA$53:AD$53,AE60:AH60)/SUM(AA$53:AD$53)</f>
        <v>2.9999999999999992E-2</v>
      </c>
      <c r="I60" s="272">
        <f>SUMPRODUCT(AE$53:AH$53,AI60:AL60)/SUM(AE$53:AH$53)</f>
        <v>0.03</v>
      </c>
      <c r="J60" s="418"/>
      <c r="K60" s="291"/>
      <c r="L60" s="105"/>
      <c r="M60" s="93"/>
      <c r="N60" s="136"/>
      <c r="O60" s="420">
        <v>2.7E-2</v>
      </c>
      <c r="P60" s="271">
        <v>4.4999999999999998E-2</v>
      </c>
      <c r="Q60" s="271">
        <v>-1.4E-2</v>
      </c>
      <c r="R60" s="270">
        <v>4.1000000000000002E-2</v>
      </c>
      <c r="S60" s="420">
        <v>7.3999999999999996E-2</v>
      </c>
      <c r="T60" s="271">
        <v>0.123</v>
      </c>
      <c r="U60" s="271">
        <v>0.16400000000000001</v>
      </c>
      <c r="V60" s="270">
        <v>8.1000000000000003E-2</v>
      </c>
      <c r="W60" s="436">
        <v>5.6000000000000001E-2</v>
      </c>
      <c r="X60" s="421">
        <v>3.3000000000000002E-2</v>
      </c>
      <c r="Y60" s="421">
        <v>-2.3E-2</v>
      </c>
      <c r="Z60" s="440">
        <v>-2.8000000000000001E-2</v>
      </c>
      <c r="AA60" s="459">
        <v>-0.04</v>
      </c>
      <c r="AB60" s="432">
        <v>-0.03</v>
      </c>
      <c r="AC60" s="432">
        <v>-0.02</v>
      </c>
      <c r="AD60" s="442">
        <v>0</v>
      </c>
      <c r="AE60" s="459">
        <v>0.03</v>
      </c>
      <c r="AF60" s="432">
        <v>0.03</v>
      </c>
      <c r="AG60" s="432">
        <v>0.03</v>
      </c>
      <c r="AH60" s="442">
        <v>0.03</v>
      </c>
      <c r="AI60" s="459">
        <v>0.03</v>
      </c>
      <c r="AJ60" s="432">
        <v>0.03</v>
      </c>
      <c r="AK60" s="432">
        <v>0.03</v>
      </c>
      <c r="AL60" s="442">
        <v>0.03</v>
      </c>
    </row>
    <row r="61" spans="2:38" ht="13.5" customHeight="1">
      <c r="B61" s="294" t="s">
        <v>188</v>
      </c>
      <c r="C61" s="272">
        <v>0.08</v>
      </c>
      <c r="D61" s="272">
        <v>2.0606882168925963E-2</v>
      </c>
      <c r="E61" s="272">
        <v>-1.8100401606425707E-2</v>
      </c>
      <c r="F61" s="272">
        <v>5.6915964240102167E-2</v>
      </c>
      <c r="G61" s="472">
        <f>SUMPRODUCT(W$53:Z$53,AA61:AD61)/SUM(W$53:Z$53)</f>
        <v>5.7377680043980209E-2</v>
      </c>
      <c r="H61" s="272">
        <f>SUMPRODUCT(AA$53:AD$53,AE61:AH61)/SUM(AA$53:AD$53)</f>
        <v>2.9999999999999992E-2</v>
      </c>
      <c r="I61" s="272">
        <f>SUMPRODUCT(AE$53:AH$53,AI61:AL61)/SUM(AE$53:AH$53)</f>
        <v>0.03</v>
      </c>
      <c r="J61" s="418"/>
      <c r="K61" s="389"/>
      <c r="L61" s="43"/>
      <c r="M61" s="105"/>
      <c r="N61" s="135"/>
      <c r="O61" s="133">
        <v>0.08</v>
      </c>
      <c r="P61" s="105">
        <v>3.1E-2</v>
      </c>
      <c r="Q61" s="105">
        <v>1E-3</v>
      </c>
      <c r="R61" s="135">
        <v>-1.6E-2</v>
      </c>
      <c r="S61" s="133">
        <v>-3.4000000000000002E-2</v>
      </c>
      <c r="T61" s="105">
        <v>-0.01</v>
      </c>
      <c r="U61" s="105">
        <v>-3.4000000000000002E-2</v>
      </c>
      <c r="V61" s="135">
        <v>1E-3</v>
      </c>
      <c r="W61" s="436">
        <v>2.3E-2</v>
      </c>
      <c r="X61" s="421">
        <v>0.03</v>
      </c>
      <c r="Y61" s="421">
        <v>7.9000000000000001E-2</v>
      </c>
      <c r="Z61" s="440">
        <v>9.0999999999999998E-2</v>
      </c>
      <c r="AA61" s="459">
        <v>7.0000000000000007E-2</v>
      </c>
      <c r="AB61" s="432">
        <v>0.06</v>
      </c>
      <c r="AC61" s="432">
        <v>0.05</v>
      </c>
      <c r="AD61" s="442">
        <v>0.05</v>
      </c>
      <c r="AE61" s="459">
        <v>0.03</v>
      </c>
      <c r="AF61" s="432">
        <v>0.03</v>
      </c>
      <c r="AG61" s="432">
        <v>0.03</v>
      </c>
      <c r="AH61" s="442">
        <v>0.03</v>
      </c>
      <c r="AI61" s="459">
        <v>0.03</v>
      </c>
      <c r="AJ61" s="432">
        <v>0.03</v>
      </c>
      <c r="AK61" s="432">
        <v>0.03</v>
      </c>
      <c r="AL61" s="442">
        <v>0.03</v>
      </c>
    </row>
    <row r="62" spans="2:38" ht="13.5" customHeight="1">
      <c r="B62" s="294" t="s">
        <v>184</v>
      </c>
      <c r="C62" s="272">
        <v>9.8000000000000004E-2</v>
      </c>
      <c r="D62" s="272">
        <v>4.6010166840458812E-2</v>
      </c>
      <c r="E62" s="272">
        <v>9.1848728246318595E-2</v>
      </c>
      <c r="F62" s="272">
        <v>6.4831928480204346E-2</v>
      </c>
      <c r="G62" s="472">
        <f t="shared" ref="G62" si="259">SUM(G60:G61)</f>
        <v>3.4936778449697635E-2</v>
      </c>
      <c r="H62" s="272">
        <f t="shared" ref="H62" si="260">SUM(H60:H61)</f>
        <v>5.9999999999999984E-2</v>
      </c>
      <c r="I62" s="272">
        <f t="shared" ref="I62" si="261">SUM(I60:I61)</f>
        <v>0.06</v>
      </c>
      <c r="J62" s="418"/>
      <c r="K62" s="389"/>
      <c r="L62" s="43"/>
      <c r="M62" s="105"/>
      <c r="N62" s="135"/>
      <c r="O62" s="133">
        <v>0.107</v>
      </c>
      <c r="P62" s="105">
        <v>7.5999999999999998E-2</v>
      </c>
      <c r="Q62" s="105">
        <v>-1.3000000000000001E-2</v>
      </c>
      <c r="R62" s="135">
        <v>2.5000000000000001E-2</v>
      </c>
      <c r="S62" s="133">
        <v>3.9999999999999994E-2</v>
      </c>
      <c r="T62" s="105">
        <v>0.113</v>
      </c>
      <c r="U62" s="105">
        <v>0.13</v>
      </c>
      <c r="V62" s="135">
        <v>8.2000000000000003E-2</v>
      </c>
      <c r="W62" s="436">
        <v>7.9000000000000001E-2</v>
      </c>
      <c r="X62" s="421">
        <v>6.3E-2</v>
      </c>
      <c r="Y62" s="421">
        <v>5.6000000000000001E-2</v>
      </c>
      <c r="Z62" s="440">
        <v>6.3E-2</v>
      </c>
      <c r="AA62" s="460">
        <f>SUM(AA60:AA61)</f>
        <v>3.0000000000000006E-2</v>
      </c>
      <c r="AB62" s="433">
        <f t="shared" ref="AB62" si="262">SUM(AB60:AB61)</f>
        <v>0.03</v>
      </c>
      <c r="AC62" s="433">
        <f t="shared" ref="AC62" si="263">SUM(AC60:AC61)</f>
        <v>3.0000000000000002E-2</v>
      </c>
      <c r="AD62" s="443">
        <f t="shared" ref="AD62" si="264">SUM(AD60:AD61)</f>
        <v>0.05</v>
      </c>
      <c r="AE62" s="460">
        <f t="shared" ref="AE62" si="265">SUM(AE60:AE61)</f>
        <v>0.06</v>
      </c>
      <c r="AF62" s="433">
        <f t="shared" ref="AF62" si="266">SUM(AF60:AF61)</f>
        <v>0.06</v>
      </c>
      <c r="AG62" s="433">
        <f t="shared" ref="AG62" si="267">SUM(AG60:AG61)</f>
        <v>0.06</v>
      </c>
      <c r="AH62" s="443">
        <f t="shared" ref="AH62" si="268">SUM(AH60:AH61)</f>
        <v>0.06</v>
      </c>
      <c r="AI62" s="460">
        <f t="shared" ref="AI62" si="269">SUM(AI60:AI61)</f>
        <v>0.06</v>
      </c>
      <c r="AJ62" s="433">
        <f t="shared" ref="AJ62" si="270">SUM(AJ60:AJ61)</f>
        <v>0.06</v>
      </c>
      <c r="AK62" s="433">
        <f t="shared" ref="AK62" si="271">SUM(AK60:AK61)</f>
        <v>0.06</v>
      </c>
      <c r="AL62" s="443">
        <f t="shared" ref="AL62" si="272">SUM(AL60:AL61)</f>
        <v>0.06</v>
      </c>
    </row>
    <row r="63" spans="2:38" ht="13.5" customHeight="1">
      <c r="B63" s="293" t="s">
        <v>185</v>
      </c>
      <c r="C63" s="272">
        <v>-5.6648777579010141E-3</v>
      </c>
      <c r="D63" s="272">
        <v>-4.6141814389989572E-2</v>
      </c>
      <c r="E63" s="272">
        <v>-4.63421686746988E-2</v>
      </c>
      <c r="F63" s="272">
        <v>-0.13407126436781611</v>
      </c>
      <c r="G63" s="472">
        <f>SUMPRODUCT(W$53:Z$53,AA63:AD63)/SUM(W$53:Z$53)</f>
        <v>-0.2315145684442001</v>
      </c>
      <c r="H63" s="272">
        <f>SUMPRODUCT(AA$53:AD$53,AE63:AH63)/SUM(AA$53:AD$53)</f>
        <v>-7.2755529705595554E-2</v>
      </c>
      <c r="I63" s="272">
        <f>SUMPRODUCT(AE$53:AH$53,AI63:AL63)/SUM(AE$53:AH$53)</f>
        <v>0</v>
      </c>
      <c r="J63" s="418"/>
      <c r="K63" s="388"/>
      <c r="L63" s="434"/>
      <c r="M63" s="105"/>
      <c r="N63" s="135"/>
      <c r="O63" s="133">
        <v>-4.0201005025125629E-2</v>
      </c>
      <c r="P63" s="105">
        <v>-7.093596059113301E-2</v>
      </c>
      <c r="Q63" s="105">
        <v>-6.3607924921793541E-2</v>
      </c>
      <c r="R63" s="135">
        <v>-1.125703564727955E-2</v>
      </c>
      <c r="S63" s="133">
        <v>-3.3000000000000002E-2</v>
      </c>
      <c r="T63" s="105">
        <v>-4.1000000000000002E-2</v>
      </c>
      <c r="U63" s="105">
        <v>-5.6000000000000001E-2</v>
      </c>
      <c r="V63" s="135">
        <v>-5.3999999999999999E-2</v>
      </c>
      <c r="W63" s="436">
        <v>-0.10299999999999999</v>
      </c>
      <c r="X63" s="421">
        <v>-9.1434071222329161E-2</v>
      </c>
      <c r="Y63" s="421">
        <v>-0.11286919831223628</v>
      </c>
      <c r="Z63" s="440">
        <v>-0.21971830985915494</v>
      </c>
      <c r="AA63" s="459">
        <v>-0.25</v>
      </c>
      <c r="AB63" s="432">
        <v>-0.25</v>
      </c>
      <c r="AC63" s="432">
        <v>-0.22500000000000001</v>
      </c>
      <c r="AD63" s="442">
        <v>-0.2</v>
      </c>
      <c r="AE63" s="459">
        <v>-0.15</v>
      </c>
      <c r="AF63" s="432">
        <v>-0.1</v>
      </c>
      <c r="AG63" s="432">
        <v>-0.05</v>
      </c>
      <c r="AH63" s="442">
        <v>0</v>
      </c>
      <c r="AI63" s="459">
        <v>0</v>
      </c>
      <c r="AJ63" s="432">
        <v>0</v>
      </c>
      <c r="AK63" s="432">
        <v>0</v>
      </c>
      <c r="AL63" s="442">
        <v>0</v>
      </c>
    </row>
    <row r="64" spans="2:38" ht="13.5" customHeight="1">
      <c r="B64" s="294" t="s">
        <v>186</v>
      </c>
      <c r="C64" s="272">
        <v>2.2361359570661897E-2</v>
      </c>
      <c r="D64" s="272">
        <v>-1.3295099061522419E-2</v>
      </c>
      <c r="E64" s="272">
        <v>2.6658634538152624E-3</v>
      </c>
      <c r="F64" s="272">
        <v>-1.3575989782886335E-3</v>
      </c>
      <c r="G64" s="472">
        <f>SUMPRODUCT(W$53:Z$53,AA64:AD64)/SUM(W$53:Z$53)</f>
        <v>0</v>
      </c>
      <c r="H64" s="272">
        <f>SUMPRODUCT(AA$53:AD$53,AE64:AH64)/SUM(AA$53:AD$53)</f>
        <v>0</v>
      </c>
      <c r="I64" s="272">
        <f>SUMPRODUCT(AE$53:AH$53,AI64:AL64)/SUM(AE$53:AH$53)</f>
        <v>0</v>
      </c>
      <c r="J64" s="418"/>
      <c r="K64" s="389"/>
      <c r="L64" s="434"/>
      <c r="M64" s="105"/>
      <c r="N64" s="135"/>
      <c r="O64" s="133">
        <v>0</v>
      </c>
      <c r="P64" s="105">
        <v>-5.024630541871921E-2</v>
      </c>
      <c r="Q64" s="105">
        <v>0</v>
      </c>
      <c r="R64" s="135">
        <v>0</v>
      </c>
      <c r="S64" s="133">
        <v>8.9999999999999976E-3</v>
      </c>
      <c r="T64" s="105">
        <v>5.000000000000001E-3</v>
      </c>
      <c r="U64" s="105">
        <v>-3.9999999999999966E-3</v>
      </c>
      <c r="V64" s="135">
        <v>1.0000000000000009E-3</v>
      </c>
      <c r="W64" s="436">
        <v>-5.0000000000000001E-3</v>
      </c>
      <c r="X64" s="421">
        <v>-9.6246390760346492E-4</v>
      </c>
      <c r="Y64" s="421">
        <v>0</v>
      </c>
      <c r="Z64" s="440">
        <v>0</v>
      </c>
      <c r="AA64" s="459">
        <v>0</v>
      </c>
      <c r="AB64" s="432">
        <v>0</v>
      </c>
      <c r="AC64" s="432">
        <v>0</v>
      </c>
      <c r="AD64" s="442">
        <v>0</v>
      </c>
      <c r="AE64" s="459">
        <v>0</v>
      </c>
      <c r="AF64" s="432">
        <v>0</v>
      </c>
      <c r="AG64" s="432">
        <v>0</v>
      </c>
      <c r="AH64" s="442">
        <v>0</v>
      </c>
      <c r="AI64" s="459">
        <v>0</v>
      </c>
      <c r="AJ64" s="432">
        <v>0</v>
      </c>
      <c r="AK64" s="432">
        <v>0</v>
      </c>
      <c r="AL64" s="442">
        <v>0</v>
      </c>
    </row>
    <row r="65" spans="2:38" ht="13.5" customHeight="1" thickBot="1">
      <c r="B65" s="469" t="s">
        <v>1</v>
      </c>
      <c r="C65" s="468">
        <v>2.8622540250447227E-2</v>
      </c>
      <c r="D65" s="468">
        <v>-1.173096976016684E-2</v>
      </c>
      <c r="E65" s="468">
        <v>0</v>
      </c>
      <c r="F65" s="468">
        <v>0</v>
      </c>
      <c r="G65" s="473">
        <f>SUMPRODUCT(W$53:Z$53,AA65:AD65)/SUM(W$53:Z$53)</f>
        <v>0</v>
      </c>
      <c r="H65" s="468">
        <f>SUMPRODUCT(AA$53:AD$53,AE65:AH65)/SUM(AA$53:AD$53)</f>
        <v>0</v>
      </c>
      <c r="I65" s="468">
        <f>SUMPRODUCT(AE$53:AH$53,AI65:AL65)/SUM(AE$53:AH$53)</f>
        <v>0</v>
      </c>
      <c r="J65" s="418"/>
      <c r="K65" s="390"/>
      <c r="L65" s="449"/>
      <c r="M65" s="449"/>
      <c r="N65" s="450"/>
      <c r="O65" s="452">
        <v>0</v>
      </c>
      <c r="P65" s="449">
        <v>0</v>
      </c>
      <c r="Q65" s="449">
        <v>0</v>
      </c>
      <c r="R65" s="450">
        <v>-4.2213883677298308E-2</v>
      </c>
      <c r="S65" s="452">
        <v>0</v>
      </c>
      <c r="T65" s="449">
        <v>0</v>
      </c>
      <c r="U65" s="449">
        <v>0</v>
      </c>
      <c r="V65" s="450">
        <v>0</v>
      </c>
      <c r="W65" s="456">
        <v>0</v>
      </c>
      <c r="X65" s="457">
        <v>0</v>
      </c>
      <c r="Y65" s="457">
        <v>0</v>
      </c>
      <c r="Z65" s="458">
        <v>0</v>
      </c>
      <c r="AA65" s="461">
        <v>0</v>
      </c>
      <c r="AB65" s="438">
        <v>0</v>
      </c>
      <c r="AC65" s="438">
        <v>0</v>
      </c>
      <c r="AD65" s="444">
        <v>0</v>
      </c>
      <c r="AE65" s="461">
        <v>0</v>
      </c>
      <c r="AF65" s="438">
        <v>0</v>
      </c>
      <c r="AG65" s="438">
        <v>0</v>
      </c>
      <c r="AH65" s="444">
        <v>0</v>
      </c>
      <c r="AI65" s="461">
        <v>0</v>
      </c>
      <c r="AJ65" s="438">
        <v>0</v>
      </c>
      <c r="AK65" s="438">
        <v>0</v>
      </c>
      <c r="AL65" s="444">
        <v>0</v>
      </c>
    </row>
    <row r="66" spans="2:38" ht="13.5" customHeight="1">
      <c r="B66" s="296"/>
      <c r="C66" s="275"/>
      <c r="D66" s="275"/>
      <c r="E66" s="275"/>
      <c r="F66" s="275"/>
      <c r="G66" s="477"/>
      <c r="H66" s="276"/>
      <c r="I66" s="276"/>
      <c r="K66" s="437"/>
      <c r="Z66" s="462"/>
      <c r="AA66" s="111"/>
      <c r="AB66" s="111"/>
      <c r="AC66" s="111"/>
      <c r="AD66" s="111"/>
      <c r="AE66" s="111"/>
      <c r="AF66" s="111"/>
      <c r="AG66" s="111"/>
      <c r="AH66" s="111"/>
      <c r="AI66" s="111"/>
      <c r="AJ66" s="111"/>
      <c r="AK66" s="111"/>
      <c r="AL66" s="441"/>
    </row>
    <row r="67" spans="2:38" ht="13.5" customHeight="1">
      <c r="B67" s="252" t="s">
        <v>196</v>
      </c>
      <c r="C67" s="253"/>
      <c r="D67" s="253"/>
      <c r="E67" s="253"/>
      <c r="F67" s="253"/>
      <c r="G67" s="471"/>
      <c r="H67" s="254"/>
      <c r="I67" s="254"/>
      <c r="K67" s="445"/>
      <c r="L67" s="446"/>
      <c r="M67" s="889"/>
      <c r="N67" s="890"/>
      <c r="O67" s="891"/>
      <c r="P67" s="889"/>
      <c r="Q67" s="889"/>
      <c r="R67" s="890"/>
      <c r="S67" s="891"/>
      <c r="T67" s="889"/>
      <c r="U67" s="889"/>
      <c r="V67" s="890"/>
      <c r="W67" s="892"/>
      <c r="X67" s="888"/>
      <c r="Y67" s="888"/>
      <c r="Z67" s="886"/>
      <c r="AA67" s="453"/>
      <c r="AB67" s="446"/>
      <c r="AC67" s="446"/>
      <c r="AD67" s="454"/>
      <c r="AE67" s="453"/>
      <c r="AF67" s="446"/>
      <c r="AG67" s="446"/>
      <c r="AH67" s="454"/>
      <c r="AI67" s="453"/>
      <c r="AJ67" s="446"/>
      <c r="AK67" s="446"/>
      <c r="AL67" s="454"/>
    </row>
    <row r="68" spans="2:38" ht="13.5" customHeight="1">
      <c r="B68" s="422" t="s">
        <v>53</v>
      </c>
      <c r="C68" s="417">
        <f>SUM(K68:N68)</f>
        <v>14874</v>
      </c>
      <c r="D68" s="417">
        <f>SUM(O68:R68)</f>
        <v>13817</v>
      </c>
      <c r="E68" s="417">
        <f>SUM(S68:V68)</f>
        <v>14059</v>
      </c>
      <c r="F68" s="417">
        <f>SUM(W68:Z68)</f>
        <v>13912</v>
      </c>
      <c r="G68" s="455">
        <f>SUM(AA68:AD68)</f>
        <v>11889.445</v>
      </c>
      <c r="H68" s="417">
        <f>SUM(AE68:AH68)</f>
        <v>11994.42355</v>
      </c>
      <c r="I68" s="417">
        <f>SUM(AI68:AL68)</f>
        <v>12234.312021</v>
      </c>
      <c r="J68" s="417"/>
      <c r="K68" s="423">
        <v>3346</v>
      </c>
      <c r="L68" s="424">
        <v>3913</v>
      </c>
      <c r="M68" s="425">
        <v>3456</v>
      </c>
      <c r="N68" s="426">
        <v>4159</v>
      </c>
      <c r="O68" s="427">
        <v>3494</v>
      </c>
      <c r="P68" s="428">
        <v>3315</v>
      </c>
      <c r="Q68" s="428">
        <v>3158</v>
      </c>
      <c r="R68" s="429">
        <v>3850</v>
      </c>
      <c r="S68" s="427">
        <v>3458</v>
      </c>
      <c r="T68" s="428">
        <v>3273</v>
      </c>
      <c r="U68" s="428">
        <v>3295</v>
      </c>
      <c r="V68" s="429">
        <v>4033</v>
      </c>
      <c r="W68" s="455">
        <v>3557</v>
      </c>
      <c r="X68" s="430">
        <v>3379</v>
      </c>
      <c r="Y68" s="430">
        <v>3215</v>
      </c>
      <c r="Z68" s="439">
        <v>3761</v>
      </c>
      <c r="AA68" s="455">
        <f>W68*(1+AA69)</f>
        <v>2934.5249999999996</v>
      </c>
      <c r="AB68" s="430">
        <f>X68*(1+AB69)</f>
        <v>2872.15</v>
      </c>
      <c r="AC68" s="430">
        <f t="shared" ref="AC68" si="273">Y68*(1+AC69)</f>
        <v>2716.6749999999997</v>
      </c>
      <c r="AD68" s="439">
        <f t="shared" ref="AD68" si="274">Z68*(1+AD69)</f>
        <v>3366.0950000000003</v>
      </c>
      <c r="AE68" s="455">
        <f t="shared" ref="AE68" si="275">AA68*(1+AE69)</f>
        <v>2905.1797499999998</v>
      </c>
      <c r="AF68" s="430">
        <f t="shared" ref="AF68" si="276">AB68*(1+AF69)</f>
        <v>2915.23225</v>
      </c>
      <c r="AG68" s="430">
        <f t="shared" ref="AG68" si="277">AC68*(1+AG69)</f>
        <v>2757.4251249999993</v>
      </c>
      <c r="AH68" s="439">
        <f t="shared" ref="AH68" si="278">AD68*(1+AH69)</f>
        <v>3416.586425</v>
      </c>
      <c r="AI68" s="455">
        <f t="shared" ref="AI68" si="279">AE68*(1+AI69)</f>
        <v>2963.2833449999998</v>
      </c>
      <c r="AJ68" s="430">
        <f t="shared" ref="AJ68" si="280">AF68*(1+AJ69)</f>
        <v>2973.5368950000002</v>
      </c>
      <c r="AK68" s="430">
        <f t="shared" ref="AK68" si="281">AG68*(1+AK69)</f>
        <v>2812.5736274999995</v>
      </c>
      <c r="AL68" s="439">
        <f t="shared" ref="AL68" si="282">AH68*(1+AL69)</f>
        <v>3484.9181535000002</v>
      </c>
    </row>
    <row r="69" spans="2:38" ht="13.5" customHeight="1">
      <c r="B69" s="431" t="s">
        <v>143</v>
      </c>
      <c r="C69" s="419"/>
      <c r="D69" s="419">
        <f>D68/C68-1</f>
        <v>-7.1063600914347158E-2</v>
      </c>
      <c r="E69" s="419">
        <f t="shared" ref="E69" si="283">E68/D68-1</f>
        <v>1.7514655858724693E-2</v>
      </c>
      <c r="F69" s="419">
        <f t="shared" ref="F69" si="284">F68/E68-1</f>
        <v>-1.0455935699551944E-2</v>
      </c>
      <c r="G69" s="436">
        <f t="shared" ref="G69" si="285">G68/F68-1</f>
        <v>-0.14538204427832091</v>
      </c>
      <c r="H69" s="419">
        <f t="shared" ref="H69" si="286">H68/G68-1</f>
        <v>8.8295584865398791E-3</v>
      </c>
      <c r="I69" s="419">
        <f t="shared" ref="I69" si="287">I68/H68-1</f>
        <v>2.0000000000000018E-2</v>
      </c>
      <c r="J69" s="419"/>
      <c r="K69" s="291"/>
      <c r="L69" s="105"/>
      <c r="M69" s="93"/>
      <c r="N69" s="136"/>
      <c r="O69" s="420">
        <f t="shared" ref="O69" si="288">O68/K68-1</f>
        <v>4.4231918708906193E-2</v>
      </c>
      <c r="P69" s="271">
        <f t="shared" ref="P69" si="289">P68/L68-1</f>
        <v>-0.15282392026578073</v>
      </c>
      <c r="Q69" s="271">
        <f t="shared" ref="Q69" si="290">Q68/M68-1</f>
        <v>-8.622685185185186E-2</v>
      </c>
      <c r="R69" s="270">
        <f t="shared" ref="R69" si="291">R68/N68-1</f>
        <v>-7.4296705938927676E-2</v>
      </c>
      <c r="S69" s="420">
        <f t="shared" ref="S69" si="292">S68/O68-1</f>
        <v>-1.0303377218088161E-2</v>
      </c>
      <c r="T69" s="271">
        <f t="shared" ref="T69" si="293">T68/P68-1</f>
        <v>-1.2669683257918507E-2</v>
      </c>
      <c r="U69" s="271">
        <f t="shared" ref="U69" si="294">U68/Q68-1</f>
        <v>4.3381887270424357E-2</v>
      </c>
      <c r="V69" s="270">
        <f t="shared" ref="V69" si="295">V68/R68-1</f>
        <v>4.7532467532467537E-2</v>
      </c>
      <c r="W69" s="436">
        <f t="shared" ref="W69" si="296">W68/S68-1</f>
        <v>2.862926547137068E-2</v>
      </c>
      <c r="X69" s="421">
        <f t="shared" ref="X69" si="297">X68/T68-1</f>
        <v>3.2386190039718876E-2</v>
      </c>
      <c r="Y69" s="421">
        <f t="shared" ref="Y69" si="298">Y68/U68-1</f>
        <v>-2.427921092564489E-2</v>
      </c>
      <c r="Z69" s="440">
        <f>Z68/V68-1</f>
        <v>-6.74435903793702E-2</v>
      </c>
      <c r="AA69" s="436">
        <f>SUM(AA77:AA80)</f>
        <v>-0.17500000000000002</v>
      </c>
      <c r="AB69" s="421">
        <f t="shared" ref="AB69:AL69" si="299">SUM(AB77:AB80)</f>
        <v>-0.15</v>
      </c>
      <c r="AC69" s="421">
        <f t="shared" si="299"/>
        <v>-0.155</v>
      </c>
      <c r="AD69" s="440">
        <f t="shared" si="299"/>
        <v>-0.10500000000000001</v>
      </c>
      <c r="AE69" s="436">
        <f t="shared" si="299"/>
        <v>-1.0000000000000002E-2</v>
      </c>
      <c r="AF69" s="421">
        <f t="shared" si="299"/>
        <v>1.4999999999999999E-2</v>
      </c>
      <c r="AG69" s="421">
        <f t="shared" si="299"/>
        <v>1.4999999999999999E-2</v>
      </c>
      <c r="AH69" s="440">
        <f t="shared" si="299"/>
        <v>1.4999999999999999E-2</v>
      </c>
      <c r="AI69" s="436">
        <f t="shared" si="299"/>
        <v>0.02</v>
      </c>
      <c r="AJ69" s="421">
        <f t="shared" si="299"/>
        <v>0.02</v>
      </c>
      <c r="AK69" s="421">
        <f t="shared" si="299"/>
        <v>0.02</v>
      </c>
      <c r="AL69" s="440">
        <f t="shared" si="299"/>
        <v>0.02</v>
      </c>
    </row>
    <row r="70" spans="2:38" ht="13.5" customHeight="1">
      <c r="B70" s="422" t="s">
        <v>83</v>
      </c>
      <c r="C70" s="417">
        <f>SUM(K70:N70)</f>
        <v>1794</v>
      </c>
      <c r="D70" s="417">
        <f>SUM(O70:R70)</f>
        <v>1816</v>
      </c>
      <c r="E70" s="417">
        <f>SUM(S70:V70)</f>
        <v>1918</v>
      </c>
      <c r="F70" s="417">
        <f>SUM(W70:Z70)</f>
        <v>2133</v>
      </c>
      <c r="G70" s="455">
        <f>SUM(AA70:AD70)</f>
        <v>1845.5427</v>
      </c>
      <c r="H70" s="417">
        <f>SUM(AE70:AH70)</f>
        <v>1890.8792310449999</v>
      </c>
      <c r="I70" s="417">
        <f>SUM(AI70:AL70)</f>
        <v>1947.9837838225587</v>
      </c>
      <c r="J70" s="417"/>
      <c r="K70" s="423">
        <v>395</v>
      </c>
      <c r="L70" s="424">
        <v>487</v>
      </c>
      <c r="M70" s="425">
        <v>418</v>
      </c>
      <c r="N70" s="426">
        <v>494</v>
      </c>
      <c r="O70" s="427">
        <v>445</v>
      </c>
      <c r="P70" s="428">
        <v>450</v>
      </c>
      <c r="Q70" s="428">
        <v>421</v>
      </c>
      <c r="R70" s="429">
        <v>500</v>
      </c>
      <c r="S70" s="427">
        <v>436</v>
      </c>
      <c r="T70" s="428">
        <v>401</v>
      </c>
      <c r="U70" s="428">
        <v>452</v>
      </c>
      <c r="V70" s="429">
        <v>629</v>
      </c>
      <c r="W70" s="455">
        <v>494</v>
      </c>
      <c r="X70" s="430">
        <v>503</v>
      </c>
      <c r="Y70" s="430">
        <v>491</v>
      </c>
      <c r="Z70" s="439">
        <v>645</v>
      </c>
      <c r="AA70" s="455">
        <f>AA68*AA72</f>
        <v>411.62549999999999</v>
      </c>
      <c r="AB70" s="430">
        <f t="shared" ref="AB70:AL70" si="300">AB68*AB72</f>
        <v>431.82549999999998</v>
      </c>
      <c r="AC70" s="430">
        <f t="shared" si="300"/>
        <v>419.04394999999994</v>
      </c>
      <c r="AD70" s="439">
        <f t="shared" si="300"/>
        <v>583.04775000000006</v>
      </c>
      <c r="AE70" s="455">
        <f t="shared" si="300"/>
        <v>413.62188367499999</v>
      </c>
      <c r="AF70" s="430">
        <f t="shared" si="300"/>
        <v>444.87742573749995</v>
      </c>
      <c r="AG70" s="430">
        <f t="shared" si="300"/>
        <v>431.70955338874984</v>
      </c>
      <c r="AH70" s="439">
        <f t="shared" si="300"/>
        <v>600.67036824374998</v>
      </c>
      <c r="AI70" s="455">
        <f t="shared" si="300"/>
        <v>426.11326456198498</v>
      </c>
      <c r="AJ70" s="430">
        <f t="shared" si="300"/>
        <v>458.31272399477245</v>
      </c>
      <c r="AK70" s="430">
        <f t="shared" si="300"/>
        <v>444.74718190109013</v>
      </c>
      <c r="AL70" s="439">
        <f t="shared" si="300"/>
        <v>618.81061336471134</v>
      </c>
    </row>
    <row r="71" spans="2:38" ht="13.5" customHeight="1">
      <c r="B71" s="431" t="s">
        <v>143</v>
      </c>
      <c r="C71" s="419"/>
      <c r="D71" s="419">
        <f>D70/C70-1</f>
        <v>1.2263099219620877E-2</v>
      </c>
      <c r="E71" s="419">
        <f t="shared" ref="E71" si="301">E70/D70-1</f>
        <v>5.6167400881057317E-2</v>
      </c>
      <c r="F71" s="419">
        <f t="shared" ref="F71" si="302">F70/E70-1</f>
        <v>0.11209593326381651</v>
      </c>
      <c r="G71" s="436">
        <f t="shared" ref="G71" si="303">G70/F70-1</f>
        <v>-0.1347666666666667</v>
      </c>
      <c r="H71" s="419">
        <f t="shared" ref="H71" si="304">H70/G70-1</f>
        <v>2.4565419724507098E-2</v>
      </c>
      <c r="I71" s="419">
        <f t="shared" ref="I71" si="305">I70/H70-1</f>
        <v>3.0200000000000005E-2</v>
      </c>
      <c r="J71" s="419"/>
      <c r="K71" s="291"/>
      <c r="L71" s="105"/>
      <c r="M71" s="93"/>
      <c r="N71" s="136"/>
      <c r="O71" s="420">
        <f t="shared" ref="O71" si="306">O70/K70-1</f>
        <v>0.12658227848101267</v>
      </c>
      <c r="P71" s="271">
        <f t="shared" ref="P71" si="307">P70/L70-1</f>
        <v>-7.5975359342915771E-2</v>
      </c>
      <c r="Q71" s="271">
        <f t="shared" ref="Q71" si="308">Q70/M70-1</f>
        <v>7.1770334928229484E-3</v>
      </c>
      <c r="R71" s="270">
        <f t="shared" ref="R71" si="309">R70/N70-1</f>
        <v>1.2145748987854255E-2</v>
      </c>
      <c r="S71" s="420">
        <f t="shared" ref="S71" si="310">S70/O70-1</f>
        <v>-2.0224719101123556E-2</v>
      </c>
      <c r="T71" s="271">
        <f t="shared" ref="T71" si="311">T70/P70-1</f>
        <v>-0.10888888888888892</v>
      </c>
      <c r="U71" s="271">
        <f t="shared" ref="U71" si="312">U70/Q70-1</f>
        <v>7.3634204275534465E-2</v>
      </c>
      <c r="V71" s="270">
        <f t="shared" ref="V71" si="313">V70/R70-1</f>
        <v>0.25800000000000001</v>
      </c>
      <c r="W71" s="436">
        <f t="shared" ref="W71" si="314">W70/S70-1</f>
        <v>0.1330275229357798</v>
      </c>
      <c r="X71" s="421">
        <f t="shared" ref="X71" si="315">X70/T70-1</f>
        <v>0.25436408977556102</v>
      </c>
      <c r="Y71" s="421">
        <f t="shared" ref="Y71" si="316">Y70/U70-1</f>
        <v>8.6283185840708043E-2</v>
      </c>
      <c r="Z71" s="440">
        <f>Z70/V70-1</f>
        <v>2.5437201907790197E-2</v>
      </c>
      <c r="AA71" s="436">
        <f>AA70/W70-1</f>
        <v>-0.16675000000000006</v>
      </c>
      <c r="AB71" s="421">
        <f t="shared" ref="AB71" si="317">AB70/X70-1</f>
        <v>-0.14150000000000007</v>
      </c>
      <c r="AC71" s="421">
        <f t="shared" ref="AC71" si="318">AC70/Y70-1</f>
        <v>-0.14655000000000018</v>
      </c>
      <c r="AD71" s="440">
        <f t="shared" ref="AD71" si="319">AD70/Z70-1</f>
        <v>-9.6049999999999858E-2</v>
      </c>
      <c r="AE71" s="436">
        <f t="shared" ref="AE71" si="320">AE70/AA70-1</f>
        <v>4.850000000000021E-3</v>
      </c>
      <c r="AF71" s="421">
        <f t="shared" ref="AF71" si="321">AF70/AB70-1</f>
        <v>3.0224999999999946E-2</v>
      </c>
      <c r="AG71" s="421">
        <f t="shared" ref="AG71" si="322">AG70/AC70-1</f>
        <v>3.0224999999999724E-2</v>
      </c>
      <c r="AH71" s="440">
        <f t="shared" ref="AH71" si="323">AH70/AD70-1</f>
        <v>3.0224999999999946E-2</v>
      </c>
      <c r="AI71" s="436">
        <f t="shared" ref="AI71" si="324">AI70/AE70-1</f>
        <v>3.0200000000000005E-2</v>
      </c>
      <c r="AJ71" s="421">
        <f t="shared" ref="AJ71" si="325">AJ70/AF70-1</f>
        <v>3.0200000000000005E-2</v>
      </c>
      <c r="AK71" s="421">
        <f t="shared" ref="AK71" si="326">AK70/AG70-1</f>
        <v>3.0200000000000005E-2</v>
      </c>
      <c r="AL71" s="440">
        <f t="shared" ref="AL71" si="327">AL70/AH70-1</f>
        <v>3.0200000000000227E-2</v>
      </c>
    </row>
    <row r="72" spans="2:38" ht="13.5" customHeight="1">
      <c r="B72" s="416" t="s">
        <v>187</v>
      </c>
      <c r="C72" s="419">
        <f>C70/C68</f>
        <v>0.12061315046389673</v>
      </c>
      <c r="D72" s="419">
        <f>D70/D68</f>
        <v>0.13143229355142216</v>
      </c>
      <c r="E72" s="419">
        <f t="shared" ref="E72:I72" si="328">E70/E68</f>
        <v>0.1364250657941532</v>
      </c>
      <c r="F72" s="419">
        <f t="shared" si="328"/>
        <v>0.15332087406555492</v>
      </c>
      <c r="G72" s="436">
        <f t="shared" si="328"/>
        <v>0.1552253027790616</v>
      </c>
      <c r="H72" s="419">
        <f t="shared" si="328"/>
        <v>0.15764652825228936</v>
      </c>
      <c r="I72" s="419">
        <f t="shared" si="328"/>
        <v>0.15922299353481226</v>
      </c>
      <c r="J72" s="418"/>
      <c r="K72" s="291">
        <f>K70/K68</f>
        <v>0.11805140466228332</v>
      </c>
      <c r="L72" s="105">
        <f t="shared" ref="L72:Z72" si="329">L70/L68</f>
        <v>0.12445693841042678</v>
      </c>
      <c r="M72" s="93">
        <f t="shared" si="329"/>
        <v>0.12094907407407407</v>
      </c>
      <c r="N72" s="136">
        <f t="shared" si="329"/>
        <v>0.11877855253666747</v>
      </c>
      <c r="O72" s="420">
        <f t="shared" si="329"/>
        <v>0.12736119061247853</v>
      </c>
      <c r="P72" s="271">
        <f t="shared" si="329"/>
        <v>0.13574660633484162</v>
      </c>
      <c r="Q72" s="271">
        <f t="shared" si="329"/>
        <v>0.13331222292590247</v>
      </c>
      <c r="R72" s="270">
        <f t="shared" si="329"/>
        <v>0.12987012987012986</v>
      </c>
      <c r="S72" s="420">
        <f t="shared" si="329"/>
        <v>0.12608444187391557</v>
      </c>
      <c r="T72" s="271">
        <f t="shared" si="329"/>
        <v>0.12251756798044608</v>
      </c>
      <c r="U72" s="271">
        <f t="shared" si="329"/>
        <v>0.13717754172989377</v>
      </c>
      <c r="V72" s="270">
        <f t="shared" si="329"/>
        <v>0.15596330275229359</v>
      </c>
      <c r="W72" s="436">
        <f t="shared" si="329"/>
        <v>0.13888107956142817</v>
      </c>
      <c r="X72" s="421">
        <f t="shared" si="329"/>
        <v>0.1488606096478248</v>
      </c>
      <c r="Y72" s="421">
        <f t="shared" si="329"/>
        <v>0.15272161741835147</v>
      </c>
      <c r="Z72" s="440">
        <f t="shared" si="329"/>
        <v>0.17149694230257911</v>
      </c>
      <c r="AA72" s="480">
        <f>W72*(1+AA73)</f>
        <v>0.14026989035704246</v>
      </c>
      <c r="AB72" s="481">
        <f t="shared" ref="AB72" si="330">X72*(1+AB73)</f>
        <v>0.15034921574430304</v>
      </c>
      <c r="AC72" s="481">
        <f t="shared" ref="AC72" si="331">Y72*(1+AC73)</f>
        <v>0.154248833592535</v>
      </c>
      <c r="AD72" s="482">
        <f t="shared" ref="AD72" si="332">Z72*(1+AD73)</f>
        <v>0.17321191172560491</v>
      </c>
      <c r="AE72" s="480">
        <f t="shared" ref="AE72" si="333">AA72*(1+AE73)</f>
        <v>0.14237393871239809</v>
      </c>
      <c r="AF72" s="481">
        <f t="shared" ref="AF72" si="334">AB72*(1+AF73)</f>
        <v>0.15260445398046757</v>
      </c>
      <c r="AG72" s="481">
        <f t="shared" ref="AG72" si="335">AC72*(1+AG73)</f>
        <v>0.15656256609642299</v>
      </c>
      <c r="AH72" s="482">
        <f t="shared" ref="AH72" si="336">AD72*(1+AH73)</f>
        <v>0.17581009040148896</v>
      </c>
      <c r="AI72" s="480">
        <f t="shared" ref="AI72" si="337">AE72*(1+AI73)</f>
        <v>0.14379767809952207</v>
      </c>
      <c r="AJ72" s="481">
        <f t="shared" ref="AJ72" si="338">AF72*(1+AJ73)</f>
        <v>0.15413049852027225</v>
      </c>
      <c r="AK72" s="481">
        <f t="shared" ref="AK72" si="339">AG72*(1+AK73)</f>
        <v>0.15812819175738724</v>
      </c>
      <c r="AL72" s="482">
        <f t="shared" ref="AL72" si="340">AH72*(1+AL73)</f>
        <v>0.17756819130550386</v>
      </c>
    </row>
    <row r="73" spans="2:38" ht="13.5" customHeight="1">
      <c r="B73" s="478" t="s">
        <v>198</v>
      </c>
      <c r="C73" s="418"/>
      <c r="D73" s="419">
        <f t="shared" ref="D73:I73" si="341">D72-C72</f>
        <v>1.0819143087525435E-2</v>
      </c>
      <c r="E73" s="419">
        <f t="shared" si="341"/>
        <v>4.9927722427310361E-3</v>
      </c>
      <c r="F73" s="479">
        <f t="shared" si="341"/>
        <v>1.6895808271401719E-2</v>
      </c>
      <c r="G73" s="419">
        <f t="shared" si="341"/>
        <v>1.904428713506684E-3</v>
      </c>
      <c r="H73" s="419">
        <f t="shared" si="341"/>
        <v>2.4212254732277616E-3</v>
      </c>
      <c r="I73" s="419">
        <f t="shared" si="341"/>
        <v>1.5764652825228931E-3</v>
      </c>
      <c r="J73" s="418"/>
      <c r="K73" s="291"/>
      <c r="L73" s="105"/>
      <c r="M73" s="93"/>
      <c r="N73" s="136"/>
      <c r="O73" s="420">
        <f>O72-K72</f>
        <v>9.3097859501952013E-3</v>
      </c>
      <c r="P73" s="271">
        <f t="shared" ref="P73" si="342">P72-L72</f>
        <v>1.128966792441484E-2</v>
      </c>
      <c r="Q73" s="271">
        <f t="shared" ref="Q73" si="343">Q72-M72</f>
        <v>1.2363148851828404E-2</v>
      </c>
      <c r="R73" s="270">
        <f t="shared" ref="R73" si="344">R72-N72</f>
        <v>1.1091577333462388E-2</v>
      </c>
      <c r="S73" s="420">
        <f t="shared" ref="S73" si="345">S72-O72</f>
        <v>-1.276748738562955E-3</v>
      </c>
      <c r="T73" s="271">
        <f t="shared" ref="T73" si="346">T72-P72</f>
        <v>-1.3229038354395539E-2</v>
      </c>
      <c r="U73" s="271">
        <f t="shared" ref="U73" si="347">U72-Q72</f>
        <v>3.8653188039912967E-3</v>
      </c>
      <c r="V73" s="270">
        <f t="shared" ref="V73" si="348">V72-R72</f>
        <v>2.6093172882163729E-2</v>
      </c>
      <c r="W73" s="436">
        <f t="shared" ref="W73" si="349">W72-S72</f>
        <v>1.2796637687512602E-2</v>
      </c>
      <c r="X73" s="421">
        <f t="shared" ref="X73" si="350">X72-T72</f>
        <v>2.6343041667378719E-2</v>
      </c>
      <c r="Y73" s="421">
        <f t="shared" ref="Y73" si="351">Y72-U72</f>
        <v>1.5544075688457698E-2</v>
      </c>
      <c r="Z73" s="440">
        <f t="shared" ref="Z73" si="352">Z72-V72</f>
        <v>1.5533639550285527E-2</v>
      </c>
      <c r="AA73" s="432">
        <v>0.01</v>
      </c>
      <c r="AB73" s="432">
        <v>0.01</v>
      </c>
      <c r="AC73" s="432">
        <v>0.01</v>
      </c>
      <c r="AD73" s="442">
        <v>0.01</v>
      </c>
      <c r="AE73" s="432">
        <v>1.4999999999999999E-2</v>
      </c>
      <c r="AF73" s="432">
        <v>1.4999999999999999E-2</v>
      </c>
      <c r="AG73" s="432">
        <v>1.4999999999999999E-2</v>
      </c>
      <c r="AH73" s="442">
        <v>1.4999999999999999E-2</v>
      </c>
      <c r="AI73" s="432">
        <v>0.01</v>
      </c>
      <c r="AJ73" s="432">
        <v>0.01</v>
      </c>
      <c r="AK73" s="432">
        <v>0.01</v>
      </c>
      <c r="AL73" s="442">
        <v>0.01</v>
      </c>
    </row>
    <row r="74" spans="2:38" ht="13.5" customHeight="1">
      <c r="B74" s="252" t="s">
        <v>197</v>
      </c>
      <c r="C74" s="253"/>
      <c r="D74" s="253"/>
      <c r="E74" s="253"/>
      <c r="F74" s="253"/>
      <c r="G74" s="471"/>
      <c r="H74" s="254"/>
      <c r="I74" s="254"/>
      <c r="K74" s="386"/>
      <c r="L74" s="104"/>
      <c r="M74" s="281"/>
      <c r="N74" s="393"/>
      <c r="O74" s="394"/>
      <c r="P74" s="282"/>
      <c r="Q74" s="282"/>
      <c r="R74" s="395"/>
      <c r="S74" s="394"/>
      <c r="T74" s="282"/>
      <c r="U74" s="282"/>
      <c r="V74" s="395"/>
      <c r="W74" s="437"/>
      <c r="Z74" s="441"/>
      <c r="AA74" s="437"/>
      <c r="AB74" s="111"/>
      <c r="AC74" s="111"/>
      <c r="AD74" s="441"/>
      <c r="AE74" s="437"/>
      <c r="AF74" s="111"/>
      <c r="AG74" s="111"/>
      <c r="AH74" s="441"/>
      <c r="AI74" s="437"/>
      <c r="AJ74" s="111"/>
      <c r="AK74" s="111"/>
      <c r="AL74" s="441"/>
    </row>
    <row r="75" spans="2:38" ht="13.5" customHeight="1">
      <c r="B75" s="293" t="s">
        <v>183</v>
      </c>
      <c r="C75" s="272">
        <v>-3.0000000000000001E-3</v>
      </c>
      <c r="D75" s="272">
        <v>1.4999999999999999E-2</v>
      </c>
      <c r="E75" s="272">
        <v>3.1505970905406383E-2</v>
      </c>
      <c r="F75" s="272">
        <v>-2.2146809872679425E-2</v>
      </c>
      <c r="G75" s="472">
        <f>SUMPRODUCT(W$68:Z$68,AA75:AD75)/SUM(W$68:Z$68)</f>
        <v>-2.5567855089131683E-3</v>
      </c>
      <c r="H75" s="272">
        <f>SUMPRODUCT(AA$68:AD$68,AE75:AH75)/SUM(AA$68:AD$68)</f>
        <v>5.0000000000000001E-3</v>
      </c>
      <c r="I75" s="272">
        <f>SUMPRODUCT(AE$68:AH$68,AI75:AL75)/SUM(AE$68:AH$68)</f>
        <v>0.01</v>
      </c>
      <c r="J75" s="418"/>
      <c r="K75" s="291">
        <v>2.0000000000000004E-2</v>
      </c>
      <c r="L75" s="105">
        <v>8.0000000000000002E-3</v>
      </c>
      <c r="M75" s="93">
        <v>1.2E-2</v>
      </c>
      <c r="N75" s="136">
        <v>-2.1999999999999999E-2</v>
      </c>
      <c r="O75" s="420">
        <v>4.7E-2</v>
      </c>
      <c r="P75" s="271">
        <v>-1.7000000000000001E-2</v>
      </c>
      <c r="Q75" s="271">
        <v>1.7000000000000001E-2</v>
      </c>
      <c r="R75" s="270">
        <v>1.7000000000000001E-2</v>
      </c>
      <c r="S75" s="420">
        <v>1.2999999999999999E-2</v>
      </c>
      <c r="T75" s="271">
        <v>3.7999999999999999E-2</v>
      </c>
      <c r="U75" s="271">
        <v>4.7E-2</v>
      </c>
      <c r="V75" s="270">
        <v>0.03</v>
      </c>
      <c r="W75" s="436">
        <v>8.9999999999999993E-3</v>
      </c>
      <c r="X75" s="421">
        <v>-1.6E-2</v>
      </c>
      <c r="Y75" s="421">
        <v>-5.5E-2</v>
      </c>
      <c r="Z75" s="440">
        <v>-2.7E-2</v>
      </c>
      <c r="AA75" s="459">
        <v>-0.01</v>
      </c>
      <c r="AB75" s="432">
        <v>0</v>
      </c>
      <c r="AC75" s="432">
        <v>0</v>
      </c>
      <c r="AD75" s="442">
        <v>0</v>
      </c>
      <c r="AE75" s="459">
        <v>5.0000000000000001E-3</v>
      </c>
      <c r="AF75" s="432">
        <v>5.0000000000000001E-3</v>
      </c>
      <c r="AG75" s="432">
        <v>5.0000000000000001E-3</v>
      </c>
      <c r="AH75" s="442">
        <v>5.0000000000000001E-3</v>
      </c>
      <c r="AI75" s="459">
        <v>0.01</v>
      </c>
      <c r="AJ75" s="432">
        <v>0.01</v>
      </c>
      <c r="AK75" s="432">
        <v>0.01</v>
      </c>
      <c r="AL75" s="442">
        <v>0.01</v>
      </c>
    </row>
    <row r="76" spans="2:38" ht="13.5" customHeight="1">
      <c r="B76" s="294" t="s">
        <v>188</v>
      </c>
      <c r="C76" s="272">
        <v>4.7E-2</v>
      </c>
      <c r="D76" s="272">
        <v>8.0000000000000002E-3</v>
      </c>
      <c r="E76" s="272">
        <v>-2.3644206412390532E-2</v>
      </c>
      <c r="F76" s="272">
        <v>1.2794508855537377E-2</v>
      </c>
      <c r="G76" s="472">
        <f>SUMPRODUCT(W$68:Z$68,AA76:AD76)/SUM(W$68:Z$68)</f>
        <v>1.2513657274295575E-2</v>
      </c>
      <c r="H76" s="272">
        <f>SUMPRODUCT(AA$68:AD$68,AE76:AH76)/SUM(AA$68:AD$68)</f>
        <v>0.01</v>
      </c>
      <c r="I76" s="272">
        <f>SUMPRODUCT(AE$68:AH$68,AI76:AL76)/SUM(AE$68:AH$68)</f>
        <v>0.01</v>
      </c>
      <c r="J76" s="418"/>
      <c r="K76" s="389">
        <v>2.4E-2</v>
      </c>
      <c r="L76" s="43">
        <v>5.6000000000000001E-2</v>
      </c>
      <c r="M76" s="105">
        <v>0.04</v>
      </c>
      <c r="N76" s="135">
        <v>5.2999999999999999E-2</v>
      </c>
      <c r="O76" s="133">
        <v>2.9000000000000001E-2</v>
      </c>
      <c r="P76" s="105">
        <v>2.8000000000000001E-2</v>
      </c>
      <c r="Q76" s="105">
        <v>-8.0000000000000002E-3</v>
      </c>
      <c r="R76" s="135">
        <v>-1.4999999999999999E-2</v>
      </c>
      <c r="S76" s="133">
        <v>-1.2E-2</v>
      </c>
      <c r="T76" s="105">
        <v>-3.5999999999999997E-2</v>
      </c>
      <c r="U76" s="105">
        <v>-2.8000000000000001E-2</v>
      </c>
      <c r="V76" s="135">
        <v>-0.02</v>
      </c>
      <c r="W76" s="436">
        <v>-1.9E-2</v>
      </c>
      <c r="X76" s="421">
        <v>-3.0000000000000001E-3</v>
      </c>
      <c r="Y76" s="421">
        <v>3.1E-2</v>
      </c>
      <c r="Z76" s="440">
        <v>3.7999999999999999E-2</v>
      </c>
      <c r="AA76" s="459">
        <v>3.5000000000000003E-2</v>
      </c>
      <c r="AB76" s="432">
        <v>2.5000000000000001E-2</v>
      </c>
      <c r="AC76" s="432">
        <v>-5.0000000000000001E-3</v>
      </c>
      <c r="AD76" s="442">
        <v>-5.0000000000000001E-3</v>
      </c>
      <c r="AE76" s="459">
        <v>0.01</v>
      </c>
      <c r="AF76" s="432">
        <v>0.01</v>
      </c>
      <c r="AG76" s="432">
        <v>0.01</v>
      </c>
      <c r="AH76" s="442">
        <v>0.01</v>
      </c>
      <c r="AI76" s="459">
        <v>0.01</v>
      </c>
      <c r="AJ76" s="432">
        <v>0.01</v>
      </c>
      <c r="AK76" s="432">
        <v>0.01</v>
      </c>
      <c r="AL76" s="442">
        <v>0.01</v>
      </c>
    </row>
    <row r="77" spans="2:38" ht="13.5" customHeight="1">
      <c r="B77" s="294" t="s">
        <v>184</v>
      </c>
      <c r="C77" s="272">
        <v>4.3999999999999997E-2</v>
      </c>
      <c r="D77" s="272">
        <v>2.3E-2</v>
      </c>
      <c r="E77" s="272">
        <v>7.8617644930158506E-3</v>
      </c>
      <c r="F77" s="272">
        <v>-9.3523010171420486E-3</v>
      </c>
      <c r="G77" s="472">
        <f t="shared" ref="G77" si="353">SUM(G75:G76)</f>
        <v>9.9568717653824058E-3</v>
      </c>
      <c r="H77" s="272">
        <f t="shared" ref="H77" si="354">SUM(H75:H76)</f>
        <v>1.4999999999999999E-2</v>
      </c>
      <c r="I77" s="272">
        <f t="shared" ref="I77" si="355">SUM(I75:I76)</f>
        <v>0.02</v>
      </c>
      <c r="J77" s="418"/>
      <c r="K77" s="389">
        <v>4.4000000000000004E-2</v>
      </c>
      <c r="L77" s="43">
        <v>6.4000000000000001E-2</v>
      </c>
      <c r="M77" s="105">
        <v>5.2000000000000005E-2</v>
      </c>
      <c r="N77" s="135">
        <v>3.1E-2</v>
      </c>
      <c r="O77" s="133">
        <v>7.5999999999999998E-2</v>
      </c>
      <c r="P77" s="105">
        <v>1.0999999999999999E-2</v>
      </c>
      <c r="Q77" s="105">
        <v>9.0000000000000011E-3</v>
      </c>
      <c r="R77" s="135">
        <v>2.0000000000000018E-3</v>
      </c>
      <c r="S77" s="133">
        <v>9.9999999999999915E-4</v>
      </c>
      <c r="T77" s="105">
        <v>2.0000000000000018E-3</v>
      </c>
      <c r="U77" s="105">
        <v>1.9E-2</v>
      </c>
      <c r="V77" s="135">
        <v>9.9999999999999985E-3</v>
      </c>
      <c r="W77" s="436">
        <v>-0.01</v>
      </c>
      <c r="X77" s="421">
        <v>-1.9E-2</v>
      </c>
      <c r="Y77" s="421">
        <v>-2.4E-2</v>
      </c>
      <c r="Z77" s="440">
        <v>1.0999999999999999E-2</v>
      </c>
      <c r="AA77" s="460">
        <f>SUM(AA75:AA76)</f>
        <v>2.5000000000000001E-2</v>
      </c>
      <c r="AB77" s="433">
        <f t="shared" ref="AB77" si="356">SUM(AB75:AB76)</f>
        <v>2.5000000000000001E-2</v>
      </c>
      <c r="AC77" s="433">
        <f t="shared" ref="AC77" si="357">SUM(AC75:AC76)</f>
        <v>-5.0000000000000001E-3</v>
      </c>
      <c r="AD77" s="443">
        <f t="shared" ref="AD77" si="358">SUM(AD75:AD76)</f>
        <v>-5.0000000000000001E-3</v>
      </c>
      <c r="AE77" s="460">
        <f t="shared" ref="AE77" si="359">SUM(AE75:AE76)</f>
        <v>1.4999999999999999E-2</v>
      </c>
      <c r="AF77" s="433">
        <f t="shared" ref="AF77" si="360">SUM(AF75:AF76)</f>
        <v>1.4999999999999999E-2</v>
      </c>
      <c r="AG77" s="433">
        <f t="shared" ref="AG77" si="361">SUM(AG75:AG76)</f>
        <v>1.4999999999999999E-2</v>
      </c>
      <c r="AH77" s="443">
        <f t="shared" ref="AH77" si="362">SUM(AH75:AH76)</f>
        <v>1.4999999999999999E-2</v>
      </c>
      <c r="AI77" s="460">
        <f t="shared" ref="AI77" si="363">SUM(AI75:AI76)</f>
        <v>0.02</v>
      </c>
      <c r="AJ77" s="433">
        <f t="shared" ref="AJ77" si="364">SUM(AJ75:AJ76)</f>
        <v>0.02</v>
      </c>
      <c r="AK77" s="433">
        <f t="shared" ref="AK77" si="365">SUM(AK75:AK76)</f>
        <v>0.02</v>
      </c>
      <c r="AL77" s="443">
        <f t="shared" ref="AL77" si="366">SUM(AL75:AL76)</f>
        <v>0.02</v>
      </c>
    </row>
    <row r="78" spans="2:38" ht="13.5" customHeight="1">
      <c r="B78" s="293" t="s">
        <v>185</v>
      </c>
      <c r="C78" s="272">
        <v>5.1999999999999998E-2</v>
      </c>
      <c r="D78" s="272">
        <v>-5.7000000000000002E-2</v>
      </c>
      <c r="E78" s="272">
        <v>2.1634291090685386E-2</v>
      </c>
      <c r="F78" s="272">
        <v>2.5606373141759727E-3</v>
      </c>
      <c r="G78" s="472">
        <f t="shared" ref="G78:G80" si="367">SUMPRODUCT(W$68:Z$68,AA78:AD78)/SUM(W$68:Z$68)</f>
        <v>-0.15533891604370326</v>
      </c>
      <c r="H78" s="272">
        <f t="shared" ref="H78:H80" si="368">SUMPRODUCT(AA$68:AD$68,AE78:AH78)/SUM(AA$68:AD$68)</f>
        <v>-6.1704415134600475E-3</v>
      </c>
      <c r="I78" s="272">
        <f t="shared" ref="I78:I80" si="369">SUMPRODUCT(AE$68:AH$68,AI78:AL78)/SUM(AE$68:AH$68)</f>
        <v>0</v>
      </c>
      <c r="J78" s="418"/>
      <c r="K78" s="388">
        <v>-4.4296788482834993E-3</v>
      </c>
      <c r="L78" s="434">
        <v>0.13462226996061583</v>
      </c>
      <c r="M78" s="105">
        <v>0.1041890440386681</v>
      </c>
      <c r="N78" s="135">
        <v>-6.6550925925925927E-3</v>
      </c>
      <c r="O78" s="133">
        <v>-3.2000000000000001E-2</v>
      </c>
      <c r="P78" s="105">
        <v>-8.8999999999999996E-2</v>
      </c>
      <c r="Q78" s="105">
        <v>-9.4E-2</v>
      </c>
      <c r="R78" s="135">
        <v>-1.7000000000000001E-2</v>
      </c>
      <c r="S78" s="133">
        <v>3.0000000000000001E-3</v>
      </c>
      <c r="T78" s="105">
        <v>8.9999999999999993E-3</v>
      </c>
      <c r="U78" s="105">
        <v>3.7999999999999999E-2</v>
      </c>
      <c r="V78" s="135">
        <v>3.5999999999999997E-2</v>
      </c>
      <c r="W78" s="436">
        <v>3.9907460960092539E-2</v>
      </c>
      <c r="X78" s="421">
        <v>5.255117629086465E-2</v>
      </c>
      <c r="Y78" s="421">
        <v>6.3732928679817906E-3</v>
      </c>
      <c r="Z78" s="440">
        <v>-7.3146541036449297E-2</v>
      </c>
      <c r="AA78" s="459">
        <v>-0.2</v>
      </c>
      <c r="AB78" s="432">
        <v>-0.17499999999999999</v>
      </c>
      <c r="AC78" s="432">
        <v>-0.15</v>
      </c>
      <c r="AD78" s="442">
        <v>-0.1</v>
      </c>
      <c r="AE78" s="459">
        <v>-2.5000000000000001E-2</v>
      </c>
      <c r="AF78" s="432">
        <v>0</v>
      </c>
      <c r="AG78" s="432">
        <v>0</v>
      </c>
      <c r="AH78" s="442">
        <v>0</v>
      </c>
      <c r="AI78" s="459">
        <v>0</v>
      </c>
      <c r="AJ78" s="432">
        <v>0</v>
      </c>
      <c r="AK78" s="432">
        <v>0</v>
      </c>
      <c r="AL78" s="442">
        <v>0</v>
      </c>
    </row>
    <row r="79" spans="2:38" ht="13.5" customHeight="1">
      <c r="B79" s="294" t="s">
        <v>186</v>
      </c>
      <c r="C79" s="272">
        <v>6.9999999999999993E-3</v>
      </c>
      <c r="D79" s="272">
        <v>-3.0000000000000001E-3</v>
      </c>
      <c r="E79" s="272">
        <v>-1.493406672939133E-2</v>
      </c>
      <c r="F79" s="272">
        <v>-4.5934988263745646E-4</v>
      </c>
      <c r="G79" s="472">
        <f t="shared" si="367"/>
        <v>0</v>
      </c>
      <c r="H79" s="272">
        <f t="shared" si="368"/>
        <v>0</v>
      </c>
      <c r="I79" s="272">
        <f t="shared" si="369"/>
        <v>0</v>
      </c>
      <c r="J79" s="418"/>
      <c r="K79" s="389">
        <v>7.4197120708748621E-2</v>
      </c>
      <c r="L79" s="434">
        <v>0</v>
      </c>
      <c r="M79" s="105">
        <v>0</v>
      </c>
      <c r="N79" s="135">
        <v>0</v>
      </c>
      <c r="O79" s="133">
        <v>0</v>
      </c>
      <c r="P79" s="105">
        <v>-2E-3</v>
      </c>
      <c r="Q79" s="105">
        <v>-1E-3</v>
      </c>
      <c r="R79" s="135">
        <v>-7.0000000000000001E-3</v>
      </c>
      <c r="S79" s="133">
        <v>-1.4E-2</v>
      </c>
      <c r="T79" s="105">
        <v>-2.4E-2</v>
      </c>
      <c r="U79" s="105">
        <v>-2.1000000000000001E-2</v>
      </c>
      <c r="V79" s="135">
        <v>-3.0000000000000001E-3</v>
      </c>
      <c r="W79" s="436">
        <v>-1E-3</v>
      </c>
      <c r="X79" s="421">
        <v>-9.1659028414298811E-4</v>
      </c>
      <c r="Y79" s="421">
        <v>0</v>
      </c>
      <c r="Z79" s="440">
        <v>0</v>
      </c>
      <c r="AA79" s="459">
        <v>0</v>
      </c>
      <c r="AB79" s="432">
        <v>0</v>
      </c>
      <c r="AC79" s="432">
        <v>0</v>
      </c>
      <c r="AD79" s="442">
        <v>0</v>
      </c>
      <c r="AE79" s="459">
        <v>0</v>
      </c>
      <c r="AF79" s="432">
        <v>0</v>
      </c>
      <c r="AG79" s="432">
        <v>0</v>
      </c>
      <c r="AH79" s="442">
        <v>0</v>
      </c>
      <c r="AI79" s="459">
        <v>0</v>
      </c>
      <c r="AJ79" s="432">
        <v>0</v>
      </c>
      <c r="AK79" s="432">
        <v>0</v>
      </c>
      <c r="AL79" s="442">
        <v>0</v>
      </c>
    </row>
    <row r="80" spans="2:38" ht="13.5" customHeight="1">
      <c r="B80" s="295" t="s">
        <v>1</v>
      </c>
      <c r="C80" s="435">
        <v>3.1E-2</v>
      </c>
      <c r="D80" s="435">
        <v>-3.4000000000000002E-2</v>
      </c>
      <c r="E80" s="435">
        <v>0</v>
      </c>
      <c r="F80" s="435">
        <v>0</v>
      </c>
      <c r="G80" s="472">
        <f t="shared" si="367"/>
        <v>0</v>
      </c>
      <c r="H80" s="272">
        <f t="shared" si="368"/>
        <v>0</v>
      </c>
      <c r="I80" s="272">
        <f t="shared" si="369"/>
        <v>0</v>
      </c>
      <c r="J80" s="418"/>
      <c r="K80" s="390">
        <v>0</v>
      </c>
      <c r="L80" s="449">
        <v>8.0916577157178662E-2</v>
      </c>
      <c r="M80" s="449">
        <v>0</v>
      </c>
      <c r="N80" s="450">
        <v>5.1215277777777776E-2</v>
      </c>
      <c r="O80" s="452">
        <v>0</v>
      </c>
      <c r="P80" s="449">
        <v>-7.2999999999999995E-2</v>
      </c>
      <c r="Q80" s="449">
        <v>0</v>
      </c>
      <c r="R80" s="450">
        <v>-5.1999999999999998E-2</v>
      </c>
      <c r="S80" s="452">
        <v>0</v>
      </c>
      <c r="T80" s="449">
        <v>0</v>
      </c>
      <c r="U80" s="449">
        <v>0</v>
      </c>
      <c r="V80" s="450">
        <v>0</v>
      </c>
      <c r="W80" s="456">
        <v>0</v>
      </c>
      <c r="X80" s="457">
        <v>0</v>
      </c>
      <c r="Y80" s="457">
        <v>0</v>
      </c>
      <c r="Z80" s="458">
        <v>0</v>
      </c>
      <c r="AA80" s="461">
        <v>0</v>
      </c>
      <c r="AB80" s="438">
        <v>0</v>
      </c>
      <c r="AC80" s="438">
        <v>0</v>
      </c>
      <c r="AD80" s="444">
        <v>0</v>
      </c>
      <c r="AE80" s="461">
        <v>0</v>
      </c>
      <c r="AF80" s="438">
        <v>0</v>
      </c>
      <c r="AG80" s="438">
        <v>0</v>
      </c>
      <c r="AH80" s="444">
        <v>0</v>
      </c>
      <c r="AI80" s="461">
        <v>0</v>
      </c>
      <c r="AJ80" s="438">
        <v>0</v>
      </c>
      <c r="AK80" s="438">
        <v>0</v>
      </c>
      <c r="AL80" s="444">
        <v>0</v>
      </c>
    </row>
    <row r="81" spans="2:38" ht="13.5" customHeight="1">
      <c r="B81" s="8"/>
      <c r="C81" s="38"/>
      <c r="D81" s="38"/>
      <c r="E81" s="38"/>
      <c r="F81" s="8"/>
      <c r="G81" s="8"/>
      <c r="H81" s="8"/>
      <c r="I81" s="8"/>
      <c r="Z81" s="111"/>
    </row>
    <row r="82" spans="2:38" ht="13.5" customHeight="1">
      <c r="B82" s="8"/>
      <c r="C82" s="38"/>
      <c r="D82" s="38"/>
      <c r="E82" s="38"/>
      <c r="F82" s="8"/>
      <c r="G82" s="8"/>
      <c r="H82" s="8"/>
      <c r="I82" s="8"/>
      <c r="Z82" s="111"/>
    </row>
    <row r="83" spans="2:38" ht="13.5" customHeight="1">
      <c r="B83" s="299" t="s">
        <v>256</v>
      </c>
      <c r="C83" s="773" t="s">
        <v>250</v>
      </c>
      <c r="D83" s="773" t="s">
        <v>249</v>
      </c>
      <c r="E83" s="31"/>
      <c r="F83" s="31"/>
      <c r="G83" s="31"/>
      <c r="H83" s="31"/>
      <c r="I83" s="288"/>
      <c r="O83" s="793"/>
      <c r="Z83" s="111"/>
    </row>
    <row r="84" spans="2:38" ht="13.5" customHeight="1">
      <c r="B84" s="55" t="s">
        <v>253</v>
      </c>
      <c r="C84" s="772">
        <v>0.85</v>
      </c>
      <c r="D84" s="772">
        <v>0.15</v>
      </c>
      <c r="E84" s="8"/>
      <c r="F84" s="8"/>
      <c r="G84" s="8"/>
      <c r="H84" s="8"/>
      <c r="I84" s="8"/>
      <c r="M84" s="111" t="s">
        <v>298</v>
      </c>
      <c r="N84" s="14"/>
      <c r="O84" s="111" t="s">
        <v>294</v>
      </c>
      <c r="P84" s="111" t="s">
        <v>295</v>
      </c>
      <c r="Q84" s="237" t="s">
        <v>296</v>
      </c>
      <c r="R84" s="237" t="s">
        <v>297</v>
      </c>
      <c r="S84" s="111" t="s">
        <v>294</v>
      </c>
      <c r="T84" s="111" t="s">
        <v>295</v>
      </c>
      <c r="U84" s="237" t="s">
        <v>296</v>
      </c>
      <c r="V84" s="237" t="s">
        <v>297</v>
      </c>
      <c r="W84" s="111" t="s">
        <v>294</v>
      </c>
      <c r="X84" s="111" t="s">
        <v>295</v>
      </c>
      <c r="Y84" s="237" t="s">
        <v>296</v>
      </c>
      <c r="Z84" s="237" t="s">
        <v>297</v>
      </c>
    </row>
    <row r="85" spans="2:38" ht="13.5" customHeight="1">
      <c r="B85" s="55"/>
      <c r="C85" s="769"/>
      <c r="D85" s="769"/>
      <c r="E85" s="8"/>
      <c r="F85" s="8"/>
      <c r="G85" s="8"/>
      <c r="H85" s="8"/>
      <c r="I85" s="8"/>
      <c r="K85" s="792"/>
      <c r="L85" s="250"/>
      <c r="N85" s="14" t="s">
        <v>291</v>
      </c>
      <c r="O85" s="792">
        <f>O15</f>
        <v>-1.2999999999999999E-2</v>
      </c>
      <c r="P85" s="792">
        <f t="shared" ref="P85:Z85" si="370">P15</f>
        <v>-2.4E-2</v>
      </c>
      <c r="Q85" s="792">
        <f t="shared" si="370"/>
        <v>-2E-3</v>
      </c>
      <c r="R85" s="792">
        <f t="shared" si="370"/>
        <v>-0.01</v>
      </c>
      <c r="S85" s="792">
        <f t="shared" si="370"/>
        <v>8.9999999999999993E-3</v>
      </c>
      <c r="T85" s="792">
        <f t="shared" si="370"/>
        <v>3.2000000000000001E-2</v>
      </c>
      <c r="U85" s="792">
        <f t="shared" si="370"/>
        <v>0.02</v>
      </c>
      <c r="V85" s="792">
        <f t="shared" si="370"/>
        <v>3.2000000000000001E-2</v>
      </c>
      <c r="W85" s="792">
        <f t="shared" si="370"/>
        <v>0.01</v>
      </c>
      <c r="X85" s="792">
        <f t="shared" si="370"/>
        <v>1.6E-2</v>
      </c>
      <c r="Y85" s="792">
        <f t="shared" si="370"/>
        <v>3.0000000000000001E-3</v>
      </c>
      <c r="Z85" s="792">
        <f t="shared" si="370"/>
        <v>-1E-3</v>
      </c>
    </row>
    <row r="86" spans="2:38" ht="13.5" customHeight="1">
      <c r="B86" s="55" t="s">
        <v>252</v>
      </c>
      <c r="C86" s="772" t="s">
        <v>254</v>
      </c>
      <c r="D86" s="772" t="s">
        <v>255</v>
      </c>
      <c r="E86" s="38" t="s">
        <v>251</v>
      </c>
      <c r="F86" s="38" t="s">
        <v>1</v>
      </c>
      <c r="G86" s="8"/>
      <c r="H86" s="8"/>
      <c r="N86" s="14" t="s">
        <v>257</v>
      </c>
      <c r="O86" s="792">
        <f>O30</f>
        <v>2.7E-2</v>
      </c>
      <c r="P86" s="792">
        <f t="shared" ref="P86:Z86" si="371">P30</f>
        <v>-1.6E-2</v>
      </c>
      <c r="Q86" s="792">
        <f t="shared" si="371"/>
        <v>-4.4999999999999998E-2</v>
      </c>
      <c r="R86" s="792">
        <f t="shared" si="371"/>
        <v>1.9E-2</v>
      </c>
      <c r="S86" s="792">
        <f t="shared" si="371"/>
        <v>3.2000000000000001E-2</v>
      </c>
      <c r="T86" s="792">
        <f t="shared" si="371"/>
        <v>-0.02</v>
      </c>
      <c r="U86" s="792">
        <f t="shared" si="371"/>
        <v>3.7999999999999999E-2</v>
      </c>
      <c r="V86" s="792">
        <f t="shared" si="371"/>
        <v>-0.01</v>
      </c>
      <c r="W86" s="792">
        <f t="shared" si="371"/>
        <v>-1.4E-2</v>
      </c>
      <c r="X86" s="792">
        <f t="shared" si="371"/>
        <v>-6.9000000000000006E-2</v>
      </c>
      <c r="Y86" s="792">
        <f t="shared" si="371"/>
        <v>-3.1E-2</v>
      </c>
      <c r="Z86" s="792">
        <f t="shared" si="371"/>
        <v>-5.8000000000000003E-2</v>
      </c>
    </row>
    <row r="87" spans="2:38" ht="13.5" customHeight="1">
      <c r="B87" s="55" t="s">
        <v>259</v>
      </c>
      <c r="C87" s="772">
        <v>0.4</v>
      </c>
      <c r="D87" s="772">
        <v>0.03</v>
      </c>
      <c r="E87" s="772">
        <v>0.05</v>
      </c>
      <c r="F87" s="772">
        <v>0.3</v>
      </c>
      <c r="G87" s="769"/>
      <c r="H87" s="8"/>
      <c r="N87" s="14" t="s">
        <v>292</v>
      </c>
      <c r="O87" s="792">
        <f>O45</f>
        <v>0.06</v>
      </c>
      <c r="P87" s="792">
        <f t="shared" ref="P87:Z87" si="372">P45</f>
        <v>5.7000000000000002E-2</v>
      </c>
      <c r="Q87" s="792">
        <f t="shared" si="372"/>
        <v>-2.7E-2</v>
      </c>
      <c r="R87" s="792">
        <f t="shared" si="372"/>
        <v>6.8000000000000005E-2</v>
      </c>
      <c r="S87" s="792">
        <f t="shared" si="372"/>
        <v>4.1000000000000002E-2</v>
      </c>
      <c r="T87" s="792">
        <f t="shared" si="372"/>
        <v>3.5000000000000003E-2</v>
      </c>
      <c r="U87" s="792">
        <f t="shared" si="372"/>
        <v>4.7E-2</v>
      </c>
      <c r="V87" s="792">
        <f t="shared" si="372"/>
        <v>-1.7000000000000001E-2</v>
      </c>
      <c r="W87" s="792">
        <f t="shared" si="372"/>
        <v>-3.7999999999999999E-2</v>
      </c>
      <c r="X87" s="792">
        <f t="shared" si="372"/>
        <v>-9.9000000000000005E-2</v>
      </c>
      <c r="Y87" s="792">
        <f t="shared" si="372"/>
        <v>-2.3E-2</v>
      </c>
      <c r="Z87" s="792">
        <f t="shared" si="372"/>
        <v>-6.6000000000000003E-2</v>
      </c>
    </row>
    <row r="88" spans="2:38" ht="13.5" customHeight="1">
      <c r="B88" s="770"/>
      <c r="C88" s="771"/>
      <c r="D88" s="8"/>
      <c r="E88" s="8"/>
      <c r="F88" s="8"/>
      <c r="G88" s="8"/>
      <c r="H88" s="8"/>
      <c r="N88" s="14" t="s">
        <v>194</v>
      </c>
      <c r="O88" s="792">
        <f>O60</f>
        <v>2.7E-2</v>
      </c>
      <c r="P88" s="792">
        <f t="shared" ref="P88:Z88" si="373">P60</f>
        <v>4.4999999999999998E-2</v>
      </c>
      <c r="Q88" s="792">
        <f t="shared" si="373"/>
        <v>-1.4E-2</v>
      </c>
      <c r="R88" s="792">
        <f t="shared" si="373"/>
        <v>4.1000000000000002E-2</v>
      </c>
      <c r="S88" s="792">
        <f t="shared" si="373"/>
        <v>7.3999999999999996E-2</v>
      </c>
      <c r="T88" s="792">
        <f t="shared" si="373"/>
        <v>0.123</v>
      </c>
      <c r="U88" s="792">
        <f t="shared" si="373"/>
        <v>0.16400000000000001</v>
      </c>
      <c r="V88" s="792">
        <f t="shared" si="373"/>
        <v>8.1000000000000003E-2</v>
      </c>
      <c r="W88" s="792">
        <f t="shared" si="373"/>
        <v>5.6000000000000001E-2</v>
      </c>
      <c r="X88" s="792">
        <f t="shared" si="373"/>
        <v>3.3000000000000002E-2</v>
      </c>
      <c r="Y88" s="792">
        <f t="shared" si="373"/>
        <v>-2.3E-2</v>
      </c>
      <c r="Z88" s="792">
        <f t="shared" si="373"/>
        <v>-2.8000000000000001E-2</v>
      </c>
    </row>
    <row r="89" spans="2:38" ht="13.5" customHeight="1">
      <c r="B89" s="55" t="s">
        <v>257</v>
      </c>
      <c r="C89" s="771" t="s">
        <v>258</v>
      </c>
      <c r="D89" s="8" t="s">
        <v>260</v>
      </c>
      <c r="E89" s="8" t="s">
        <v>261</v>
      </c>
      <c r="F89" s="8" t="s">
        <v>262</v>
      </c>
      <c r="G89" s="8"/>
      <c r="H89" s="8"/>
      <c r="N89" s="14" t="s">
        <v>196</v>
      </c>
      <c r="O89" s="792">
        <f>O75</f>
        <v>4.7E-2</v>
      </c>
      <c r="P89" s="792">
        <f t="shared" ref="P89:Z89" si="374">P75</f>
        <v>-1.7000000000000001E-2</v>
      </c>
      <c r="Q89" s="792">
        <f t="shared" si="374"/>
        <v>1.7000000000000001E-2</v>
      </c>
      <c r="R89" s="792">
        <f t="shared" si="374"/>
        <v>1.7000000000000001E-2</v>
      </c>
      <c r="S89" s="792">
        <f t="shared" si="374"/>
        <v>1.2999999999999999E-2</v>
      </c>
      <c r="T89" s="792">
        <f t="shared" si="374"/>
        <v>3.7999999999999999E-2</v>
      </c>
      <c r="U89" s="792">
        <f t="shared" si="374"/>
        <v>4.7E-2</v>
      </c>
      <c r="V89" s="792">
        <f t="shared" si="374"/>
        <v>0.03</v>
      </c>
      <c r="W89" s="792">
        <f t="shared" si="374"/>
        <v>8.9999999999999993E-3</v>
      </c>
      <c r="X89" s="792">
        <f t="shared" si="374"/>
        <v>-1.6E-2</v>
      </c>
      <c r="Y89" s="792">
        <f t="shared" si="374"/>
        <v>-5.5E-2</v>
      </c>
      <c r="Z89" s="792">
        <f t="shared" si="374"/>
        <v>-2.7E-2</v>
      </c>
    </row>
    <row r="90" spans="2:38" ht="13.5" customHeight="1">
      <c r="B90" s="771" t="s">
        <v>267</v>
      </c>
      <c r="C90" s="774">
        <v>0.4</v>
      </c>
      <c r="D90" s="774">
        <v>0.15</v>
      </c>
      <c r="E90" s="774">
        <v>0.15</v>
      </c>
      <c r="F90" s="774">
        <v>0.15</v>
      </c>
      <c r="G90" s="8"/>
      <c r="H90" s="8"/>
      <c r="I90" s="111"/>
      <c r="N90" s="14"/>
      <c r="Z90" s="111"/>
    </row>
    <row r="91" spans="2:38" ht="13.5" customHeight="1">
      <c r="B91" s="771"/>
      <c r="C91" s="771"/>
      <c r="D91" s="8"/>
      <c r="E91" s="8"/>
      <c r="F91" s="8"/>
      <c r="G91" s="8"/>
      <c r="H91" s="8"/>
      <c r="I91" s="266"/>
      <c r="M91" s="111" t="s">
        <v>293</v>
      </c>
      <c r="N91" s="14"/>
      <c r="O91" s="111" t="s">
        <v>294</v>
      </c>
      <c r="P91" s="111" t="s">
        <v>295</v>
      </c>
      <c r="Q91" s="237" t="s">
        <v>296</v>
      </c>
      <c r="R91" s="237" t="s">
        <v>297</v>
      </c>
      <c r="S91" s="111" t="s">
        <v>294</v>
      </c>
      <c r="T91" s="111" t="s">
        <v>295</v>
      </c>
      <c r="U91" s="237" t="s">
        <v>296</v>
      </c>
      <c r="V91" s="237" t="s">
        <v>297</v>
      </c>
      <c r="W91" s="111" t="s">
        <v>294</v>
      </c>
      <c r="X91" s="111" t="s">
        <v>295</v>
      </c>
      <c r="Y91" s="237" t="s">
        <v>296</v>
      </c>
      <c r="Z91" s="237" t="s">
        <v>297</v>
      </c>
      <c r="AA91" s="111"/>
      <c r="AB91" s="111"/>
      <c r="AC91" s="237"/>
      <c r="AD91" s="237"/>
      <c r="AE91" s="111"/>
      <c r="AF91" s="111"/>
      <c r="AG91" s="237"/>
      <c r="AH91" s="237"/>
      <c r="AI91" s="111"/>
      <c r="AJ91" s="111"/>
      <c r="AK91" s="237"/>
      <c r="AL91" s="237"/>
    </row>
    <row r="92" spans="2:38" ht="13.5" customHeight="1">
      <c r="B92" s="55" t="s">
        <v>263</v>
      </c>
      <c r="C92" s="771" t="s">
        <v>264</v>
      </c>
      <c r="D92" s="8" t="s">
        <v>265</v>
      </c>
      <c r="E92" s="8" t="s">
        <v>266</v>
      </c>
      <c r="F92" s="8"/>
      <c r="G92" s="8"/>
      <c r="H92" s="8"/>
      <c r="N92" s="14" t="s">
        <v>291</v>
      </c>
      <c r="O92" s="792">
        <f>O17</f>
        <v>2.2000000000000006E-2</v>
      </c>
      <c r="P92" s="792">
        <f t="shared" ref="P92:Z92" si="375">P17</f>
        <v>0.03</v>
      </c>
      <c r="Q92" s="792">
        <f t="shared" si="375"/>
        <v>2.3E-2</v>
      </c>
      <c r="R92" s="792">
        <f t="shared" si="375"/>
        <v>2.1999999999999999E-2</v>
      </c>
      <c r="S92" s="792">
        <f t="shared" si="375"/>
        <v>2.4E-2</v>
      </c>
      <c r="T92" s="792">
        <f t="shared" si="375"/>
        <v>2.3E-2</v>
      </c>
      <c r="U92" s="792">
        <f t="shared" si="375"/>
        <v>2.4E-2</v>
      </c>
      <c r="V92" s="792">
        <f t="shared" si="375"/>
        <v>3.1E-2</v>
      </c>
      <c r="W92" s="792">
        <f t="shared" si="375"/>
        <v>2.5000000000000001E-2</v>
      </c>
      <c r="X92" s="792">
        <f t="shared" si="375"/>
        <v>2.7E-2</v>
      </c>
      <c r="Y92" s="792">
        <f t="shared" si="375"/>
        <v>-2E-3</v>
      </c>
      <c r="Z92" s="792">
        <f t="shared" si="375"/>
        <v>-1.4999999999999999E-2</v>
      </c>
      <c r="AA92" s="792"/>
      <c r="AB92" s="792"/>
      <c r="AC92" s="792"/>
      <c r="AD92" s="792"/>
      <c r="AE92" s="792"/>
      <c r="AF92" s="792"/>
      <c r="AG92" s="792"/>
      <c r="AH92" s="792"/>
      <c r="AI92" s="792"/>
      <c r="AJ92" s="792"/>
      <c r="AK92" s="792"/>
      <c r="AL92" s="792"/>
    </row>
    <row r="93" spans="2:38" ht="13.5" customHeight="1">
      <c r="B93" s="771" t="s">
        <v>267</v>
      </c>
      <c r="C93" s="769">
        <v>0.3</v>
      </c>
      <c r="D93" s="769">
        <v>0.2</v>
      </c>
      <c r="E93" s="769">
        <v>0.1</v>
      </c>
      <c r="F93" s="8"/>
      <c r="G93" s="8"/>
      <c r="H93" s="8"/>
      <c r="N93" s="14" t="s">
        <v>257</v>
      </c>
      <c r="O93" s="792">
        <f>O32</f>
        <v>0.14300000000000002</v>
      </c>
      <c r="P93" s="792">
        <f t="shared" ref="P93:Z93" si="376">P32</f>
        <v>8.4000000000000005E-2</v>
      </c>
      <c r="Q93" s="792">
        <f t="shared" si="376"/>
        <v>3.6000000000000004E-2</v>
      </c>
      <c r="R93" s="792">
        <f t="shared" si="376"/>
        <v>0.10300000000000001</v>
      </c>
      <c r="S93" s="792">
        <f t="shared" si="376"/>
        <v>0.126</v>
      </c>
      <c r="T93" s="792">
        <f t="shared" si="376"/>
        <v>9.6000000000000002E-2</v>
      </c>
      <c r="U93" s="792">
        <f t="shared" si="376"/>
        <v>0.16900000000000001</v>
      </c>
      <c r="V93" s="792">
        <f t="shared" si="376"/>
        <v>0.10400000000000001</v>
      </c>
      <c r="W93" s="792">
        <f t="shared" si="376"/>
        <v>0.14699999999999999</v>
      </c>
      <c r="X93" s="792">
        <f t="shared" si="376"/>
        <v>0.11799999999999999</v>
      </c>
      <c r="Y93" s="792">
        <f t="shared" si="376"/>
        <v>0.185</v>
      </c>
      <c r="Z93" s="792">
        <f t="shared" si="376"/>
        <v>0.153</v>
      </c>
      <c r="AA93" s="792"/>
      <c r="AB93" s="792"/>
      <c r="AC93" s="792"/>
      <c r="AD93" s="792"/>
      <c r="AE93" s="792"/>
      <c r="AF93" s="792"/>
      <c r="AG93" s="792"/>
      <c r="AH93" s="792"/>
      <c r="AI93" s="792"/>
      <c r="AJ93" s="792"/>
      <c r="AK93" s="792"/>
      <c r="AL93" s="792"/>
    </row>
    <row r="94" spans="2:38" ht="13.5" customHeight="1">
      <c r="B94" s="771"/>
      <c r="C94" s="769"/>
      <c r="D94" s="769"/>
      <c r="E94" s="769"/>
      <c r="F94" s="8"/>
      <c r="G94" s="8"/>
      <c r="H94" s="8"/>
      <c r="N94" s="14" t="s">
        <v>292</v>
      </c>
      <c r="O94" s="792">
        <f>O47</f>
        <v>9.7000000000000003E-2</v>
      </c>
      <c r="P94" s="792">
        <f t="shared" ref="P94:Z94" si="377">P47</f>
        <v>0.09</v>
      </c>
      <c r="Q94" s="792">
        <f t="shared" si="377"/>
        <v>1.9E-2</v>
      </c>
      <c r="R94" s="792">
        <f t="shared" si="377"/>
        <v>0.10900000000000001</v>
      </c>
      <c r="S94" s="792">
        <f t="shared" si="377"/>
        <v>5.8000000000000003E-2</v>
      </c>
      <c r="T94" s="792">
        <f t="shared" si="377"/>
        <v>3.3000000000000002E-2</v>
      </c>
      <c r="U94" s="792">
        <f t="shared" si="377"/>
        <v>1.0000000000000009E-3</v>
      </c>
      <c r="V94" s="792">
        <f t="shared" si="377"/>
        <v>-6.0999999999999999E-2</v>
      </c>
      <c r="W94" s="792">
        <f t="shared" si="377"/>
        <v>-2.7E-2</v>
      </c>
      <c r="X94" s="792">
        <f t="shared" si="377"/>
        <v>-8.3000000000000004E-2</v>
      </c>
      <c r="Y94" s="792">
        <f t="shared" si="377"/>
        <v>1.2999999999999998E-2</v>
      </c>
      <c r="Z94" s="792">
        <f t="shared" si="377"/>
        <v>-1.1000000000000003E-2</v>
      </c>
      <c r="AA94" s="792"/>
      <c r="AB94" s="792"/>
      <c r="AC94" s="792"/>
      <c r="AD94" s="792"/>
      <c r="AE94" s="792"/>
      <c r="AF94" s="792"/>
      <c r="AG94" s="792"/>
      <c r="AH94" s="792"/>
      <c r="AI94" s="792"/>
      <c r="AJ94" s="792"/>
      <c r="AK94" s="792"/>
      <c r="AL94" s="792"/>
    </row>
    <row r="95" spans="2:38" ht="13.5" customHeight="1">
      <c r="B95" s="55" t="s">
        <v>194</v>
      </c>
      <c r="C95" s="2" t="s">
        <v>268</v>
      </c>
      <c r="D95" s="2" t="s">
        <v>269</v>
      </c>
      <c r="E95" s="2" t="s">
        <v>270</v>
      </c>
      <c r="F95" s="2" t="s">
        <v>271</v>
      </c>
      <c r="G95" s="2" t="s">
        <v>272</v>
      </c>
      <c r="H95" s="2"/>
      <c r="N95" s="14" t="s">
        <v>194</v>
      </c>
      <c r="O95" s="792">
        <f>O62</f>
        <v>0.107</v>
      </c>
      <c r="P95" s="792">
        <f t="shared" ref="P95:Z95" si="378">P62</f>
        <v>7.5999999999999998E-2</v>
      </c>
      <c r="Q95" s="792">
        <f t="shared" si="378"/>
        <v>-1.3000000000000001E-2</v>
      </c>
      <c r="R95" s="792">
        <f t="shared" si="378"/>
        <v>2.5000000000000001E-2</v>
      </c>
      <c r="S95" s="792">
        <f t="shared" si="378"/>
        <v>3.9999999999999994E-2</v>
      </c>
      <c r="T95" s="792">
        <f t="shared" si="378"/>
        <v>0.113</v>
      </c>
      <c r="U95" s="792">
        <f t="shared" si="378"/>
        <v>0.13</v>
      </c>
      <c r="V95" s="792">
        <f t="shared" si="378"/>
        <v>8.2000000000000003E-2</v>
      </c>
      <c r="W95" s="792">
        <f t="shared" si="378"/>
        <v>7.9000000000000001E-2</v>
      </c>
      <c r="X95" s="792">
        <f t="shared" si="378"/>
        <v>6.3E-2</v>
      </c>
      <c r="Y95" s="792">
        <f t="shared" si="378"/>
        <v>5.6000000000000001E-2</v>
      </c>
      <c r="Z95" s="792">
        <f t="shared" si="378"/>
        <v>6.3E-2</v>
      </c>
      <c r="AA95" s="792"/>
      <c r="AB95" s="792"/>
      <c r="AC95" s="792"/>
      <c r="AD95" s="792"/>
      <c r="AE95" s="792"/>
      <c r="AF95" s="792"/>
      <c r="AG95" s="792"/>
      <c r="AH95" s="792"/>
      <c r="AI95" s="792"/>
      <c r="AJ95" s="792"/>
      <c r="AK95" s="792"/>
      <c r="AL95" s="792"/>
    </row>
    <row r="96" spans="2:38" ht="13.5" customHeight="1">
      <c r="B96" s="3"/>
      <c r="C96" s="769">
        <v>0.15</v>
      </c>
      <c r="D96" s="769">
        <v>0.1</v>
      </c>
      <c r="E96" s="769">
        <v>0.1</v>
      </c>
      <c r="F96" s="769">
        <v>0.05</v>
      </c>
      <c r="G96" s="2">
        <v>5</v>
      </c>
      <c r="H96" s="2"/>
      <c r="N96" s="14" t="s">
        <v>196</v>
      </c>
      <c r="O96" s="792">
        <f>O77</f>
        <v>7.5999999999999998E-2</v>
      </c>
      <c r="P96" s="792">
        <f t="shared" ref="P96:Z96" si="379">P77</f>
        <v>1.0999999999999999E-2</v>
      </c>
      <c r="Q96" s="792">
        <f t="shared" si="379"/>
        <v>9.0000000000000011E-3</v>
      </c>
      <c r="R96" s="792">
        <f t="shared" si="379"/>
        <v>2.0000000000000018E-3</v>
      </c>
      <c r="S96" s="792">
        <f t="shared" si="379"/>
        <v>9.9999999999999915E-4</v>
      </c>
      <c r="T96" s="792">
        <f t="shared" si="379"/>
        <v>2.0000000000000018E-3</v>
      </c>
      <c r="U96" s="792">
        <f t="shared" si="379"/>
        <v>1.9E-2</v>
      </c>
      <c r="V96" s="792">
        <f t="shared" si="379"/>
        <v>9.9999999999999985E-3</v>
      </c>
      <c r="W96" s="792">
        <f t="shared" si="379"/>
        <v>-0.01</v>
      </c>
      <c r="X96" s="792">
        <f t="shared" si="379"/>
        <v>-1.9E-2</v>
      </c>
      <c r="Y96" s="792">
        <f t="shared" si="379"/>
        <v>-2.4E-2</v>
      </c>
      <c r="Z96" s="792">
        <f t="shared" si="379"/>
        <v>1.0999999999999999E-2</v>
      </c>
      <c r="AA96" s="792"/>
      <c r="AB96" s="792"/>
      <c r="AC96" s="792"/>
      <c r="AD96" s="792"/>
      <c r="AE96" s="792"/>
      <c r="AF96" s="792"/>
      <c r="AG96" s="792"/>
      <c r="AH96" s="792"/>
      <c r="AI96" s="792"/>
      <c r="AJ96" s="792"/>
      <c r="AK96" s="792"/>
      <c r="AL96" s="792"/>
    </row>
    <row r="97" spans="2:26" ht="13.5" customHeight="1">
      <c r="B97" s="3"/>
      <c r="C97" s="2"/>
      <c r="D97" s="2"/>
      <c r="E97" s="2"/>
      <c r="F97" s="2"/>
      <c r="G97" s="2"/>
      <c r="H97" s="2"/>
      <c r="Z97" s="111"/>
    </row>
    <row r="98" spans="2:26" ht="13.5" customHeight="1">
      <c r="B98" s="3"/>
      <c r="C98" s="2"/>
      <c r="D98" s="2"/>
      <c r="E98" s="2"/>
      <c r="F98" s="2"/>
      <c r="G98" s="2"/>
      <c r="H98" s="2"/>
      <c r="Z98" s="111"/>
    </row>
    <row r="99" spans="2:26" ht="13.5" customHeight="1">
      <c r="B99" s="3"/>
      <c r="C99" s="2"/>
      <c r="D99" s="2"/>
      <c r="E99" s="2"/>
      <c r="F99" s="2"/>
      <c r="G99" s="2"/>
      <c r="H99" s="2"/>
      <c r="Z99" s="111"/>
    </row>
    <row r="100" spans="2:26" ht="13.5" customHeight="1">
      <c r="B100" s="3"/>
      <c r="C100" s="2"/>
      <c r="D100" s="2"/>
      <c r="E100" s="2"/>
      <c r="F100" s="2"/>
      <c r="G100" s="2"/>
      <c r="H100" s="2"/>
      <c r="Z100" s="111"/>
    </row>
    <row r="101" spans="2:26" ht="13.5" customHeight="1">
      <c r="B101" s="3"/>
      <c r="C101" s="2"/>
      <c r="D101" s="2"/>
      <c r="E101" s="2"/>
      <c r="F101" s="2"/>
      <c r="G101" s="2"/>
      <c r="H101" s="2"/>
      <c r="Z101" s="111"/>
    </row>
    <row r="102" spans="2:26" ht="13.5" customHeight="1">
      <c r="B102" s="3"/>
      <c r="C102" s="2"/>
      <c r="D102" s="2"/>
      <c r="E102" s="2"/>
      <c r="F102" s="2"/>
      <c r="G102" s="2"/>
      <c r="H102" s="2"/>
      <c r="Z102" s="111"/>
    </row>
    <row r="103" spans="2:26" ht="13.5" customHeight="1">
      <c r="B103" s="3"/>
      <c r="C103" s="2"/>
      <c r="D103" s="2"/>
      <c r="E103" s="2"/>
      <c r="F103" s="2"/>
      <c r="G103" s="2"/>
      <c r="H103" s="2"/>
      <c r="Z103" s="111"/>
    </row>
    <row r="104" spans="2:26" ht="13.5" customHeight="1">
      <c r="B104" s="3"/>
      <c r="C104" s="2"/>
      <c r="D104" s="2"/>
      <c r="E104" s="2"/>
      <c r="F104" s="2"/>
      <c r="G104" s="2"/>
      <c r="H104" s="2"/>
      <c r="Z104" s="111"/>
    </row>
    <row r="105" spans="2:26" ht="13.5" customHeight="1">
      <c r="B105" s="3"/>
      <c r="C105" s="2"/>
      <c r="D105" s="2"/>
      <c r="E105" s="2"/>
      <c r="F105" s="2"/>
      <c r="G105" s="2"/>
      <c r="H105" s="2"/>
      <c r="Z105" s="111"/>
    </row>
    <row r="106" spans="2:26" ht="13.5" customHeight="1">
      <c r="C106" s="14"/>
      <c r="D106" s="14"/>
      <c r="E106" s="14"/>
      <c r="F106" s="266"/>
      <c r="G106" s="268"/>
      <c r="Z106" s="111"/>
    </row>
    <row r="107" spans="2:26" ht="13.5" customHeight="1">
      <c r="C107" s="14"/>
      <c r="D107" s="14"/>
      <c r="E107" s="14"/>
      <c r="F107" s="266"/>
      <c r="G107" s="268"/>
      <c r="Z107" s="111"/>
    </row>
    <row r="108" spans="2:26" ht="13.5" customHeight="1">
      <c r="C108" s="14"/>
      <c r="D108" s="14"/>
      <c r="E108" s="14"/>
      <c r="F108" s="266"/>
      <c r="G108" s="268"/>
      <c r="Z108" s="111"/>
    </row>
    <row r="109" spans="2:26" ht="13.5" customHeight="1">
      <c r="C109" s="14"/>
      <c r="D109" s="14"/>
      <c r="E109" s="14"/>
      <c r="F109" s="266"/>
      <c r="G109" s="268"/>
      <c r="Z109" s="111"/>
    </row>
    <row r="110" spans="2:26" ht="13.5" customHeight="1">
      <c r="C110" s="14"/>
      <c r="D110" s="14"/>
      <c r="E110" s="14"/>
      <c r="F110" s="266"/>
      <c r="G110" s="268"/>
      <c r="Z110" s="111"/>
    </row>
    <row r="111" spans="2:26" ht="13.5" customHeight="1">
      <c r="C111" s="14"/>
      <c r="D111" s="14"/>
      <c r="E111" s="14"/>
      <c r="F111" s="266"/>
      <c r="G111" s="268"/>
      <c r="Z111" s="111"/>
    </row>
    <row r="112" spans="2:26" ht="13.5" customHeight="1">
      <c r="C112" s="14"/>
      <c r="D112" s="14"/>
      <c r="E112" s="14"/>
      <c r="F112" s="266"/>
      <c r="G112" s="268"/>
      <c r="Z112" s="111"/>
    </row>
    <row r="113" spans="3:26" ht="13.5" customHeight="1">
      <c r="C113" s="14"/>
      <c r="D113" s="14"/>
      <c r="E113" s="14"/>
      <c r="F113" s="266"/>
      <c r="G113" s="268"/>
      <c r="Z113" s="111"/>
    </row>
    <row r="114" spans="3:26" ht="13.5" customHeight="1">
      <c r="C114" s="14"/>
      <c r="D114" s="14"/>
      <c r="E114" s="14"/>
      <c r="F114" s="266"/>
      <c r="G114" s="268"/>
      <c r="Z114" s="111"/>
    </row>
    <row r="115" spans="3:26" ht="13.5" customHeight="1">
      <c r="C115" s="14"/>
      <c r="D115" s="14"/>
      <c r="E115" s="14"/>
      <c r="F115" s="266"/>
      <c r="G115" s="268"/>
      <c r="Z115" s="111"/>
    </row>
    <row r="116" spans="3:26" ht="13.5" customHeight="1">
      <c r="C116" s="14"/>
      <c r="D116" s="14"/>
      <c r="E116" s="14"/>
      <c r="F116" s="266"/>
      <c r="G116" s="268"/>
      <c r="Z116" s="111"/>
    </row>
    <row r="117" spans="3:26" ht="13.5" customHeight="1">
      <c r="C117" s="14"/>
      <c r="D117" s="14"/>
      <c r="E117" s="14"/>
      <c r="F117" s="266"/>
      <c r="G117" s="268"/>
      <c r="Z117" s="111"/>
    </row>
    <row r="118" spans="3:26" ht="13.5" customHeight="1">
      <c r="C118" s="14"/>
      <c r="D118" s="14"/>
      <c r="E118" s="14"/>
      <c r="F118" s="266"/>
      <c r="G118" s="268"/>
      <c r="Z118" s="111"/>
    </row>
    <row r="119" spans="3:26" ht="13.5" customHeight="1">
      <c r="C119" s="14"/>
      <c r="D119" s="14"/>
      <c r="E119" s="14"/>
      <c r="F119" s="266"/>
      <c r="G119" s="268"/>
      <c r="Z119" s="111"/>
    </row>
    <row r="120" spans="3:26" ht="13.5" customHeight="1">
      <c r="C120" s="14"/>
      <c r="D120" s="14"/>
      <c r="E120" s="14"/>
      <c r="F120" s="266"/>
      <c r="G120" s="268"/>
      <c r="Z120" s="111"/>
    </row>
    <row r="121" spans="3:26" ht="13.5" customHeight="1">
      <c r="C121" s="14"/>
      <c r="D121" s="14"/>
      <c r="E121" s="14"/>
      <c r="F121" s="266"/>
      <c r="G121" s="268"/>
      <c r="Z121" s="111"/>
    </row>
    <row r="122" spans="3:26" ht="13.5" customHeight="1">
      <c r="C122" s="14"/>
      <c r="D122" s="14"/>
      <c r="E122" s="14"/>
      <c r="F122" s="266"/>
      <c r="G122" s="268"/>
      <c r="Z122" s="111"/>
    </row>
    <row r="123" spans="3:26" ht="13.5" customHeight="1">
      <c r="C123" s="14"/>
      <c r="D123" s="14"/>
      <c r="E123" s="14"/>
      <c r="F123" s="266"/>
      <c r="G123" s="268"/>
      <c r="Z123" s="111"/>
    </row>
    <row r="124" spans="3:26" ht="13.5" customHeight="1">
      <c r="C124" s="14"/>
      <c r="D124" s="14"/>
      <c r="E124" s="14"/>
      <c r="F124" s="266"/>
      <c r="G124" s="268"/>
      <c r="Z124" s="111"/>
    </row>
    <row r="125" spans="3:26" ht="13.5" customHeight="1">
      <c r="C125" s="14"/>
      <c r="D125" s="14"/>
      <c r="E125" s="14"/>
      <c r="F125" s="266"/>
      <c r="G125" s="268"/>
      <c r="Z125" s="111"/>
    </row>
    <row r="126" spans="3:26" ht="13.5" customHeight="1">
      <c r="C126" s="14"/>
      <c r="D126" s="14"/>
      <c r="E126" s="14"/>
      <c r="F126" s="266"/>
      <c r="G126" s="268"/>
      <c r="Z126" s="111"/>
    </row>
    <row r="127" spans="3:26" ht="13.5" customHeight="1">
      <c r="C127" s="14"/>
      <c r="D127" s="14"/>
      <c r="E127" s="14"/>
      <c r="F127" s="266"/>
      <c r="G127" s="268"/>
      <c r="Z127" s="111"/>
    </row>
    <row r="128" spans="3:26" ht="13.5" customHeight="1">
      <c r="C128" s="14"/>
      <c r="D128" s="14"/>
      <c r="E128" s="14"/>
      <c r="F128" s="266"/>
      <c r="G128" s="268"/>
      <c r="Z128" s="111"/>
    </row>
    <row r="129" spans="2:26" ht="13.5" customHeight="1">
      <c r="C129" s="14"/>
      <c r="D129" s="14"/>
      <c r="E129" s="14"/>
      <c r="F129" s="266"/>
      <c r="G129" s="268"/>
      <c r="Z129" s="111"/>
    </row>
    <row r="130" spans="2:26" ht="13.5" customHeight="1">
      <c r="C130" s="14"/>
      <c r="D130" s="14"/>
      <c r="E130" s="14"/>
      <c r="F130" s="266"/>
      <c r="G130" s="268"/>
      <c r="Z130" s="111"/>
    </row>
    <row r="131" spans="2:26" ht="13.5" customHeight="1">
      <c r="C131" s="14"/>
      <c r="D131" s="14"/>
      <c r="E131" s="14"/>
      <c r="F131" s="266"/>
      <c r="G131" s="268"/>
      <c r="Z131" s="111"/>
    </row>
    <row r="132" spans="2:26" ht="13.5" customHeight="1">
      <c r="C132" s="14"/>
      <c r="D132" s="14"/>
      <c r="E132" s="14"/>
      <c r="F132" s="266"/>
      <c r="G132" s="268"/>
      <c r="Z132" s="111"/>
    </row>
    <row r="133" spans="2:26" ht="13.5" customHeight="1">
      <c r="C133" s="14"/>
      <c r="D133" s="14"/>
      <c r="E133" s="14"/>
      <c r="F133" s="266"/>
      <c r="G133" s="268"/>
      <c r="Z133" s="111"/>
    </row>
    <row r="134" spans="2:26" ht="13.5" customHeight="1">
      <c r="C134" s="14"/>
      <c r="D134" s="14"/>
      <c r="E134" s="14"/>
      <c r="F134" s="266"/>
      <c r="G134" s="266"/>
      <c r="Z134" s="111"/>
    </row>
    <row r="135" spans="2:26" ht="13.5" customHeight="1">
      <c r="B135" s="237"/>
      <c r="C135" s="267"/>
      <c r="D135" s="267"/>
      <c r="E135" s="267"/>
      <c r="F135" s="266"/>
      <c r="G135" s="266"/>
      <c r="Z135" s="111"/>
    </row>
    <row r="136" spans="2:26" ht="13.5" customHeight="1">
      <c r="C136" s="268"/>
      <c r="D136" s="268"/>
      <c r="E136" s="268"/>
      <c r="F136" s="268"/>
      <c r="G136" s="268"/>
      <c r="Z136" s="111"/>
    </row>
    <row r="137" spans="2:26" ht="13.5" customHeight="1">
      <c r="C137" s="14"/>
      <c r="D137" s="14"/>
      <c r="E137" s="14"/>
      <c r="Z137" s="111"/>
    </row>
    <row r="138" spans="2:26" ht="13.5" customHeight="1">
      <c r="C138" s="14"/>
      <c r="D138" s="14"/>
      <c r="E138" s="14"/>
      <c r="Z138" s="111"/>
    </row>
    <row r="139" spans="2:26" ht="13.5" customHeight="1">
      <c r="C139" s="14"/>
      <c r="D139" s="14"/>
      <c r="E139" s="14"/>
      <c r="Z139" s="111"/>
    </row>
    <row r="140" spans="2:26" ht="13.5" customHeight="1">
      <c r="C140" s="14"/>
      <c r="D140" s="14"/>
      <c r="E140" s="14"/>
      <c r="Z140" s="111"/>
    </row>
    <row r="141" spans="2:26" ht="13.5" customHeight="1">
      <c r="C141" s="14"/>
      <c r="D141" s="14"/>
      <c r="E141" s="14"/>
      <c r="Z141" s="111"/>
    </row>
    <row r="142" spans="2:26" ht="13.5" customHeight="1">
      <c r="B142" s="144"/>
      <c r="C142" s="111"/>
      <c r="D142" s="111"/>
      <c r="E142" s="111"/>
      <c r="F142" s="247"/>
      <c r="G142" s="111"/>
      <c r="Z142" s="111"/>
    </row>
    <row r="143" spans="2:26" ht="13.5" customHeight="1">
      <c r="B143" s="144"/>
      <c r="C143" s="111"/>
      <c r="D143" s="111"/>
      <c r="E143" s="111"/>
      <c r="F143" s="247"/>
      <c r="G143" s="111"/>
      <c r="Z143" s="111"/>
    </row>
    <row r="144" spans="2:26" ht="13.5" customHeight="1">
      <c r="B144" s="144"/>
      <c r="C144" s="111"/>
      <c r="D144" s="111"/>
      <c r="E144" s="111"/>
      <c r="F144" s="247"/>
      <c r="G144" s="111"/>
      <c r="Z144" s="111"/>
    </row>
    <row r="145" spans="2:26" ht="13.5" customHeight="1">
      <c r="B145" s="111"/>
      <c r="C145" s="111"/>
      <c r="D145" s="111"/>
      <c r="E145" s="111"/>
      <c r="F145" s="236"/>
      <c r="G145" s="111"/>
      <c r="Z145" s="111"/>
    </row>
    <row r="146" spans="2:26" ht="13.5" customHeight="1">
      <c r="B146" s="111"/>
      <c r="C146" s="111"/>
      <c r="D146" s="257"/>
      <c r="E146" s="257"/>
      <c r="F146" s="257"/>
      <c r="G146" s="111"/>
      <c r="H146" s="111"/>
      <c r="I146" s="111"/>
      <c r="Z146" s="111"/>
    </row>
    <row r="147" spans="2:26" ht="13.5" customHeight="1">
      <c r="B147" s="111"/>
      <c r="C147" s="111"/>
      <c r="D147" s="249"/>
      <c r="E147" s="249"/>
      <c r="F147" s="249"/>
      <c r="G147" s="258"/>
      <c r="H147" s="111"/>
      <c r="I147" s="111"/>
      <c r="Z147" s="111"/>
    </row>
    <row r="148" spans="2:26" ht="13.5" customHeight="1">
      <c r="B148" s="244"/>
      <c r="C148" s="111"/>
      <c r="D148" s="236"/>
      <c r="E148" s="236"/>
      <c r="F148" s="236"/>
      <c r="G148" s="258"/>
      <c r="H148" s="111"/>
      <c r="I148" s="111"/>
      <c r="Z148" s="111"/>
    </row>
    <row r="149" spans="2:26" ht="13.5" customHeight="1">
      <c r="B149" s="237"/>
      <c r="C149" s="111"/>
      <c r="D149" s="246"/>
      <c r="E149" s="246"/>
      <c r="F149" s="246"/>
      <c r="G149" s="111"/>
      <c r="H149" s="111"/>
      <c r="I149" s="111"/>
      <c r="Z149" s="111"/>
    </row>
    <row r="150" spans="2:26" ht="13.5" customHeight="1">
      <c r="B150" s="237"/>
      <c r="C150" s="111"/>
      <c r="D150" s="259"/>
      <c r="E150" s="259"/>
      <c r="F150" s="259"/>
      <c r="G150" s="111"/>
      <c r="H150" s="111"/>
      <c r="I150" s="111"/>
      <c r="Z150" s="111"/>
    </row>
    <row r="151" spans="2:26" ht="13.5" customHeight="1">
      <c r="B151" s="237"/>
      <c r="C151" s="111"/>
      <c r="D151" s="260"/>
      <c r="E151" s="260"/>
      <c r="F151" s="260"/>
      <c r="G151" s="111"/>
      <c r="H151" s="111"/>
      <c r="I151" s="111"/>
      <c r="Z151" s="111"/>
    </row>
    <row r="152" spans="2:26" ht="13.5" customHeight="1">
      <c r="B152" s="111"/>
      <c r="C152" s="111"/>
      <c r="D152" s="249"/>
      <c r="E152" s="249"/>
      <c r="F152" s="249"/>
      <c r="G152" s="111"/>
      <c r="H152" s="111"/>
      <c r="I152" s="111"/>
      <c r="Z152" s="111"/>
    </row>
    <row r="153" spans="2:26" ht="13.5" customHeight="1">
      <c r="B153" s="111"/>
      <c r="C153" s="111"/>
      <c r="D153" s="111"/>
      <c r="E153" s="111"/>
      <c r="F153" s="111"/>
      <c r="G153" s="111"/>
      <c r="H153" s="111"/>
      <c r="I153" s="111"/>
      <c r="Z153" s="111"/>
    </row>
    <row r="154" spans="2:26" ht="13.5" customHeight="1">
      <c r="B154" s="255"/>
      <c r="C154" s="255"/>
      <c r="D154" s="255"/>
      <c r="E154" s="255"/>
      <c r="F154" s="255"/>
      <c r="G154" s="111"/>
      <c r="H154" s="111"/>
      <c r="I154" s="111"/>
      <c r="Z154" s="111"/>
    </row>
    <row r="155" spans="2:26" ht="13.5" customHeight="1">
      <c r="B155" s="111"/>
      <c r="C155" s="111"/>
      <c r="D155" s="111"/>
      <c r="E155" s="111"/>
      <c r="F155" s="111"/>
      <c r="G155" s="111"/>
      <c r="H155" s="111"/>
      <c r="I155" s="111"/>
      <c r="Z155" s="111"/>
    </row>
    <row r="156" spans="2:26" ht="13.5" customHeight="1">
      <c r="B156" s="111"/>
      <c r="C156" s="111"/>
      <c r="D156" s="111"/>
      <c r="E156" s="111"/>
      <c r="F156" s="111"/>
      <c r="G156" s="111"/>
      <c r="H156" s="111"/>
      <c r="I156" s="111"/>
      <c r="Z156" s="111"/>
    </row>
    <row r="157" spans="2:26" ht="13.5" customHeight="1">
      <c r="B157" s="245"/>
      <c r="C157" s="249"/>
      <c r="D157" s="249"/>
      <c r="E157" s="249"/>
      <c r="F157" s="111"/>
      <c r="G157" s="111"/>
      <c r="H157" s="111"/>
      <c r="I157" s="111"/>
      <c r="Z157" s="111"/>
    </row>
    <row r="158" spans="2:26" ht="13.5" customHeight="1">
      <c r="B158" s="261"/>
      <c r="C158" s="262"/>
      <c r="D158" s="262"/>
      <c r="E158" s="262"/>
      <c r="F158" s="262"/>
      <c r="G158" s="262"/>
      <c r="H158" s="111"/>
      <c r="I158" s="111"/>
      <c r="Z158" s="111"/>
    </row>
    <row r="159" spans="2:26" ht="13.5" customHeight="1">
      <c r="B159" s="262"/>
      <c r="C159" s="247"/>
      <c r="D159" s="247"/>
      <c r="E159" s="247"/>
      <c r="F159" s="111"/>
      <c r="G159" s="111"/>
      <c r="H159" s="111"/>
      <c r="I159" s="111"/>
      <c r="Z159" s="111"/>
    </row>
    <row r="160" spans="2:26" ht="13.5" customHeight="1">
      <c r="B160" s="262"/>
      <c r="C160" s="247"/>
      <c r="D160" s="247"/>
      <c r="E160" s="247"/>
      <c r="F160" s="111"/>
      <c r="G160" s="111"/>
      <c r="H160" s="111"/>
      <c r="I160" s="111"/>
      <c r="Z160" s="111"/>
    </row>
    <row r="161" spans="2:26" ht="13.5" customHeight="1">
      <c r="B161" s="262"/>
      <c r="C161" s="256"/>
      <c r="D161" s="256"/>
      <c r="E161" s="256"/>
      <c r="F161" s="256"/>
      <c r="G161" s="256"/>
      <c r="H161" s="111"/>
      <c r="I161" s="111"/>
      <c r="Z161" s="111"/>
    </row>
    <row r="162" spans="2:26" ht="13.5" customHeight="1">
      <c r="B162" s="262"/>
      <c r="C162" s="256"/>
      <c r="D162" s="256"/>
      <c r="E162" s="256"/>
      <c r="F162" s="256"/>
      <c r="G162" s="256"/>
      <c r="H162" s="111"/>
      <c r="I162" s="111"/>
      <c r="Z162" s="111"/>
    </row>
    <row r="163" spans="2:26" ht="13.5" customHeight="1">
      <c r="B163" s="261"/>
      <c r="C163" s="263"/>
      <c r="D163" s="263"/>
      <c r="E163" s="263"/>
      <c r="F163" s="263"/>
      <c r="G163" s="263"/>
      <c r="H163" s="111"/>
      <c r="I163" s="111"/>
      <c r="Z163" s="111"/>
    </row>
    <row r="164" spans="2:26" ht="13.5" customHeight="1">
      <c r="B164" s="262"/>
      <c r="C164" s="262"/>
      <c r="D164" s="262"/>
      <c r="E164" s="262"/>
      <c r="F164" s="262"/>
      <c r="G164" s="262"/>
      <c r="H164" s="111"/>
      <c r="I164" s="111"/>
      <c r="Z164" s="111"/>
    </row>
    <row r="165" spans="2:26" ht="13.5" customHeight="1">
      <c r="B165" s="261"/>
      <c r="C165" s="262"/>
      <c r="D165" s="262"/>
      <c r="E165" s="262"/>
      <c r="F165" s="262"/>
      <c r="G165" s="262"/>
      <c r="H165" s="111"/>
      <c r="I165" s="111"/>
      <c r="Z165" s="111"/>
    </row>
    <row r="166" spans="2:26" ht="13.5" customHeight="1">
      <c r="B166" s="262"/>
      <c r="C166" s="247"/>
      <c r="D166" s="247"/>
      <c r="E166" s="247"/>
      <c r="F166" s="111"/>
      <c r="G166" s="111"/>
      <c r="H166" s="111"/>
      <c r="I166" s="111"/>
      <c r="Z166" s="111"/>
    </row>
    <row r="167" spans="2:26" ht="13.5" customHeight="1">
      <c r="B167" s="262"/>
      <c r="C167" s="247"/>
      <c r="D167" s="247"/>
      <c r="E167" s="247"/>
      <c r="F167" s="111"/>
      <c r="G167" s="111"/>
      <c r="H167" s="111"/>
      <c r="I167" s="111"/>
      <c r="Z167" s="111"/>
    </row>
    <row r="168" spans="2:26" ht="13.5" customHeight="1">
      <c r="B168" s="262"/>
      <c r="C168" s="256"/>
      <c r="D168" s="256"/>
      <c r="E168" s="256"/>
      <c r="F168" s="256"/>
      <c r="G168" s="256"/>
      <c r="H168" s="111"/>
      <c r="I168" s="111"/>
      <c r="Z168" s="111"/>
    </row>
    <row r="169" spans="2:26" ht="13.5" customHeight="1">
      <c r="B169" s="261"/>
      <c r="C169" s="247"/>
      <c r="D169" s="247"/>
      <c r="E169" s="247"/>
      <c r="F169" s="111"/>
      <c r="G169" s="111"/>
      <c r="H169" s="111"/>
      <c r="I169" s="111"/>
      <c r="Z169" s="111"/>
    </row>
    <row r="170" spans="2:26" ht="13.5" customHeight="1">
      <c r="B170" s="262"/>
      <c r="C170" s="262"/>
      <c r="D170" s="262"/>
      <c r="E170" s="262"/>
      <c r="F170" s="262"/>
      <c r="G170" s="262"/>
      <c r="H170" s="111"/>
      <c r="I170" s="111"/>
      <c r="Z170" s="111"/>
    </row>
    <row r="171" spans="2:26" ht="13.5" customHeight="1">
      <c r="B171" s="261"/>
      <c r="C171" s="262"/>
      <c r="D171" s="262"/>
      <c r="E171" s="262"/>
      <c r="F171" s="262"/>
      <c r="G171" s="262"/>
      <c r="H171" s="111"/>
      <c r="I171" s="111"/>
      <c r="Z171" s="111"/>
    </row>
    <row r="172" spans="2:26" ht="13.5" customHeight="1">
      <c r="B172" s="262"/>
      <c r="C172" s="247"/>
      <c r="D172" s="247"/>
      <c r="E172" s="247"/>
      <c r="F172" s="111"/>
      <c r="G172" s="111"/>
      <c r="H172" s="111"/>
      <c r="I172" s="111"/>
      <c r="Z172" s="111"/>
    </row>
    <row r="173" spans="2:26" ht="13.5" customHeight="1">
      <c r="B173" s="238"/>
      <c r="Z173" s="111"/>
    </row>
    <row r="174" spans="2:26" ht="13.5" customHeight="1">
      <c r="B174" s="238"/>
      <c r="C174" s="240"/>
      <c r="D174" s="240"/>
      <c r="E174" s="240"/>
      <c r="F174" s="240"/>
      <c r="G174" s="240"/>
      <c r="Z174" s="111"/>
    </row>
    <row r="175" spans="2:26" ht="13.5" customHeight="1">
      <c r="B175" s="239"/>
      <c r="Z175" s="111"/>
    </row>
    <row r="176" spans="2:26" ht="13.5" customHeight="1">
      <c r="B176" s="238"/>
      <c r="C176" s="238"/>
      <c r="D176" s="238"/>
      <c r="E176" s="238"/>
      <c r="F176" s="238"/>
      <c r="G176" s="238"/>
      <c r="Z176" s="111"/>
    </row>
    <row r="177" spans="26:26" ht="13.5" customHeight="1">
      <c r="Z177" s="111"/>
    </row>
    <row r="178" spans="26:26" ht="13.5" customHeight="1">
      <c r="Z178" s="111"/>
    </row>
    <row r="179" spans="26:26" ht="13.5" customHeight="1">
      <c r="Z179" s="111"/>
    </row>
    <row r="180" spans="26:26" ht="13.5" customHeight="1">
      <c r="Z180" s="111"/>
    </row>
    <row r="181" spans="26:26" ht="13.5" customHeight="1">
      <c r="Z181" s="111"/>
    </row>
    <row r="182" spans="26:26" ht="13.5" customHeight="1">
      <c r="Z182" s="111"/>
    </row>
    <row r="183" spans="26:26" ht="13.5" customHeight="1">
      <c r="Z183" s="111"/>
    </row>
    <row r="184" spans="26:26" ht="13.5" customHeight="1">
      <c r="Z184" s="111"/>
    </row>
    <row r="185" spans="26:26" ht="13.5" customHeight="1">
      <c r="Z185" s="111"/>
    </row>
    <row r="186" spans="26:26" ht="13.5" customHeight="1">
      <c r="Z186" s="111"/>
    </row>
    <row r="187" spans="26:26" ht="13.5" customHeight="1">
      <c r="Z187" s="111"/>
    </row>
    <row r="188" spans="26:26" ht="13.5" customHeight="1">
      <c r="Z188" s="111"/>
    </row>
    <row r="189" spans="26:26" ht="13.5" customHeight="1">
      <c r="Z189" s="111"/>
    </row>
    <row r="190" spans="26:26" ht="13.5" customHeight="1">
      <c r="Z190" s="111"/>
    </row>
    <row r="191" spans="26:26" ht="13.5" customHeight="1">
      <c r="Z191" s="111"/>
    </row>
    <row r="192" spans="26:26" ht="13.5" customHeight="1">
      <c r="Z192" s="111"/>
    </row>
    <row r="193" spans="26:26" ht="13.5" customHeight="1">
      <c r="Z193" s="111"/>
    </row>
    <row r="194" spans="26:26" ht="13.5" customHeight="1">
      <c r="Z194" s="111"/>
    </row>
    <row r="195" spans="26:26" ht="13.5" customHeight="1">
      <c r="Z195" s="111"/>
    </row>
    <row r="196" spans="26:26" ht="13.5" customHeight="1">
      <c r="Z196" s="111"/>
    </row>
    <row r="197" spans="26:26" ht="13.5" customHeight="1">
      <c r="Z197" s="111"/>
    </row>
    <row r="198" spans="26:26" ht="13.5" customHeight="1">
      <c r="Z198" s="111"/>
    </row>
    <row r="199" spans="26:26" ht="13.5" customHeight="1">
      <c r="Z199" s="111"/>
    </row>
    <row r="200" spans="26:26" ht="13.5" customHeight="1">
      <c r="Z200" s="111"/>
    </row>
    <row r="201" spans="26:26" ht="13.5" customHeight="1">
      <c r="Z201" s="111"/>
    </row>
    <row r="202" spans="26:26" ht="13.5" customHeight="1">
      <c r="Z202" s="111"/>
    </row>
    <row r="203" spans="26:26" ht="13.5" customHeight="1">
      <c r="Z203" s="111"/>
    </row>
    <row r="204" spans="26:26" ht="13.5" customHeight="1">
      <c r="Z204" s="111"/>
    </row>
    <row r="205" spans="26:26" ht="13.5" customHeight="1">
      <c r="Z205" s="111"/>
    </row>
    <row r="206" spans="26:26" ht="13.5" customHeight="1">
      <c r="Z206" s="111"/>
    </row>
    <row r="207" spans="26:26" ht="13.5" customHeight="1">
      <c r="Z207" s="111"/>
    </row>
    <row r="208" spans="26:26" ht="13.5" customHeight="1">
      <c r="Z208" s="111"/>
    </row>
    <row r="209" spans="26:26" ht="13.5" customHeight="1">
      <c r="Z209" s="111"/>
    </row>
    <row r="210" spans="26:26" ht="13.5" customHeight="1">
      <c r="Z210" s="111"/>
    </row>
    <row r="211" spans="26:26" ht="13.5" customHeight="1">
      <c r="Z211" s="111"/>
    </row>
    <row r="212" spans="26:26" ht="13.5" customHeight="1">
      <c r="Z212" s="111"/>
    </row>
    <row r="213" spans="26:26" ht="13.5" customHeight="1">
      <c r="Z213" s="111"/>
    </row>
    <row r="214" spans="26:26" ht="13.5" customHeight="1">
      <c r="Z214" s="111"/>
    </row>
    <row r="215" spans="26:26" ht="13.5" customHeight="1">
      <c r="Z215" s="111"/>
    </row>
    <row r="216" spans="26:26" ht="13.5" customHeight="1">
      <c r="Z216" s="111"/>
    </row>
    <row r="217" spans="26:26">
      <c r="Z217" s="111"/>
    </row>
    <row r="218" spans="26:26">
      <c r="Z218" s="111"/>
    </row>
    <row r="219" spans="26:26">
      <c r="Z219" s="111"/>
    </row>
    <row r="220" spans="26:26">
      <c r="Z220" s="111"/>
    </row>
    <row r="221" spans="26:26">
      <c r="Z221" s="111"/>
    </row>
    <row r="222" spans="26:26">
      <c r="Z222" s="111"/>
    </row>
    <row r="223" spans="26:26">
      <c r="Z223" s="111"/>
    </row>
    <row r="224" spans="26:26">
      <c r="Z224" s="111"/>
    </row>
    <row r="225" spans="26:26">
      <c r="Z225" s="111"/>
    </row>
    <row r="226" spans="26:26">
      <c r="Z226" s="111"/>
    </row>
    <row r="227" spans="26:26">
      <c r="Z227" s="111"/>
    </row>
    <row r="228" spans="26:26">
      <c r="Z228" s="111"/>
    </row>
    <row r="229" spans="26:26">
      <c r="Z229" s="111"/>
    </row>
    <row r="230" spans="26:26">
      <c r="Z230" s="111"/>
    </row>
    <row r="231" spans="26:26">
      <c r="Z231" s="111"/>
    </row>
    <row r="232" spans="26:26">
      <c r="Z232" s="111"/>
    </row>
    <row r="233" spans="26:26">
      <c r="Z233" s="111"/>
    </row>
    <row r="234" spans="26:26">
      <c r="Z234" s="111"/>
    </row>
    <row r="235" spans="26:26">
      <c r="Z235" s="111"/>
    </row>
    <row r="236" spans="26:26">
      <c r="Z236" s="111"/>
    </row>
    <row r="237" spans="26:26">
      <c r="Z237" s="111"/>
    </row>
    <row r="238" spans="26:26">
      <c r="Z238" s="111"/>
    </row>
    <row r="239" spans="26:26">
      <c r="Z239" s="111"/>
    </row>
    <row r="240" spans="26:26">
      <c r="Z240" s="111"/>
    </row>
    <row r="241" spans="26:26">
      <c r="Z241" s="111"/>
    </row>
    <row r="242" spans="26:26">
      <c r="Z242" s="111"/>
    </row>
    <row r="243" spans="26:26">
      <c r="Z243" s="111"/>
    </row>
    <row r="244" spans="26:26">
      <c r="Z244" s="111"/>
    </row>
    <row r="245" spans="26:26">
      <c r="Z245" s="111"/>
    </row>
    <row r="246" spans="26:26">
      <c r="Z246" s="111"/>
    </row>
    <row r="247" spans="26:26">
      <c r="Z247" s="111"/>
    </row>
    <row r="248" spans="26:26">
      <c r="Z248" s="111"/>
    </row>
    <row r="249" spans="26:26">
      <c r="Z249" s="111"/>
    </row>
    <row r="250" spans="26:26">
      <c r="Z250" s="111"/>
    </row>
    <row r="251" spans="26:26">
      <c r="Z251" s="111"/>
    </row>
    <row r="252" spans="26:26">
      <c r="Z252" s="111"/>
    </row>
    <row r="253" spans="26:26">
      <c r="Z253" s="111"/>
    </row>
    <row r="254" spans="26:26">
      <c r="Z254" s="111"/>
    </row>
    <row r="255" spans="26:26">
      <c r="Z255" s="111"/>
    </row>
    <row r="256" spans="26:26">
      <c r="Z256" s="111"/>
    </row>
    <row r="257" spans="26:26">
      <c r="Z257" s="111"/>
    </row>
    <row r="258" spans="26:26">
      <c r="Z258" s="111"/>
    </row>
    <row r="259" spans="26:26">
      <c r="Z259" s="111"/>
    </row>
    <row r="260" spans="26:26">
      <c r="Z260" s="111"/>
    </row>
    <row r="261" spans="26:26">
      <c r="Z261" s="111"/>
    </row>
    <row r="262" spans="26:26">
      <c r="Z262" s="111"/>
    </row>
    <row r="263" spans="26:26">
      <c r="Z263" s="111"/>
    </row>
    <row r="264" spans="26:26">
      <c r="Z264" s="111"/>
    </row>
    <row r="265" spans="26:26">
      <c r="Z265" s="111"/>
    </row>
    <row r="266" spans="26:26">
      <c r="Z266" s="111"/>
    </row>
    <row r="267" spans="26:26">
      <c r="Z267" s="111"/>
    </row>
    <row r="268" spans="26:26">
      <c r="Z268" s="111"/>
    </row>
    <row r="269" spans="26:26">
      <c r="Z269" s="111"/>
    </row>
    <row r="270" spans="26:26">
      <c r="Z270" s="111"/>
    </row>
    <row r="271" spans="26:26">
      <c r="Z271" s="111"/>
    </row>
    <row r="272" spans="26:26">
      <c r="Z272" s="111"/>
    </row>
    <row r="273" spans="26:26">
      <c r="Z273" s="111"/>
    </row>
    <row r="274" spans="26:26">
      <c r="Z274" s="111"/>
    </row>
    <row r="275" spans="26:26">
      <c r="Z275" s="111"/>
    </row>
    <row r="276" spans="26:26">
      <c r="Z276" s="111"/>
    </row>
    <row r="277" spans="26:26">
      <c r="Z277" s="111"/>
    </row>
    <row r="278" spans="26:26">
      <c r="Z278" s="111"/>
    </row>
    <row r="279" spans="26:26">
      <c r="Z279" s="111"/>
    </row>
    <row r="280" spans="26:26">
      <c r="Z280" s="111"/>
    </row>
    <row r="281" spans="26:26">
      <c r="Z281" s="111"/>
    </row>
    <row r="282" spans="26:26">
      <c r="Z282" s="111"/>
    </row>
    <row r="283" spans="26:26">
      <c r="Z283" s="111"/>
    </row>
    <row r="284" spans="26:26">
      <c r="Z284" s="111"/>
    </row>
    <row r="285" spans="26:26">
      <c r="Z285" s="111"/>
    </row>
    <row r="286" spans="26:26">
      <c r="Z286" s="111"/>
    </row>
    <row r="287" spans="26:26">
      <c r="Z287" s="111"/>
    </row>
    <row r="288" spans="26:26">
      <c r="Z288" s="111"/>
    </row>
    <row r="289" spans="26:26">
      <c r="Z289" s="111"/>
    </row>
    <row r="290" spans="26:26">
      <c r="Z290" s="111"/>
    </row>
    <row r="291" spans="26:26">
      <c r="Z291" s="111"/>
    </row>
    <row r="292" spans="26:26">
      <c r="Z292" s="111"/>
    </row>
    <row r="293" spans="26:26">
      <c r="Z293" s="111"/>
    </row>
    <row r="294" spans="26:26">
      <c r="Z294" s="111"/>
    </row>
    <row r="295" spans="26:26">
      <c r="Z295" s="111"/>
    </row>
    <row r="296" spans="26:26">
      <c r="Z296" s="111"/>
    </row>
    <row r="297" spans="26:26">
      <c r="Z297" s="111"/>
    </row>
    <row r="298" spans="26:26">
      <c r="Z298" s="111"/>
    </row>
    <row r="299" spans="26:26">
      <c r="Z299" s="111"/>
    </row>
    <row r="300" spans="26:26">
      <c r="Z300" s="111"/>
    </row>
    <row r="301" spans="26:26">
      <c r="Z301" s="111"/>
    </row>
    <row r="302" spans="26:26">
      <c r="Z302" s="111"/>
    </row>
    <row r="303" spans="26:26">
      <c r="Z303" s="111"/>
    </row>
    <row r="304" spans="26:26">
      <c r="Z304" s="111"/>
    </row>
    <row r="305" spans="26:26">
      <c r="Z305" s="111"/>
    </row>
    <row r="306" spans="26:26">
      <c r="Z306" s="111"/>
    </row>
    <row r="307" spans="26:26">
      <c r="Z307" s="111"/>
    </row>
    <row r="308" spans="26:26">
      <c r="Z308" s="111"/>
    </row>
    <row r="309" spans="26:26">
      <c r="Z309" s="111"/>
    </row>
    <row r="310" spans="26:26">
      <c r="Z310" s="111"/>
    </row>
    <row r="311" spans="26:26">
      <c r="Z311" s="111"/>
    </row>
    <row r="312" spans="26:26">
      <c r="Z312" s="111"/>
    </row>
    <row r="313" spans="26:26">
      <c r="Z313" s="111"/>
    </row>
    <row r="314" spans="26:26">
      <c r="Z314" s="111"/>
    </row>
    <row r="315" spans="26:26">
      <c r="Z315" s="111"/>
    </row>
    <row r="316" spans="26:26">
      <c r="Z316" s="111"/>
    </row>
    <row r="317" spans="26:26">
      <c r="Z317" s="111"/>
    </row>
    <row r="318" spans="26:26">
      <c r="Z318" s="111"/>
    </row>
    <row r="319" spans="26:26">
      <c r="Z319" s="111"/>
    </row>
    <row r="320" spans="26:26">
      <c r="Z320" s="111"/>
    </row>
    <row r="321" spans="26:26">
      <c r="Z321" s="111"/>
    </row>
    <row r="322" spans="26:26">
      <c r="Z322" s="111"/>
    </row>
    <row r="323" spans="26:26">
      <c r="Z323" s="111"/>
    </row>
    <row r="324" spans="26:26">
      <c r="Z324" s="111"/>
    </row>
    <row r="325" spans="26:26">
      <c r="Z325" s="111"/>
    </row>
    <row r="326" spans="26:26">
      <c r="Z326" s="111"/>
    </row>
    <row r="327" spans="26:26">
      <c r="Z327" s="111"/>
    </row>
    <row r="328" spans="26:26">
      <c r="Z328" s="111"/>
    </row>
    <row r="329" spans="26:26">
      <c r="Z329" s="111"/>
    </row>
    <row r="330" spans="26:26">
      <c r="Z330" s="111"/>
    </row>
    <row r="331" spans="26:26">
      <c r="Z331" s="111"/>
    </row>
    <row r="332" spans="26:26">
      <c r="Z332" s="111"/>
    </row>
    <row r="333" spans="26:26">
      <c r="Z333" s="111"/>
    </row>
    <row r="334" spans="26:26">
      <c r="Z334" s="111"/>
    </row>
    <row r="335" spans="26:26">
      <c r="Z335" s="111"/>
    </row>
    <row r="336" spans="26:26">
      <c r="Z336" s="111"/>
    </row>
    <row r="337" spans="26:26">
      <c r="Z337" s="111"/>
    </row>
    <row r="338" spans="26:26">
      <c r="Z338" s="111"/>
    </row>
    <row r="339" spans="26:26">
      <c r="Z339" s="111"/>
    </row>
    <row r="340" spans="26:26">
      <c r="Z340" s="111"/>
    </row>
    <row r="341" spans="26:26">
      <c r="Z341" s="111"/>
    </row>
    <row r="342" spans="26:26">
      <c r="Z342" s="111"/>
    </row>
    <row r="343" spans="26:26">
      <c r="Z343" s="111"/>
    </row>
    <row r="344" spans="26:26">
      <c r="Z344" s="111"/>
    </row>
    <row r="345" spans="26:26">
      <c r="Z345" s="111"/>
    </row>
    <row r="346" spans="26:26">
      <c r="Z346" s="111"/>
    </row>
    <row r="347" spans="26:26">
      <c r="Z347" s="111"/>
    </row>
    <row r="348" spans="26:26">
      <c r="Z348" s="111"/>
    </row>
    <row r="349" spans="26:26">
      <c r="Z349" s="111"/>
    </row>
    <row r="350" spans="26:26">
      <c r="Z350" s="111"/>
    </row>
    <row r="351" spans="26:26">
      <c r="Z351" s="111"/>
    </row>
    <row r="352" spans="26:26">
      <c r="Z352" s="111"/>
    </row>
    <row r="353" spans="26:26">
      <c r="Z353" s="111"/>
    </row>
    <row r="354" spans="26:26">
      <c r="Z354" s="111"/>
    </row>
    <row r="355" spans="26:26">
      <c r="Z355" s="111"/>
    </row>
    <row r="356" spans="26:26">
      <c r="Z356" s="111"/>
    </row>
    <row r="357" spans="26:26">
      <c r="Z357" s="111"/>
    </row>
    <row r="358" spans="26:26">
      <c r="Z358" s="111"/>
    </row>
    <row r="359" spans="26:26">
      <c r="Z359" s="111"/>
    </row>
    <row r="360" spans="26:26">
      <c r="Z360" s="111"/>
    </row>
    <row r="361" spans="26:26">
      <c r="Z361" s="111"/>
    </row>
    <row r="362" spans="26:26">
      <c r="Z362" s="111"/>
    </row>
    <row r="363" spans="26:26">
      <c r="Z363" s="111"/>
    </row>
    <row r="364" spans="26:26">
      <c r="Z364" s="111"/>
    </row>
    <row r="365" spans="26:26">
      <c r="Z365" s="111"/>
    </row>
    <row r="366" spans="26:26">
      <c r="Z366" s="111"/>
    </row>
    <row r="367" spans="26:26">
      <c r="Z367" s="111"/>
    </row>
    <row r="368" spans="26:26">
      <c r="Z368" s="111"/>
    </row>
    <row r="369" spans="26:26">
      <c r="Z369" s="111"/>
    </row>
    <row r="370" spans="26:26">
      <c r="Z370" s="111"/>
    </row>
    <row r="371" spans="26:26">
      <c r="Z371" s="111"/>
    </row>
    <row r="372" spans="26:26">
      <c r="Z372" s="111"/>
    </row>
    <row r="373" spans="26:26">
      <c r="Z373" s="111"/>
    </row>
    <row r="374" spans="26:26">
      <c r="Z374" s="111"/>
    </row>
    <row r="375" spans="26:26">
      <c r="Z375" s="111"/>
    </row>
    <row r="376" spans="26:26">
      <c r="Z376" s="111"/>
    </row>
    <row r="377" spans="26:26">
      <c r="Z377" s="111"/>
    </row>
    <row r="378" spans="26:26">
      <c r="Z378" s="111"/>
    </row>
    <row r="379" spans="26:26">
      <c r="Z379" s="111"/>
    </row>
    <row r="380" spans="26:26">
      <c r="Z380" s="111"/>
    </row>
    <row r="381" spans="26:26">
      <c r="Z381" s="111"/>
    </row>
    <row r="382" spans="26:26">
      <c r="Z382" s="111"/>
    </row>
    <row r="383" spans="26:26">
      <c r="Z383" s="111"/>
    </row>
    <row r="384" spans="26:26">
      <c r="Z384" s="111"/>
    </row>
    <row r="385" spans="26:26">
      <c r="Z385" s="111"/>
    </row>
    <row r="386" spans="26:26">
      <c r="Z386" s="111"/>
    </row>
    <row r="387" spans="26:26">
      <c r="Z387" s="111"/>
    </row>
    <row r="388" spans="26:26">
      <c r="Z388" s="111"/>
    </row>
    <row r="389" spans="26:26">
      <c r="Z389" s="111"/>
    </row>
    <row r="390" spans="26:26">
      <c r="Z390" s="111"/>
    </row>
    <row r="391" spans="26:26">
      <c r="Z391" s="111"/>
    </row>
    <row r="392" spans="26:26">
      <c r="Z392" s="111"/>
    </row>
    <row r="393" spans="26:26">
      <c r="Z393" s="111"/>
    </row>
    <row r="394" spans="26:26">
      <c r="Z394" s="111"/>
    </row>
    <row r="395" spans="26:26">
      <c r="Z395" s="111"/>
    </row>
    <row r="396" spans="26:26">
      <c r="Z396" s="111"/>
    </row>
    <row r="397" spans="26:26">
      <c r="Z397" s="111"/>
    </row>
    <row r="398" spans="26:26">
      <c r="Z398" s="111"/>
    </row>
    <row r="399" spans="26:26">
      <c r="Z399" s="111"/>
    </row>
    <row r="400" spans="26:26">
      <c r="Z400" s="111"/>
    </row>
    <row r="401" spans="26:26">
      <c r="Z401" s="111"/>
    </row>
    <row r="402" spans="26:26">
      <c r="Z402" s="111"/>
    </row>
    <row r="403" spans="26:26">
      <c r="Z403" s="111"/>
    </row>
    <row r="404" spans="26:26">
      <c r="Z404" s="111"/>
    </row>
    <row r="405" spans="26:26">
      <c r="Z405" s="111"/>
    </row>
    <row r="406" spans="26:26">
      <c r="Z406" s="111"/>
    </row>
    <row r="407" spans="26:26">
      <c r="Z407" s="111"/>
    </row>
    <row r="408" spans="26:26">
      <c r="Z408" s="111"/>
    </row>
    <row r="409" spans="26:26">
      <c r="Z409" s="111"/>
    </row>
    <row r="410" spans="26:26">
      <c r="Z410" s="111"/>
    </row>
    <row r="411" spans="26:26">
      <c r="Z411" s="111"/>
    </row>
    <row r="412" spans="26:26">
      <c r="Z412" s="111"/>
    </row>
    <row r="413" spans="26:26">
      <c r="Z413" s="111"/>
    </row>
    <row r="414" spans="26:26">
      <c r="Z414" s="111"/>
    </row>
    <row r="415" spans="26:26">
      <c r="Z415" s="111"/>
    </row>
    <row r="416" spans="26:26">
      <c r="Z416" s="111"/>
    </row>
    <row r="417" spans="26:26">
      <c r="Z417" s="111"/>
    </row>
    <row r="418" spans="26:26">
      <c r="Z418" s="111"/>
    </row>
    <row r="419" spans="26:26">
      <c r="Z419" s="111"/>
    </row>
    <row r="420" spans="26:26">
      <c r="Z420" s="111"/>
    </row>
    <row r="421" spans="26:26">
      <c r="Z421" s="111"/>
    </row>
    <row r="422" spans="26:26">
      <c r="Z422" s="111"/>
    </row>
    <row r="423" spans="26:26">
      <c r="Z423" s="111"/>
    </row>
    <row r="424" spans="26:26">
      <c r="Z424" s="111"/>
    </row>
    <row r="425" spans="26:26">
      <c r="Z425" s="111"/>
    </row>
    <row r="426" spans="26:26">
      <c r="Z426" s="111"/>
    </row>
    <row r="427" spans="26:26">
      <c r="Z427" s="111"/>
    </row>
    <row r="428" spans="26:26">
      <c r="Z428" s="111"/>
    </row>
    <row r="429" spans="26:26">
      <c r="Z429" s="111"/>
    </row>
    <row r="430" spans="26:26">
      <c r="Z430" s="111"/>
    </row>
    <row r="431" spans="26:26">
      <c r="Z431" s="111"/>
    </row>
    <row r="432" spans="26:26">
      <c r="Z432" s="111"/>
    </row>
    <row r="433" spans="26:26">
      <c r="Z433" s="111"/>
    </row>
    <row r="434" spans="26:26">
      <c r="Z434" s="111"/>
    </row>
    <row r="435" spans="26:26">
      <c r="Z435" s="111"/>
    </row>
    <row r="436" spans="26:26">
      <c r="Z436" s="111"/>
    </row>
    <row r="437" spans="26:26">
      <c r="Z437" s="111"/>
    </row>
    <row r="438" spans="26:26">
      <c r="Z438" s="111"/>
    </row>
    <row r="439" spans="26:26">
      <c r="Z439" s="111"/>
    </row>
    <row r="440" spans="26:26">
      <c r="Z440" s="111"/>
    </row>
    <row r="441" spans="26:26">
      <c r="Z441" s="111"/>
    </row>
    <row r="442" spans="26:26">
      <c r="Z442" s="111"/>
    </row>
    <row r="443" spans="26:26">
      <c r="Z443" s="111"/>
    </row>
    <row r="444" spans="26:26">
      <c r="Z444" s="111"/>
    </row>
    <row r="445" spans="26:26">
      <c r="Z445" s="111"/>
    </row>
    <row r="446" spans="26:26">
      <c r="Z446" s="111"/>
    </row>
    <row r="447" spans="26:26">
      <c r="Z447" s="111"/>
    </row>
    <row r="448" spans="26:26">
      <c r="Z448" s="111"/>
    </row>
    <row r="449" spans="26:26">
      <c r="Z449" s="111"/>
    </row>
    <row r="450" spans="26:26">
      <c r="Z450" s="111"/>
    </row>
    <row r="451" spans="26:26">
      <c r="Z451" s="111"/>
    </row>
    <row r="452" spans="26:26">
      <c r="Z452" s="111"/>
    </row>
    <row r="453" spans="26:26">
      <c r="Z453" s="111"/>
    </row>
    <row r="454" spans="26:26">
      <c r="Z454" s="111"/>
    </row>
    <row r="455" spans="26:26">
      <c r="Z455" s="111"/>
    </row>
    <row r="456" spans="26:26">
      <c r="Z456" s="111"/>
    </row>
    <row r="457" spans="26:26">
      <c r="Z457" s="111"/>
    </row>
    <row r="458" spans="26:26">
      <c r="Z458" s="111"/>
    </row>
    <row r="459" spans="26:26">
      <c r="Z459" s="111"/>
    </row>
    <row r="460" spans="26:26">
      <c r="Z460" s="111"/>
    </row>
    <row r="461" spans="26:26">
      <c r="Z461" s="111"/>
    </row>
    <row r="462" spans="26:26">
      <c r="Z462" s="111"/>
    </row>
    <row r="463" spans="26:26">
      <c r="Z463" s="111"/>
    </row>
    <row r="464" spans="26:26">
      <c r="Z464" s="111"/>
    </row>
    <row r="465" spans="26:26">
      <c r="Z465" s="111"/>
    </row>
    <row r="466" spans="26:26">
      <c r="Z466" s="111"/>
    </row>
    <row r="467" spans="26:26">
      <c r="Z467" s="111"/>
    </row>
    <row r="468" spans="26:26">
      <c r="Z468" s="111"/>
    </row>
    <row r="469" spans="26:26">
      <c r="Z469" s="111"/>
    </row>
    <row r="470" spans="26:26">
      <c r="Z470" s="111"/>
    </row>
    <row r="471" spans="26:26">
      <c r="Z471" s="111"/>
    </row>
    <row r="472" spans="26:26">
      <c r="Z472" s="111"/>
    </row>
    <row r="473" spans="26:26">
      <c r="Z473" s="111"/>
    </row>
    <row r="474" spans="26:26">
      <c r="Z474" s="111"/>
    </row>
    <row r="475" spans="26:26">
      <c r="Z475" s="111"/>
    </row>
    <row r="476" spans="26:26">
      <c r="Z476" s="111"/>
    </row>
    <row r="477" spans="26:26">
      <c r="Z477" s="111"/>
    </row>
    <row r="478" spans="26:26">
      <c r="Z478" s="111"/>
    </row>
    <row r="479" spans="26:26">
      <c r="Z479" s="111"/>
    </row>
    <row r="480" spans="26:26">
      <c r="Z480" s="111"/>
    </row>
    <row r="481" spans="26:26">
      <c r="Z481" s="111"/>
    </row>
    <row r="482" spans="26:26">
      <c r="Z482" s="111"/>
    </row>
    <row r="483" spans="26:26">
      <c r="Z483" s="111"/>
    </row>
    <row r="484" spans="26:26">
      <c r="Z484" s="111"/>
    </row>
    <row r="485" spans="26:26">
      <c r="Z485" s="111"/>
    </row>
    <row r="486" spans="26:26">
      <c r="Z486" s="111"/>
    </row>
    <row r="487" spans="26:26">
      <c r="Z487" s="111"/>
    </row>
    <row r="488" spans="26:26">
      <c r="Z488" s="111"/>
    </row>
    <row r="489" spans="26:26">
      <c r="Z489" s="111"/>
    </row>
    <row r="490" spans="26:26">
      <c r="Z490" s="111"/>
    </row>
    <row r="491" spans="26:26">
      <c r="Z491" s="111"/>
    </row>
    <row r="492" spans="26:26">
      <c r="Z492" s="111"/>
    </row>
    <row r="493" spans="26:26">
      <c r="Z493" s="111"/>
    </row>
    <row r="494" spans="26:26">
      <c r="Z494" s="111"/>
    </row>
    <row r="495" spans="26:26">
      <c r="Z495" s="111"/>
    </row>
    <row r="496" spans="26:26">
      <c r="Z496" s="111"/>
    </row>
    <row r="497" spans="26:26">
      <c r="Z497" s="111"/>
    </row>
    <row r="498" spans="26:26">
      <c r="Z498" s="111"/>
    </row>
    <row r="499" spans="26:26">
      <c r="Z499" s="111"/>
    </row>
    <row r="500" spans="26:26">
      <c r="Z500" s="111"/>
    </row>
    <row r="501" spans="26:26">
      <c r="Z501" s="111"/>
    </row>
    <row r="502" spans="26:26">
      <c r="Z502" s="111"/>
    </row>
    <row r="503" spans="26:26">
      <c r="Z503" s="111"/>
    </row>
    <row r="504" spans="26:26">
      <c r="Z504" s="111"/>
    </row>
    <row r="505" spans="26:26">
      <c r="Z505" s="111"/>
    </row>
    <row r="506" spans="26:26">
      <c r="Z506" s="111"/>
    </row>
    <row r="507" spans="26:26">
      <c r="Z507" s="111"/>
    </row>
    <row r="508" spans="26:26">
      <c r="Z508" s="111"/>
    </row>
    <row r="509" spans="26:26">
      <c r="Z509" s="111"/>
    </row>
    <row r="510" spans="26:26">
      <c r="Z510" s="111"/>
    </row>
    <row r="511" spans="26:26">
      <c r="Z511" s="111"/>
    </row>
    <row r="512" spans="26:26">
      <c r="Z512" s="111"/>
    </row>
    <row r="513" spans="26:26">
      <c r="Z513" s="111"/>
    </row>
    <row r="514" spans="26:26">
      <c r="Z514" s="111"/>
    </row>
    <row r="515" spans="26:26">
      <c r="Z515" s="111"/>
    </row>
    <row r="516" spans="26:26">
      <c r="Z516" s="111"/>
    </row>
    <row r="517" spans="26:26">
      <c r="Z517" s="111"/>
    </row>
    <row r="518" spans="26:26">
      <c r="Z518" s="111"/>
    </row>
    <row r="519" spans="26:26">
      <c r="Z519" s="111"/>
    </row>
    <row r="520" spans="26:26">
      <c r="Z520" s="111"/>
    </row>
    <row r="521" spans="26:26">
      <c r="Z521" s="111"/>
    </row>
    <row r="522" spans="26:26">
      <c r="Z522" s="111"/>
    </row>
    <row r="523" spans="26:26">
      <c r="Z523" s="111"/>
    </row>
    <row r="524" spans="26:26">
      <c r="Z524" s="111"/>
    </row>
    <row r="525" spans="26:26">
      <c r="Z525" s="111"/>
    </row>
    <row r="526" spans="26:26">
      <c r="Z526" s="111"/>
    </row>
    <row r="527" spans="26:26">
      <c r="Z527" s="111"/>
    </row>
    <row r="528" spans="26:26">
      <c r="Z528" s="111"/>
    </row>
    <row r="529" spans="26:26">
      <c r="Z529" s="111"/>
    </row>
    <row r="530" spans="26:26">
      <c r="Z530" s="111"/>
    </row>
    <row r="531" spans="26:26">
      <c r="Z531" s="111"/>
    </row>
    <row r="532" spans="26:26">
      <c r="Z532" s="111"/>
    </row>
    <row r="533" spans="26:26">
      <c r="Z533" s="111"/>
    </row>
    <row r="534" spans="26:26">
      <c r="Z534" s="111"/>
    </row>
    <row r="535" spans="26:26">
      <c r="Z535" s="111"/>
    </row>
    <row r="536" spans="26:26">
      <c r="Z536" s="111"/>
    </row>
    <row r="537" spans="26:26">
      <c r="Z537" s="111"/>
    </row>
    <row r="538" spans="26:26">
      <c r="Z538" s="111"/>
    </row>
    <row r="539" spans="26:26">
      <c r="Z539" s="111"/>
    </row>
    <row r="540" spans="26:26">
      <c r="Z540" s="111"/>
    </row>
    <row r="541" spans="26:26">
      <c r="Z541" s="111"/>
    </row>
    <row r="542" spans="26:26">
      <c r="Z542" s="111"/>
    </row>
    <row r="543" spans="26:26">
      <c r="Z543" s="111"/>
    </row>
    <row r="544" spans="26:26">
      <c r="Z544" s="111"/>
    </row>
    <row r="545" spans="26:26">
      <c r="Z545" s="111"/>
    </row>
    <row r="546" spans="26:26">
      <c r="Z546" s="111"/>
    </row>
    <row r="547" spans="26:26">
      <c r="Z547" s="111"/>
    </row>
    <row r="548" spans="26:26">
      <c r="Z548" s="111"/>
    </row>
    <row r="549" spans="26:26">
      <c r="Z549" s="111"/>
    </row>
    <row r="550" spans="26:26">
      <c r="Z550" s="111"/>
    </row>
    <row r="551" spans="26:26">
      <c r="Z551" s="111"/>
    </row>
    <row r="552" spans="26:26">
      <c r="Z552" s="111"/>
    </row>
    <row r="553" spans="26:26">
      <c r="Z553" s="111"/>
    </row>
    <row r="554" spans="26:26">
      <c r="Z554" s="111"/>
    </row>
    <row r="555" spans="26:26">
      <c r="Z555" s="111"/>
    </row>
    <row r="556" spans="26:26">
      <c r="Z556" s="111"/>
    </row>
    <row r="557" spans="26:26">
      <c r="Z557" s="111"/>
    </row>
    <row r="558" spans="26:26">
      <c r="Z558" s="111"/>
    </row>
    <row r="559" spans="26:26">
      <c r="Z559" s="111"/>
    </row>
    <row r="560" spans="26:26">
      <c r="Z560" s="111"/>
    </row>
    <row r="561" spans="26:26">
      <c r="Z561" s="111"/>
    </row>
    <row r="562" spans="26:26">
      <c r="Z562" s="111"/>
    </row>
    <row r="563" spans="26:26">
      <c r="Z563" s="111"/>
    </row>
    <row r="564" spans="26:26">
      <c r="Z564" s="111"/>
    </row>
    <row r="565" spans="26:26">
      <c r="Z565" s="111"/>
    </row>
    <row r="566" spans="26:26">
      <c r="Z566" s="111"/>
    </row>
    <row r="567" spans="26:26">
      <c r="Z567" s="111"/>
    </row>
    <row r="568" spans="26:26">
      <c r="Z568" s="111"/>
    </row>
    <row r="569" spans="26:26">
      <c r="Z569" s="111"/>
    </row>
    <row r="570" spans="26:26">
      <c r="Z570" s="111"/>
    </row>
    <row r="571" spans="26:26">
      <c r="Z571" s="111"/>
    </row>
    <row r="572" spans="26:26">
      <c r="Z572" s="111"/>
    </row>
    <row r="573" spans="26:26">
      <c r="Z573" s="111"/>
    </row>
    <row r="574" spans="26:26">
      <c r="Z574" s="111"/>
    </row>
    <row r="575" spans="26:26">
      <c r="Z575" s="111"/>
    </row>
    <row r="576" spans="26:26">
      <c r="Z576" s="111"/>
    </row>
    <row r="577" spans="26:26">
      <c r="Z577" s="111"/>
    </row>
    <row r="578" spans="26:26">
      <c r="Z578" s="111"/>
    </row>
    <row r="579" spans="26:26">
      <c r="Z579" s="111"/>
    </row>
    <row r="580" spans="26:26">
      <c r="Z580" s="111"/>
    </row>
    <row r="581" spans="26:26">
      <c r="Z581" s="111"/>
    </row>
    <row r="582" spans="26:26">
      <c r="Z582" s="111"/>
    </row>
    <row r="583" spans="26:26">
      <c r="Z583" s="111"/>
    </row>
    <row r="584" spans="26:26">
      <c r="Z584" s="111"/>
    </row>
    <row r="585" spans="26:26">
      <c r="Z585" s="111"/>
    </row>
    <row r="586" spans="26:26">
      <c r="Z586" s="111"/>
    </row>
    <row r="587" spans="26:26">
      <c r="Z587" s="111"/>
    </row>
    <row r="588" spans="26:26">
      <c r="Z588" s="111"/>
    </row>
    <row r="589" spans="26:26">
      <c r="Z589" s="111"/>
    </row>
    <row r="590" spans="26:26">
      <c r="Z590" s="111"/>
    </row>
    <row r="591" spans="26:26">
      <c r="Z591" s="111"/>
    </row>
    <row r="592" spans="26:26">
      <c r="Z592" s="111"/>
    </row>
    <row r="593" spans="26:26">
      <c r="Z593" s="111"/>
    </row>
    <row r="594" spans="26:26">
      <c r="Z594" s="111"/>
    </row>
    <row r="595" spans="26:26">
      <c r="Z595" s="111"/>
    </row>
    <row r="596" spans="26:26">
      <c r="Z596" s="111"/>
    </row>
    <row r="597" spans="26:26">
      <c r="Z597" s="111"/>
    </row>
    <row r="598" spans="26:26">
      <c r="Z598" s="111"/>
    </row>
    <row r="599" spans="26:26">
      <c r="Z599" s="111"/>
    </row>
    <row r="600" spans="26:26">
      <c r="Z600" s="111"/>
    </row>
    <row r="601" spans="26:26">
      <c r="Z601" s="111"/>
    </row>
    <row r="602" spans="26:26">
      <c r="Z602" s="111"/>
    </row>
    <row r="603" spans="26:26">
      <c r="Z603" s="111"/>
    </row>
    <row r="604" spans="26:26">
      <c r="Z604" s="111"/>
    </row>
    <row r="605" spans="26:26">
      <c r="Z605" s="111"/>
    </row>
    <row r="606" spans="26:26">
      <c r="Z606" s="111"/>
    </row>
    <row r="607" spans="26:26">
      <c r="Z607" s="111"/>
    </row>
    <row r="608" spans="26:26">
      <c r="Z608" s="111"/>
    </row>
    <row r="609" spans="26:26">
      <c r="Z609" s="111"/>
    </row>
    <row r="610" spans="26:26">
      <c r="Z610" s="111"/>
    </row>
    <row r="611" spans="26:26">
      <c r="Z611" s="111"/>
    </row>
    <row r="612" spans="26:26">
      <c r="Z612" s="111"/>
    </row>
    <row r="613" spans="26:26">
      <c r="Z613" s="111"/>
    </row>
    <row r="614" spans="26:26">
      <c r="Z614" s="111"/>
    </row>
    <row r="615" spans="26:26">
      <c r="Z615" s="111"/>
    </row>
    <row r="616" spans="26:26">
      <c r="Z616" s="111"/>
    </row>
    <row r="617" spans="26:26">
      <c r="Z617" s="111"/>
    </row>
    <row r="618" spans="26:26">
      <c r="Z618" s="111"/>
    </row>
    <row r="619" spans="26:26">
      <c r="Z619" s="111"/>
    </row>
    <row r="620" spans="26:26">
      <c r="Z620" s="111"/>
    </row>
    <row r="621" spans="26:26">
      <c r="Z621" s="111"/>
    </row>
    <row r="622" spans="26:26">
      <c r="Z622" s="111"/>
    </row>
    <row r="623" spans="26:26">
      <c r="Z623" s="111"/>
    </row>
    <row r="624" spans="26:26">
      <c r="Z624" s="111"/>
    </row>
    <row r="625" spans="26:26">
      <c r="Z625" s="111"/>
    </row>
    <row r="626" spans="26:26">
      <c r="Z626" s="111"/>
    </row>
    <row r="627" spans="26:26">
      <c r="Z627" s="111"/>
    </row>
    <row r="628" spans="26:26">
      <c r="Z628" s="111"/>
    </row>
    <row r="629" spans="26:26">
      <c r="Z629" s="111"/>
    </row>
    <row r="630" spans="26:26">
      <c r="Z630" s="111"/>
    </row>
    <row r="631" spans="26:26">
      <c r="Z631" s="111"/>
    </row>
    <row r="632" spans="26:26">
      <c r="Z632" s="111"/>
    </row>
    <row r="633" spans="26:26">
      <c r="Z633" s="111"/>
    </row>
    <row r="634" spans="26:26">
      <c r="Z634" s="111"/>
    </row>
    <row r="635" spans="26:26">
      <c r="Z635" s="111"/>
    </row>
    <row r="636" spans="26:26">
      <c r="Z636" s="111"/>
    </row>
    <row r="637" spans="26:26">
      <c r="Z637" s="111"/>
    </row>
    <row r="638" spans="26:26">
      <c r="Z638" s="111"/>
    </row>
    <row r="639" spans="26:26">
      <c r="Z639" s="111"/>
    </row>
    <row r="640" spans="26:26">
      <c r="Z640" s="111"/>
    </row>
    <row r="641" spans="26:26">
      <c r="Z641" s="111"/>
    </row>
    <row r="642" spans="26:26">
      <c r="Z642" s="111"/>
    </row>
    <row r="643" spans="26:26">
      <c r="Z643" s="111"/>
    </row>
    <row r="644" spans="26:26">
      <c r="Z644" s="111"/>
    </row>
    <row r="645" spans="26:26">
      <c r="Z645" s="111"/>
    </row>
    <row r="646" spans="26:26">
      <c r="Z646" s="111"/>
    </row>
    <row r="647" spans="26:26">
      <c r="Z647" s="111"/>
    </row>
    <row r="648" spans="26:26">
      <c r="Z648" s="111"/>
    </row>
    <row r="649" spans="26:26">
      <c r="Z649" s="111"/>
    </row>
    <row r="650" spans="26:26">
      <c r="Z650" s="111"/>
    </row>
    <row r="651" spans="26:26">
      <c r="Z651" s="111"/>
    </row>
    <row r="652" spans="26:26">
      <c r="Z652" s="111"/>
    </row>
    <row r="653" spans="26:26">
      <c r="Z653" s="111"/>
    </row>
    <row r="654" spans="26:26">
      <c r="Z654" s="111"/>
    </row>
    <row r="655" spans="26:26">
      <c r="Z655" s="111"/>
    </row>
    <row r="656" spans="26:26">
      <c r="Z656" s="111"/>
    </row>
    <row r="657" spans="26:26">
      <c r="Z657" s="111"/>
    </row>
    <row r="658" spans="26:26">
      <c r="Z658" s="111"/>
    </row>
    <row r="659" spans="26:26">
      <c r="Z659" s="111"/>
    </row>
    <row r="660" spans="26:26">
      <c r="Z660" s="111"/>
    </row>
    <row r="661" spans="26:26">
      <c r="Z661" s="111"/>
    </row>
    <row r="662" spans="26:26">
      <c r="Z662" s="111"/>
    </row>
    <row r="663" spans="26:26">
      <c r="Z663" s="111"/>
    </row>
    <row r="664" spans="26:26">
      <c r="Z664" s="111"/>
    </row>
    <row r="665" spans="26:26">
      <c r="Z665" s="111"/>
    </row>
    <row r="666" spans="26:26">
      <c r="Z666" s="111"/>
    </row>
    <row r="667" spans="26:26">
      <c r="Z667" s="111"/>
    </row>
    <row r="668" spans="26:26">
      <c r="Z668" s="111"/>
    </row>
    <row r="669" spans="26:26">
      <c r="Z669" s="111"/>
    </row>
    <row r="670" spans="26:26">
      <c r="Z670" s="111"/>
    </row>
    <row r="671" spans="26:26">
      <c r="Z671" s="111"/>
    </row>
    <row r="672" spans="26:26">
      <c r="Z672" s="111"/>
    </row>
    <row r="673" spans="26:26">
      <c r="Z673" s="111"/>
    </row>
    <row r="674" spans="26:26">
      <c r="Z674" s="111"/>
    </row>
    <row r="675" spans="26:26">
      <c r="Z675" s="111"/>
    </row>
    <row r="676" spans="26:26">
      <c r="Z676" s="111"/>
    </row>
    <row r="677" spans="26:26">
      <c r="Z677" s="111"/>
    </row>
    <row r="678" spans="26:26">
      <c r="Z678" s="111"/>
    </row>
    <row r="679" spans="26:26">
      <c r="Z679" s="111"/>
    </row>
    <row r="680" spans="26:26">
      <c r="Z680" s="111"/>
    </row>
    <row r="681" spans="26:26">
      <c r="Z681" s="111"/>
    </row>
    <row r="682" spans="26:26">
      <c r="Z682" s="111"/>
    </row>
    <row r="683" spans="26:26">
      <c r="Z683" s="111"/>
    </row>
    <row r="684" spans="26:26">
      <c r="Z684" s="111"/>
    </row>
    <row r="685" spans="26:26">
      <c r="Z685" s="111"/>
    </row>
    <row r="686" spans="26:26">
      <c r="Z686" s="111"/>
    </row>
    <row r="687" spans="26:26">
      <c r="Z687" s="111"/>
    </row>
    <row r="688" spans="26:26">
      <c r="Z688" s="111"/>
    </row>
    <row r="689" spans="26:26">
      <c r="Z689" s="111"/>
    </row>
    <row r="690" spans="26:26">
      <c r="Z690" s="111"/>
    </row>
    <row r="691" spans="26:26">
      <c r="Z691" s="111"/>
    </row>
    <row r="692" spans="26:26">
      <c r="Z692" s="111"/>
    </row>
    <row r="693" spans="26:26">
      <c r="Z693" s="111"/>
    </row>
    <row r="694" spans="26:26">
      <c r="Z694" s="111"/>
    </row>
    <row r="695" spans="26:26">
      <c r="Z695" s="111"/>
    </row>
    <row r="696" spans="26:26">
      <c r="Z696" s="111"/>
    </row>
    <row r="697" spans="26:26">
      <c r="Z697" s="111"/>
    </row>
    <row r="698" spans="26:26">
      <c r="Z698" s="111"/>
    </row>
    <row r="699" spans="26:26">
      <c r="Z699" s="111"/>
    </row>
    <row r="700" spans="26:26">
      <c r="Z700" s="111"/>
    </row>
    <row r="701" spans="26:26">
      <c r="Z701" s="111"/>
    </row>
    <row r="702" spans="26:26">
      <c r="Z702" s="111"/>
    </row>
    <row r="703" spans="26:26">
      <c r="Z703" s="111"/>
    </row>
    <row r="704" spans="26:26">
      <c r="Z704" s="111"/>
    </row>
    <row r="705" spans="26:26">
      <c r="Z705" s="111"/>
    </row>
    <row r="706" spans="26:26">
      <c r="Z706" s="111"/>
    </row>
    <row r="707" spans="26:26">
      <c r="Z707" s="111"/>
    </row>
    <row r="708" spans="26:26">
      <c r="Z708" s="111"/>
    </row>
    <row r="709" spans="26:26">
      <c r="Z709" s="111"/>
    </row>
    <row r="710" spans="26:26">
      <c r="Z710" s="111"/>
    </row>
    <row r="711" spans="26:26">
      <c r="Z711" s="111"/>
    </row>
    <row r="712" spans="26:26">
      <c r="Z712" s="111"/>
    </row>
    <row r="713" spans="26:26">
      <c r="Z713" s="111"/>
    </row>
    <row r="714" spans="26:26">
      <c r="Z714" s="111"/>
    </row>
    <row r="715" spans="26:26">
      <c r="Z715" s="111"/>
    </row>
    <row r="716" spans="26:26">
      <c r="Z716" s="111"/>
    </row>
    <row r="717" spans="26:26">
      <c r="Z717" s="111"/>
    </row>
    <row r="718" spans="26:26">
      <c r="Z718" s="111"/>
    </row>
    <row r="719" spans="26:26">
      <c r="Z719" s="111"/>
    </row>
    <row r="720" spans="26:26">
      <c r="Z720" s="111"/>
    </row>
    <row r="721" spans="26:26">
      <c r="Z721" s="111"/>
    </row>
    <row r="722" spans="26:26">
      <c r="Z722" s="111"/>
    </row>
    <row r="723" spans="26:26">
      <c r="Z723" s="111"/>
    </row>
    <row r="724" spans="26:26">
      <c r="Z724" s="111"/>
    </row>
    <row r="725" spans="26:26">
      <c r="Z725" s="111"/>
    </row>
    <row r="726" spans="26:26">
      <c r="Z726" s="111"/>
    </row>
    <row r="727" spans="26:26">
      <c r="Z727" s="111"/>
    </row>
    <row r="728" spans="26:26">
      <c r="Z728" s="111"/>
    </row>
    <row r="729" spans="26:26">
      <c r="Z729" s="111"/>
    </row>
    <row r="730" spans="26:26">
      <c r="Z730" s="111"/>
    </row>
    <row r="731" spans="26:26">
      <c r="Z731" s="111"/>
    </row>
    <row r="732" spans="26:26">
      <c r="Z732" s="111"/>
    </row>
    <row r="733" spans="26:26">
      <c r="Z733" s="111"/>
    </row>
    <row r="734" spans="26:26">
      <c r="Z734" s="111"/>
    </row>
    <row r="735" spans="26:26">
      <c r="Z735" s="111"/>
    </row>
    <row r="736" spans="26:26">
      <c r="Z736" s="111"/>
    </row>
    <row r="737" spans="26:26">
      <c r="Z737" s="111"/>
    </row>
    <row r="738" spans="26:26">
      <c r="Z738" s="111"/>
    </row>
    <row r="739" spans="26:26">
      <c r="Z739" s="111"/>
    </row>
    <row r="740" spans="26:26">
      <c r="Z740" s="111"/>
    </row>
    <row r="741" spans="26:26">
      <c r="Z741" s="111"/>
    </row>
    <row r="742" spans="26:26">
      <c r="Z742" s="111"/>
    </row>
    <row r="743" spans="26:26">
      <c r="Z743" s="111"/>
    </row>
    <row r="744" spans="26:26">
      <c r="Z744" s="111"/>
    </row>
    <row r="745" spans="26:26">
      <c r="Z745" s="111"/>
    </row>
    <row r="746" spans="26:26">
      <c r="Z746" s="111"/>
    </row>
    <row r="747" spans="26:26">
      <c r="Z747" s="111"/>
    </row>
    <row r="748" spans="26:26">
      <c r="Z748" s="111"/>
    </row>
    <row r="749" spans="26:26">
      <c r="Z749" s="111"/>
    </row>
    <row r="750" spans="26:26">
      <c r="Z750" s="111"/>
    </row>
    <row r="751" spans="26:26">
      <c r="Z751" s="111"/>
    </row>
    <row r="752" spans="26:26">
      <c r="Z752" s="111"/>
    </row>
    <row r="753" spans="26:26">
      <c r="Z753" s="111"/>
    </row>
    <row r="754" spans="26:26">
      <c r="Z754" s="111"/>
    </row>
    <row r="755" spans="26:26">
      <c r="Z755" s="111"/>
    </row>
    <row r="756" spans="26:26">
      <c r="Z756" s="111"/>
    </row>
    <row r="757" spans="26:26">
      <c r="Z757" s="111"/>
    </row>
    <row r="758" spans="26:26">
      <c r="Z758" s="111"/>
    </row>
    <row r="759" spans="26:26">
      <c r="Z759" s="111"/>
    </row>
    <row r="760" spans="26:26">
      <c r="Z760" s="111"/>
    </row>
  </sheetData>
  <pageMargins left="0.7" right="0.7" top="0.75" bottom="0.75" header="0.3" footer="0.3"/>
  <pageSetup scale="71" fitToWidth="0" orientation="portrait" r:id="rId1"/>
  <cellWatches>
    <cellWatch r="C66"/>
  </cellWatche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pageSetUpPr fitToPage="1"/>
  </sheetPr>
  <dimension ref="B1:AO72"/>
  <sheetViews>
    <sheetView showGridLines="0" view="pageBreakPreview" zoomScaleNormal="100" zoomScaleSheetLayoutView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defaultColWidth="9.83203125" defaultRowHeight="13.5" customHeight="1"/>
  <cols>
    <col min="1" max="1" width="5.83203125" style="2" customWidth="1"/>
    <col min="2" max="2" width="41.5" style="2" customWidth="1"/>
    <col min="3" max="9" width="11.83203125" style="2" customWidth="1"/>
    <col min="10" max="10" width="9.83203125" style="1"/>
    <col min="11" max="38" width="9.83203125" style="8" customWidth="1"/>
    <col min="39" max="41" width="9.83203125" style="8"/>
    <col min="42" max="16384" width="9.83203125" style="2"/>
  </cols>
  <sheetData>
    <row r="1" spans="2:41" ht="13.5" customHeight="1">
      <c r="I1" s="3"/>
      <c r="K1" s="30">
        <v>40633</v>
      </c>
      <c r="L1" s="30">
        <f t="shared" ref="L1:AL1" si="0">EOMONTH(K1,3)</f>
        <v>40724</v>
      </c>
      <c r="M1" s="30">
        <f t="shared" si="0"/>
        <v>40816</v>
      </c>
      <c r="N1" s="30">
        <f t="shared" si="0"/>
        <v>40908</v>
      </c>
      <c r="O1" s="30">
        <f t="shared" si="0"/>
        <v>40999</v>
      </c>
      <c r="P1" s="30">
        <f t="shared" si="0"/>
        <v>41090</v>
      </c>
      <c r="Q1" s="30">
        <f t="shared" si="0"/>
        <v>41182</v>
      </c>
      <c r="R1" s="30">
        <f t="shared" si="0"/>
        <v>41274</v>
      </c>
      <c r="S1" s="30">
        <f t="shared" si="0"/>
        <v>41364</v>
      </c>
      <c r="T1" s="30">
        <f t="shared" si="0"/>
        <v>41455</v>
      </c>
      <c r="U1" s="30">
        <f t="shared" si="0"/>
        <v>41547</v>
      </c>
      <c r="V1" s="30">
        <f t="shared" si="0"/>
        <v>41639</v>
      </c>
      <c r="W1" s="30">
        <f t="shared" si="0"/>
        <v>41729</v>
      </c>
      <c r="X1" s="30">
        <f t="shared" si="0"/>
        <v>41820</v>
      </c>
      <c r="Y1" s="30">
        <f t="shared" si="0"/>
        <v>41912</v>
      </c>
      <c r="Z1" s="30">
        <f t="shared" si="0"/>
        <v>42004</v>
      </c>
      <c r="AA1" s="30">
        <f t="shared" si="0"/>
        <v>42094</v>
      </c>
      <c r="AB1" s="30">
        <f t="shared" si="0"/>
        <v>42185</v>
      </c>
      <c r="AC1" s="30">
        <f t="shared" si="0"/>
        <v>42277</v>
      </c>
      <c r="AD1" s="30">
        <f t="shared" si="0"/>
        <v>42369</v>
      </c>
      <c r="AE1" s="30">
        <f t="shared" si="0"/>
        <v>42460</v>
      </c>
      <c r="AF1" s="30">
        <f t="shared" si="0"/>
        <v>42551</v>
      </c>
      <c r="AG1" s="30">
        <f t="shared" si="0"/>
        <v>42643</v>
      </c>
      <c r="AH1" s="30">
        <f t="shared" si="0"/>
        <v>42735</v>
      </c>
      <c r="AI1" s="30">
        <f t="shared" si="0"/>
        <v>42825</v>
      </c>
      <c r="AJ1" s="30">
        <f t="shared" si="0"/>
        <v>42916</v>
      </c>
      <c r="AK1" s="30">
        <f t="shared" si="0"/>
        <v>43008</v>
      </c>
      <c r="AL1" s="30">
        <f t="shared" si="0"/>
        <v>43100</v>
      </c>
    </row>
    <row r="2" spans="2:41" ht="13.5" customHeight="1">
      <c r="B2" s="219" t="str">
        <f>IS!B2</f>
        <v>Mondelez International, Inc. (MDLZ)</v>
      </c>
    </row>
    <row r="3" spans="2:41" ht="13.5" customHeight="1">
      <c r="B3" s="2" t="s">
        <v>7</v>
      </c>
    </row>
    <row r="4" spans="2:41" ht="13.5" customHeight="1">
      <c r="B4" s="2" t="s">
        <v>8</v>
      </c>
    </row>
    <row r="5" spans="2:41" ht="13.5" customHeight="1">
      <c r="B5" s="8"/>
      <c r="C5" s="5" t="s">
        <v>11</v>
      </c>
      <c r="D5" s="4"/>
      <c r="E5" s="318"/>
      <c r="F5" s="4"/>
      <c r="G5" s="4"/>
      <c r="H5" s="4"/>
      <c r="I5" s="4"/>
      <c r="K5" s="29">
        <v>2011</v>
      </c>
      <c r="L5" s="27"/>
      <c r="M5" s="27"/>
      <c r="N5" s="28"/>
      <c r="O5" s="29">
        <f>K5+1</f>
        <v>2012</v>
      </c>
      <c r="P5" s="27"/>
      <c r="Q5" s="27"/>
      <c r="R5" s="28"/>
      <c r="S5" s="29">
        <f>O5+1</f>
        <v>2013</v>
      </c>
      <c r="T5" s="27"/>
      <c r="U5" s="27"/>
      <c r="V5" s="28"/>
      <c r="W5" s="29">
        <f>S5+1</f>
        <v>2014</v>
      </c>
      <c r="X5" s="27"/>
      <c r="Y5" s="27"/>
      <c r="Z5" s="28"/>
      <c r="AA5" s="29">
        <f>W5+1</f>
        <v>2015</v>
      </c>
      <c r="AB5" s="27"/>
      <c r="AC5" s="27"/>
      <c r="AD5" s="28"/>
      <c r="AE5" s="29">
        <f>AA5+1</f>
        <v>2016</v>
      </c>
      <c r="AF5" s="27"/>
      <c r="AG5" s="27"/>
      <c r="AH5" s="28"/>
      <c r="AI5" s="29">
        <f>AE5+1</f>
        <v>2017</v>
      </c>
      <c r="AJ5" s="27"/>
      <c r="AK5" s="27"/>
      <c r="AL5" s="28"/>
    </row>
    <row r="6" spans="2:41" ht="13.5" customHeight="1">
      <c r="B6" s="65"/>
      <c r="C6" s="17">
        <v>2011</v>
      </c>
      <c r="D6" s="17">
        <f t="shared" ref="D6:I6" si="1">C6+1</f>
        <v>2012</v>
      </c>
      <c r="E6" s="17">
        <f t="shared" si="1"/>
        <v>2013</v>
      </c>
      <c r="F6" s="494">
        <f t="shared" si="1"/>
        <v>2014</v>
      </c>
      <c r="G6" s="15">
        <f t="shared" si="1"/>
        <v>2015</v>
      </c>
      <c r="H6" s="12">
        <f t="shared" si="1"/>
        <v>2016</v>
      </c>
      <c r="I6" s="12">
        <f t="shared" si="1"/>
        <v>2017</v>
      </c>
      <c r="K6" s="39">
        <v>1</v>
      </c>
      <c r="L6" s="39">
        <f>K6+1</f>
        <v>2</v>
      </c>
      <c r="M6" s="39">
        <f>L6+1</f>
        <v>3</v>
      </c>
      <c r="N6" s="39">
        <f>M6+1</f>
        <v>4</v>
      </c>
      <c r="O6" s="39">
        <v>1</v>
      </c>
      <c r="P6" s="39">
        <f>O6+1</f>
        <v>2</v>
      </c>
      <c r="Q6" s="39">
        <f>P6+1</f>
        <v>3</v>
      </c>
      <c r="R6" s="39">
        <f>Q6+1</f>
        <v>4</v>
      </c>
      <c r="S6" s="39">
        <v>1</v>
      </c>
      <c r="T6" s="39">
        <f>S6+1</f>
        <v>2</v>
      </c>
      <c r="U6" s="39">
        <f>T6+1</f>
        <v>3</v>
      </c>
      <c r="V6" s="39">
        <f>U6+1</f>
        <v>4</v>
      </c>
      <c r="W6" s="39">
        <v>1</v>
      </c>
      <c r="X6" s="39">
        <f>W6+1</f>
        <v>2</v>
      </c>
      <c r="Y6" s="39">
        <f>X6+1</f>
        <v>3</v>
      </c>
      <c r="Z6" s="39">
        <f>Y6+1</f>
        <v>4</v>
      </c>
      <c r="AA6" s="39">
        <v>1</v>
      </c>
      <c r="AB6" s="39">
        <f>AA6+1</f>
        <v>2</v>
      </c>
      <c r="AC6" s="39">
        <f>AB6+1</f>
        <v>3</v>
      </c>
      <c r="AD6" s="39">
        <f>AC6+1</f>
        <v>4</v>
      </c>
      <c r="AE6" s="39">
        <v>1</v>
      </c>
      <c r="AF6" s="39">
        <f>AE6+1</f>
        <v>2</v>
      </c>
      <c r="AG6" s="39">
        <f>AF6+1</f>
        <v>3</v>
      </c>
      <c r="AH6" s="39">
        <f>AG6+1</f>
        <v>4</v>
      </c>
      <c r="AI6" s="39">
        <v>1</v>
      </c>
      <c r="AJ6" s="39">
        <f>AI6+1</f>
        <v>2</v>
      </c>
      <c r="AK6" s="39">
        <f>AJ6+1</f>
        <v>3</v>
      </c>
      <c r="AL6" s="39">
        <f>AK6+1</f>
        <v>4</v>
      </c>
    </row>
    <row r="7" spans="2:41" ht="13.5" customHeight="1">
      <c r="B7" s="37" t="s">
        <v>34</v>
      </c>
      <c r="C7" s="57"/>
      <c r="D7" s="57"/>
      <c r="E7" s="57"/>
      <c r="F7" s="687"/>
      <c r="G7" s="53"/>
      <c r="H7" s="53"/>
      <c r="I7" s="53"/>
    </row>
    <row r="8" spans="2:41" s="47" customFormat="1" ht="13.5" customHeight="1">
      <c r="B8" s="667" t="s">
        <v>154</v>
      </c>
      <c r="C8" s="60">
        <f>N8</f>
        <v>1974</v>
      </c>
      <c r="D8" s="60">
        <f>R8</f>
        <v>4475</v>
      </c>
      <c r="E8" s="60">
        <f>V8</f>
        <v>2664</v>
      </c>
      <c r="F8" s="341">
        <f>Z8</f>
        <v>1631</v>
      </c>
      <c r="G8" s="60">
        <f>AD8</f>
        <v>1000</v>
      </c>
      <c r="H8" s="60">
        <f>AH8</f>
        <v>1000</v>
      </c>
      <c r="I8" s="60">
        <f>AL8</f>
        <v>1000</v>
      </c>
      <c r="J8" s="668"/>
      <c r="K8" s="697">
        <v>2088</v>
      </c>
      <c r="L8" s="698">
        <v>2267</v>
      </c>
      <c r="M8" s="698">
        <v>1976</v>
      </c>
      <c r="N8" s="717">
        <v>1974</v>
      </c>
      <c r="O8" s="698">
        <v>1852</v>
      </c>
      <c r="P8" s="698">
        <v>4306</v>
      </c>
      <c r="Q8" s="698">
        <v>3873</v>
      </c>
      <c r="R8" s="717">
        <v>4475</v>
      </c>
      <c r="S8" s="698">
        <v>2759</v>
      </c>
      <c r="T8" s="698">
        <v>2476</v>
      </c>
      <c r="U8" s="698">
        <v>3692</v>
      </c>
      <c r="V8" s="717">
        <v>2664</v>
      </c>
      <c r="W8" s="698">
        <v>2422</v>
      </c>
      <c r="X8" s="698">
        <v>2132</v>
      </c>
      <c r="Y8" s="698">
        <v>1704</v>
      </c>
      <c r="Z8" s="717">
        <v>1631</v>
      </c>
      <c r="AA8" s="699">
        <f>CF!AA40</f>
        <v>1000</v>
      </c>
      <c r="AB8" s="699">
        <f>CF!AB40</f>
        <v>1000</v>
      </c>
      <c r="AC8" s="699">
        <f>CF!AC40</f>
        <v>1000</v>
      </c>
      <c r="AD8" s="700">
        <f>CF!AD40</f>
        <v>1000</v>
      </c>
      <c r="AE8" s="699">
        <f>CF!AE40</f>
        <v>1000</v>
      </c>
      <c r="AF8" s="699">
        <f>CF!AF40</f>
        <v>1000</v>
      </c>
      <c r="AG8" s="699">
        <f>CF!AG40</f>
        <v>1000</v>
      </c>
      <c r="AH8" s="700">
        <f>CF!AH40</f>
        <v>1000</v>
      </c>
      <c r="AI8" s="699">
        <f>CF!AI40</f>
        <v>1000</v>
      </c>
      <c r="AJ8" s="699">
        <f>CF!AJ40</f>
        <v>1000</v>
      </c>
      <c r="AK8" s="699">
        <f>CF!AK40</f>
        <v>1000</v>
      </c>
      <c r="AL8" s="700">
        <f>CF!AL40</f>
        <v>1000</v>
      </c>
      <c r="AM8" s="60"/>
      <c r="AN8" s="60"/>
    </row>
    <row r="9" spans="2:41" s="47" customFormat="1" ht="13.5" customHeight="1">
      <c r="B9" s="667" t="s">
        <v>6</v>
      </c>
      <c r="C9" s="60">
        <f t="shared" ref="C9:C12" si="2">N9</f>
        <v>6361</v>
      </c>
      <c r="D9" s="60">
        <f t="shared" ref="D9:D12" si="3">R9</f>
        <v>6129</v>
      </c>
      <c r="E9" s="60">
        <f t="shared" ref="E9:E12" si="4">V9</f>
        <v>5403</v>
      </c>
      <c r="F9" s="341">
        <f t="shared" ref="F9:F12" si="5">Z9</f>
        <v>4708</v>
      </c>
      <c r="G9" s="60">
        <f t="shared" ref="G9:G12" si="6">AD9</f>
        <v>4255.7288237699759</v>
      </c>
      <c r="H9" s="60">
        <f t="shared" ref="H9:H12" si="7">AH9</f>
        <v>4339.0273666124012</v>
      </c>
      <c r="I9" s="60">
        <f t="shared" ref="I9:I12" si="8">AL9</f>
        <v>4482.3463122531621</v>
      </c>
      <c r="J9" s="668"/>
      <c r="K9" s="701">
        <v>7131</v>
      </c>
      <c r="L9" s="104">
        <v>6830</v>
      </c>
      <c r="M9" s="104">
        <v>6835</v>
      </c>
      <c r="N9" s="703">
        <v>6361</v>
      </c>
      <c r="O9" s="104">
        <v>7314</v>
      </c>
      <c r="P9" s="104">
        <v>5314</v>
      </c>
      <c r="Q9" s="104">
        <v>7110</v>
      </c>
      <c r="R9" s="703">
        <v>6129</v>
      </c>
      <c r="S9" s="104">
        <v>6265</v>
      </c>
      <c r="T9" s="104">
        <v>5989</v>
      </c>
      <c r="U9" s="104">
        <v>6245</v>
      </c>
      <c r="V9" s="703">
        <v>5403</v>
      </c>
      <c r="W9" s="104">
        <v>5900</v>
      </c>
      <c r="X9" s="104">
        <v>5248</v>
      </c>
      <c r="Y9" s="104">
        <v>5352</v>
      </c>
      <c r="Z9" s="703">
        <v>4708</v>
      </c>
      <c r="AA9" s="678">
        <f>WC!AA7</f>
        <v>5073.7549321387705</v>
      </c>
      <c r="AB9" s="678">
        <f>WC!AB7</f>
        <v>4584.7678568041729</v>
      </c>
      <c r="AC9" s="678">
        <f>WC!AC7</f>
        <v>4694.5162381152286</v>
      </c>
      <c r="AD9" s="702">
        <f>WC!AD7</f>
        <v>4255.7288237699759</v>
      </c>
      <c r="AE9" s="678">
        <f>WC!AE7</f>
        <v>5056.8943110495511</v>
      </c>
      <c r="AF9" s="678">
        <f>WC!AF7</f>
        <v>4652.4696967958753</v>
      </c>
      <c r="AG9" s="678">
        <f>WC!AG7</f>
        <v>4786.3006258913565</v>
      </c>
      <c r="AH9" s="702">
        <f>WC!AH7</f>
        <v>4339.0273666124012</v>
      </c>
      <c r="AI9" s="678">
        <f>WC!AI7</f>
        <v>5243.7855813648684</v>
      </c>
      <c r="AJ9" s="678">
        <f>WC!AJ7</f>
        <v>4809.2123503363564</v>
      </c>
      <c r="AK9" s="678">
        <f>WC!AK7</f>
        <v>4949.2353174574273</v>
      </c>
      <c r="AL9" s="702">
        <f>WC!AL7</f>
        <v>4482.3463122531621</v>
      </c>
      <c r="AM9" s="60"/>
      <c r="AN9" s="60"/>
    </row>
    <row r="10" spans="2:41" s="47" customFormat="1" ht="13.5" customHeight="1">
      <c r="B10" s="667" t="s">
        <v>26</v>
      </c>
      <c r="C10" s="60">
        <f t="shared" si="2"/>
        <v>5706</v>
      </c>
      <c r="D10" s="60">
        <f t="shared" si="3"/>
        <v>3741</v>
      </c>
      <c r="E10" s="60">
        <f t="shared" si="4"/>
        <v>3743</v>
      </c>
      <c r="F10" s="341">
        <f t="shared" si="5"/>
        <v>3480</v>
      </c>
      <c r="G10" s="60">
        <f t="shared" si="6"/>
        <v>3038.1346672335599</v>
      </c>
      <c r="H10" s="60">
        <f t="shared" si="7"/>
        <v>3076.9668842927294</v>
      </c>
      <c r="I10" s="60">
        <f t="shared" si="8"/>
        <v>3152.7574445159576</v>
      </c>
      <c r="J10" s="668"/>
      <c r="K10" s="701">
        <v>6116</v>
      </c>
      <c r="L10" s="104">
        <v>6414</v>
      </c>
      <c r="M10" s="104">
        <v>6399</v>
      </c>
      <c r="N10" s="703">
        <v>5706</v>
      </c>
      <c r="O10" s="104">
        <v>6286</v>
      </c>
      <c r="P10" s="104">
        <v>4117</v>
      </c>
      <c r="Q10" s="104">
        <v>6429</v>
      </c>
      <c r="R10" s="703">
        <v>3741</v>
      </c>
      <c r="S10" s="104">
        <v>3849</v>
      </c>
      <c r="T10" s="104">
        <v>3937</v>
      </c>
      <c r="U10" s="104">
        <v>4161</v>
      </c>
      <c r="V10" s="703">
        <v>3743</v>
      </c>
      <c r="W10" s="104">
        <v>4027</v>
      </c>
      <c r="X10" s="104">
        <v>4088</v>
      </c>
      <c r="Y10" s="104">
        <v>4122</v>
      </c>
      <c r="Z10" s="703">
        <v>3480</v>
      </c>
      <c r="AA10" s="678">
        <f>WC!AA11</f>
        <v>3466.374033338494</v>
      </c>
      <c r="AB10" s="678">
        <f>WC!AB11</f>
        <v>3515.9457058338021</v>
      </c>
      <c r="AC10" s="678">
        <f>WC!AC11</f>
        <v>3609.5803839600044</v>
      </c>
      <c r="AD10" s="702">
        <f>WC!AD11</f>
        <v>3038.1346672335599</v>
      </c>
      <c r="AE10" s="678">
        <f>WC!AE11</f>
        <v>3429.6594240973704</v>
      </c>
      <c r="AF10" s="678">
        <f>WC!AF11</f>
        <v>3545.3113351591373</v>
      </c>
      <c r="AG10" s="678">
        <f>WC!AG11</f>
        <v>3656.7547259481771</v>
      </c>
      <c r="AH10" s="702">
        <f>WC!AH11</f>
        <v>3076.9668842927294</v>
      </c>
      <c r="AI10" s="678">
        <f>WC!AI11</f>
        <v>3533.6142959090848</v>
      </c>
      <c r="AJ10" s="678">
        <f>WC!AJ11</f>
        <v>3634.9588528565528</v>
      </c>
      <c r="AK10" s="678">
        <f>WC!AK11</f>
        <v>3750.4957781370531</v>
      </c>
      <c r="AL10" s="702">
        <f>WC!AL11</f>
        <v>3152.7574445159576</v>
      </c>
      <c r="AM10" s="60"/>
      <c r="AN10" s="60"/>
    </row>
    <row r="11" spans="2:41" s="47" customFormat="1" ht="13.5" customHeight="1">
      <c r="B11" s="667" t="s">
        <v>20</v>
      </c>
      <c r="C11" s="60">
        <f t="shared" si="2"/>
        <v>912</v>
      </c>
      <c r="D11" s="60">
        <f t="shared" si="3"/>
        <v>1074</v>
      </c>
      <c r="E11" s="60">
        <f t="shared" si="4"/>
        <v>517</v>
      </c>
      <c r="F11" s="341">
        <f t="shared" si="5"/>
        <v>480</v>
      </c>
      <c r="G11" s="60">
        <f t="shared" si="6"/>
        <v>480</v>
      </c>
      <c r="H11" s="60">
        <f t="shared" si="7"/>
        <v>480</v>
      </c>
      <c r="I11" s="60">
        <f t="shared" si="8"/>
        <v>480</v>
      </c>
      <c r="J11" s="668"/>
      <c r="K11" s="701">
        <v>969</v>
      </c>
      <c r="L11" s="104">
        <v>919</v>
      </c>
      <c r="M11" s="104">
        <v>973</v>
      </c>
      <c r="N11" s="703">
        <v>912</v>
      </c>
      <c r="O11" s="104">
        <v>980</v>
      </c>
      <c r="P11" s="104">
        <v>925</v>
      </c>
      <c r="Q11" s="104">
        <v>1074</v>
      </c>
      <c r="R11" s="703">
        <v>1074</v>
      </c>
      <c r="S11" s="104">
        <v>545</v>
      </c>
      <c r="T11" s="104">
        <v>459</v>
      </c>
      <c r="U11" s="104">
        <v>488</v>
      </c>
      <c r="V11" s="703">
        <v>517</v>
      </c>
      <c r="W11" s="104">
        <v>517</v>
      </c>
      <c r="X11" s="104">
        <v>570</v>
      </c>
      <c r="Y11" s="104">
        <v>433</v>
      </c>
      <c r="Z11" s="703">
        <v>480</v>
      </c>
      <c r="AA11" s="679">
        <f>Z11</f>
        <v>480</v>
      </c>
      <c r="AB11" s="104">
        <f>AA11</f>
        <v>480</v>
      </c>
      <c r="AC11" s="104">
        <f t="shared" ref="AC11:AL12" si="9">AB11</f>
        <v>480</v>
      </c>
      <c r="AD11" s="703">
        <f t="shared" si="9"/>
        <v>480</v>
      </c>
      <c r="AE11" s="104">
        <f t="shared" si="9"/>
        <v>480</v>
      </c>
      <c r="AF11" s="104">
        <f t="shared" si="9"/>
        <v>480</v>
      </c>
      <c r="AG11" s="104">
        <f t="shared" si="9"/>
        <v>480</v>
      </c>
      <c r="AH11" s="703">
        <f t="shared" si="9"/>
        <v>480</v>
      </c>
      <c r="AI11" s="104">
        <f t="shared" si="9"/>
        <v>480</v>
      </c>
      <c r="AJ11" s="104">
        <f t="shared" si="9"/>
        <v>480</v>
      </c>
      <c r="AK11" s="104">
        <f t="shared" si="9"/>
        <v>480</v>
      </c>
      <c r="AL11" s="703">
        <f t="shared" si="9"/>
        <v>480</v>
      </c>
      <c r="AM11" s="60"/>
      <c r="AN11" s="60"/>
    </row>
    <row r="12" spans="2:41" s="47" customFormat="1" ht="13.5" customHeight="1">
      <c r="B12" s="667" t="s">
        <v>155</v>
      </c>
      <c r="C12" s="665">
        <f t="shared" si="2"/>
        <v>1249</v>
      </c>
      <c r="D12" s="665">
        <f t="shared" si="3"/>
        <v>203</v>
      </c>
      <c r="E12" s="665">
        <f t="shared" si="4"/>
        <v>889</v>
      </c>
      <c r="F12" s="688">
        <f t="shared" si="5"/>
        <v>1408</v>
      </c>
      <c r="G12" s="665">
        <f t="shared" si="6"/>
        <v>1408</v>
      </c>
      <c r="H12" s="665">
        <f t="shared" si="7"/>
        <v>1408</v>
      </c>
      <c r="I12" s="665">
        <f t="shared" si="8"/>
        <v>1408</v>
      </c>
      <c r="J12" s="668"/>
      <c r="K12" s="762">
        <v>1225</v>
      </c>
      <c r="L12" s="763">
        <v>1066</v>
      </c>
      <c r="M12" s="763">
        <v>1146</v>
      </c>
      <c r="N12" s="764">
        <v>1249</v>
      </c>
      <c r="O12" s="763">
        <v>1261</v>
      </c>
      <c r="P12" s="763">
        <v>1212</v>
      </c>
      <c r="Q12" s="763">
        <v>1031</v>
      </c>
      <c r="R12" s="764">
        <v>203</v>
      </c>
      <c r="S12" s="763">
        <v>877</v>
      </c>
      <c r="T12" s="763">
        <v>877</v>
      </c>
      <c r="U12" s="763">
        <v>877</v>
      </c>
      <c r="V12" s="764">
        <v>889</v>
      </c>
      <c r="W12" s="763">
        <v>836</v>
      </c>
      <c r="X12" s="763">
        <v>1062</v>
      </c>
      <c r="Y12" s="763">
        <v>1235</v>
      </c>
      <c r="Z12" s="764">
        <v>1408</v>
      </c>
      <c r="AA12" s="765">
        <f>Z12</f>
        <v>1408</v>
      </c>
      <c r="AB12" s="763">
        <f>AA12</f>
        <v>1408</v>
      </c>
      <c r="AC12" s="763">
        <f t="shared" si="9"/>
        <v>1408</v>
      </c>
      <c r="AD12" s="764">
        <f t="shared" si="9"/>
        <v>1408</v>
      </c>
      <c r="AE12" s="763">
        <f t="shared" si="9"/>
        <v>1408</v>
      </c>
      <c r="AF12" s="763">
        <f t="shared" si="9"/>
        <v>1408</v>
      </c>
      <c r="AG12" s="763">
        <f t="shared" si="9"/>
        <v>1408</v>
      </c>
      <c r="AH12" s="764">
        <f t="shared" si="9"/>
        <v>1408</v>
      </c>
      <c r="AI12" s="763">
        <f t="shared" si="9"/>
        <v>1408</v>
      </c>
      <c r="AJ12" s="763">
        <f t="shared" si="9"/>
        <v>1408</v>
      </c>
      <c r="AK12" s="763">
        <f t="shared" si="9"/>
        <v>1408</v>
      </c>
      <c r="AL12" s="764">
        <f t="shared" si="9"/>
        <v>1408</v>
      </c>
      <c r="AM12" s="60"/>
      <c r="AN12" s="60"/>
    </row>
    <row r="13" spans="2:41" s="66" customFormat="1" ht="13.5" customHeight="1">
      <c r="B13" s="669" t="s">
        <v>5</v>
      </c>
      <c r="C13" s="68">
        <f>SUM(C8:C12)</f>
        <v>16202</v>
      </c>
      <c r="D13" s="68">
        <f t="shared" ref="D13:I13" si="10">SUM(D8:D12)</f>
        <v>15622</v>
      </c>
      <c r="E13" s="68">
        <f t="shared" si="10"/>
        <v>13216</v>
      </c>
      <c r="F13" s="689">
        <f t="shared" si="10"/>
        <v>11707</v>
      </c>
      <c r="G13" s="68">
        <f t="shared" si="10"/>
        <v>10181.863491003536</v>
      </c>
      <c r="H13" s="68">
        <f t="shared" si="10"/>
        <v>10303.994250905131</v>
      </c>
      <c r="I13" s="68">
        <f t="shared" si="10"/>
        <v>10523.10375676912</v>
      </c>
      <c r="J13" s="670"/>
      <c r="K13" s="718">
        <f>SUM(K8:K12)</f>
        <v>17529</v>
      </c>
      <c r="L13" s="719">
        <f t="shared" ref="L13:AL13" si="11">SUM(L8:L12)</f>
        <v>17496</v>
      </c>
      <c r="M13" s="719">
        <f t="shared" si="11"/>
        <v>17329</v>
      </c>
      <c r="N13" s="720">
        <f t="shared" si="11"/>
        <v>16202</v>
      </c>
      <c r="O13" s="719">
        <f t="shared" si="11"/>
        <v>17693</v>
      </c>
      <c r="P13" s="719">
        <f t="shared" si="11"/>
        <v>15874</v>
      </c>
      <c r="Q13" s="719">
        <f t="shared" si="11"/>
        <v>19517</v>
      </c>
      <c r="R13" s="720">
        <f t="shared" si="11"/>
        <v>15622</v>
      </c>
      <c r="S13" s="719">
        <f t="shared" si="11"/>
        <v>14295</v>
      </c>
      <c r="T13" s="719">
        <f t="shared" si="11"/>
        <v>13738</v>
      </c>
      <c r="U13" s="719">
        <f t="shared" si="11"/>
        <v>15463</v>
      </c>
      <c r="V13" s="720">
        <f t="shared" si="11"/>
        <v>13216</v>
      </c>
      <c r="W13" s="719">
        <f t="shared" si="11"/>
        <v>13702</v>
      </c>
      <c r="X13" s="719">
        <f t="shared" si="11"/>
        <v>13100</v>
      </c>
      <c r="Y13" s="719">
        <f t="shared" si="11"/>
        <v>12846</v>
      </c>
      <c r="Z13" s="720">
        <f t="shared" si="11"/>
        <v>11707</v>
      </c>
      <c r="AA13" s="719">
        <f t="shared" si="11"/>
        <v>11428.128965477265</v>
      </c>
      <c r="AB13" s="719">
        <f t="shared" si="11"/>
        <v>10988.713562637975</v>
      </c>
      <c r="AC13" s="719">
        <f t="shared" si="11"/>
        <v>11192.096622075233</v>
      </c>
      <c r="AD13" s="720">
        <f t="shared" si="11"/>
        <v>10181.863491003536</v>
      </c>
      <c r="AE13" s="719">
        <f t="shared" si="11"/>
        <v>11374.553735146921</v>
      </c>
      <c r="AF13" s="719">
        <f t="shared" si="11"/>
        <v>11085.781031955012</v>
      </c>
      <c r="AG13" s="719">
        <f t="shared" si="11"/>
        <v>11331.055351839534</v>
      </c>
      <c r="AH13" s="720">
        <f t="shared" si="11"/>
        <v>10303.994250905131</v>
      </c>
      <c r="AI13" s="719">
        <f t="shared" si="11"/>
        <v>11665.399877273954</v>
      </c>
      <c r="AJ13" s="719">
        <f t="shared" si="11"/>
        <v>11332.171203192909</v>
      </c>
      <c r="AK13" s="719">
        <f t="shared" si="11"/>
        <v>11587.731095594481</v>
      </c>
      <c r="AL13" s="720">
        <f t="shared" si="11"/>
        <v>10523.10375676912</v>
      </c>
      <c r="AM13" s="68"/>
      <c r="AN13" s="68"/>
    </row>
    <row r="14" spans="2:41" s="673" customFormat="1" ht="13.5" customHeight="1">
      <c r="B14" s="671" t="s">
        <v>201</v>
      </c>
      <c r="C14" s="60">
        <f t="shared" ref="C14:C20" si="12">N14</f>
        <v>23932</v>
      </c>
      <c r="D14" s="60">
        <f t="shared" ref="D14:D20" si="13">R14</f>
        <v>16856</v>
      </c>
      <c r="E14" s="60">
        <f t="shared" ref="E14:E20" si="14">V14</f>
        <v>17614</v>
      </c>
      <c r="F14" s="341">
        <f t="shared" ref="F14:F20" si="15">Z14</f>
        <v>18159</v>
      </c>
      <c r="G14" s="60">
        <f t="shared" ref="G14:G20" si="16">AD14</f>
        <v>19998.0579</v>
      </c>
      <c r="H14" s="60">
        <f t="shared" ref="H14:H20" si="17">AH14</f>
        <v>21640.532359999997</v>
      </c>
      <c r="I14" s="60">
        <f t="shared" ref="I14:I20" si="18">AL14</f>
        <v>23585.053971559995</v>
      </c>
      <c r="J14" s="672"/>
      <c r="K14" s="701">
        <v>24837</v>
      </c>
      <c r="L14" s="104">
        <v>25420</v>
      </c>
      <c r="M14" s="104">
        <v>25435</v>
      </c>
      <c r="N14" s="703">
        <v>23932</v>
      </c>
      <c r="O14" s="104">
        <v>24658</v>
      </c>
      <c r="P14" s="104">
        <v>20461</v>
      </c>
      <c r="Q14" s="104">
        <v>25331</v>
      </c>
      <c r="R14" s="703">
        <v>16856</v>
      </c>
      <c r="S14" s="104">
        <v>16719</v>
      </c>
      <c r="T14" s="104">
        <v>16633</v>
      </c>
      <c r="U14" s="104">
        <v>17353</v>
      </c>
      <c r="V14" s="703">
        <v>17614</v>
      </c>
      <c r="W14" s="104">
        <v>17777</v>
      </c>
      <c r="X14" s="104">
        <v>18289</v>
      </c>
      <c r="Y14" s="104">
        <v>18222</v>
      </c>
      <c r="Z14" s="703">
        <v>18159</v>
      </c>
      <c r="AA14" s="104">
        <f>AA16+AA15</f>
        <v>18612.229500000001</v>
      </c>
      <c r="AB14" s="104">
        <f t="shared" ref="AB14:AL14" si="19">AB16+AB15</f>
        <v>19062.463499999998</v>
      </c>
      <c r="AC14" s="682">
        <f t="shared" si="19"/>
        <v>19508.9604</v>
      </c>
      <c r="AD14" s="708">
        <f t="shared" si="19"/>
        <v>19998.0579</v>
      </c>
      <c r="AE14" s="682">
        <f t="shared" si="19"/>
        <v>20453.548694999998</v>
      </c>
      <c r="AF14" s="682">
        <f t="shared" si="19"/>
        <v>20837.777797499999</v>
      </c>
      <c r="AG14" s="682">
        <f t="shared" si="19"/>
        <v>21220.503728749998</v>
      </c>
      <c r="AH14" s="708">
        <f t="shared" si="19"/>
        <v>21640.532359999997</v>
      </c>
      <c r="AI14" s="682">
        <f t="shared" si="19"/>
        <v>22112.857055029999</v>
      </c>
      <c r="AJ14" s="682">
        <f t="shared" si="19"/>
        <v>22589.465686279997</v>
      </c>
      <c r="AK14" s="682">
        <f t="shared" si="19"/>
        <v>23064.371257969997</v>
      </c>
      <c r="AL14" s="708">
        <f t="shared" si="19"/>
        <v>23585.053971559995</v>
      </c>
      <c r="AM14" s="60"/>
      <c r="AN14" s="60"/>
      <c r="AO14" s="47"/>
    </row>
    <row r="15" spans="2:41" s="673" customFormat="1" ht="13.5" customHeight="1">
      <c r="B15" s="671" t="s">
        <v>202</v>
      </c>
      <c r="C15" s="60">
        <f t="shared" si="12"/>
        <v>10119</v>
      </c>
      <c r="D15" s="60">
        <f t="shared" si="13"/>
        <v>6846</v>
      </c>
      <c r="E15" s="60">
        <f t="shared" si="14"/>
        <v>7367</v>
      </c>
      <c r="F15" s="341">
        <f t="shared" si="15"/>
        <v>8332</v>
      </c>
      <c r="G15" s="60">
        <f t="shared" si="16"/>
        <v>9251.5289499999999</v>
      </c>
      <c r="H15" s="60">
        <f t="shared" si="17"/>
        <v>10191.464546500001</v>
      </c>
      <c r="I15" s="60">
        <f t="shared" si="18"/>
        <v>11163.72535228</v>
      </c>
      <c r="J15" s="672"/>
      <c r="K15" s="701">
        <v>10834</v>
      </c>
      <c r="L15" s="104">
        <v>11204</v>
      </c>
      <c r="M15" s="104">
        <v>11579</v>
      </c>
      <c r="N15" s="703">
        <v>10119</v>
      </c>
      <c r="O15" s="104">
        <v>10574</v>
      </c>
      <c r="P15" s="104">
        <v>10926</v>
      </c>
      <c r="Q15" s="104">
        <v>11282</v>
      </c>
      <c r="R15" s="703">
        <v>6846</v>
      </c>
      <c r="S15" s="104">
        <v>6874</v>
      </c>
      <c r="T15" s="104">
        <v>6930</v>
      </c>
      <c r="U15" s="104">
        <v>7268</v>
      </c>
      <c r="V15" s="703">
        <v>7367</v>
      </c>
      <c r="W15" s="104">
        <v>7535</v>
      </c>
      <c r="X15" s="104">
        <v>7806</v>
      </c>
      <c r="Y15" s="104">
        <v>8070</v>
      </c>
      <c r="Z15" s="703">
        <v>8332</v>
      </c>
      <c r="AA15" s="104">
        <f>Z15+CF!AA9</f>
        <v>8558.6147500000006</v>
      </c>
      <c r="AB15" s="104">
        <f>AA15+CF!AB9</f>
        <v>8783.7317500000008</v>
      </c>
      <c r="AC15" s="104">
        <f>AB15+CF!AC9</f>
        <v>9006.9802</v>
      </c>
      <c r="AD15" s="708">
        <f>AC15+CF!AD9</f>
        <v>9251.5289499999999</v>
      </c>
      <c r="AE15" s="682">
        <f>AD15+CF!AE9</f>
        <v>9479.2743475000007</v>
      </c>
      <c r="AF15" s="682">
        <f>AE15+CF!AF9</f>
        <v>9709.8118090000007</v>
      </c>
      <c r="AG15" s="682">
        <f>AF15+CF!AG9</f>
        <v>9939.4473677500009</v>
      </c>
      <c r="AH15" s="708">
        <f>AG15+CF!AH9</f>
        <v>10191.464546500001</v>
      </c>
      <c r="AI15" s="682">
        <f>AH15+CF!AI9</f>
        <v>10427.626894015</v>
      </c>
      <c r="AJ15" s="682">
        <f>AI15+CF!AJ9</f>
        <v>10665.931209640001</v>
      </c>
      <c r="AK15" s="682">
        <f>AJ15+CF!AK9</f>
        <v>10903.383995485001</v>
      </c>
      <c r="AL15" s="708">
        <f>AK15+CF!AL9</f>
        <v>11163.72535228</v>
      </c>
      <c r="AM15" s="60"/>
      <c r="AN15" s="60"/>
      <c r="AO15" s="47"/>
    </row>
    <row r="16" spans="2:41" s="673" customFormat="1" ht="13.5" customHeight="1">
      <c r="B16" s="671" t="s">
        <v>58</v>
      </c>
      <c r="C16" s="60">
        <f t="shared" si="12"/>
        <v>13813</v>
      </c>
      <c r="D16" s="60">
        <f t="shared" si="13"/>
        <v>10010</v>
      </c>
      <c r="E16" s="60">
        <f t="shared" si="14"/>
        <v>10247</v>
      </c>
      <c r="F16" s="341">
        <f t="shared" si="15"/>
        <v>9827</v>
      </c>
      <c r="G16" s="60">
        <f t="shared" si="16"/>
        <v>10746.52895</v>
      </c>
      <c r="H16" s="60">
        <f t="shared" si="17"/>
        <v>11449.067813499996</v>
      </c>
      <c r="I16" s="60">
        <f t="shared" si="18"/>
        <v>12421.328619279997</v>
      </c>
      <c r="J16" s="672"/>
      <c r="K16" s="701">
        <f>K14-K15</f>
        <v>14003</v>
      </c>
      <c r="L16" s="104">
        <f t="shared" ref="L16:Z16" si="20">L14-L15</f>
        <v>14216</v>
      </c>
      <c r="M16" s="104">
        <f t="shared" si="20"/>
        <v>13856</v>
      </c>
      <c r="N16" s="703">
        <f t="shared" si="20"/>
        <v>13813</v>
      </c>
      <c r="O16" s="104">
        <f t="shared" si="20"/>
        <v>14084</v>
      </c>
      <c r="P16" s="104">
        <f t="shared" si="20"/>
        <v>9535</v>
      </c>
      <c r="Q16" s="104">
        <f t="shared" si="20"/>
        <v>14049</v>
      </c>
      <c r="R16" s="703">
        <f t="shared" si="20"/>
        <v>10010</v>
      </c>
      <c r="S16" s="104">
        <f t="shared" si="20"/>
        <v>9845</v>
      </c>
      <c r="T16" s="104">
        <f t="shared" si="20"/>
        <v>9703</v>
      </c>
      <c r="U16" s="104">
        <f t="shared" si="20"/>
        <v>10085</v>
      </c>
      <c r="V16" s="703">
        <f t="shared" si="20"/>
        <v>10247</v>
      </c>
      <c r="W16" s="104">
        <f t="shared" si="20"/>
        <v>10242</v>
      </c>
      <c r="X16" s="104">
        <f t="shared" si="20"/>
        <v>10483</v>
      </c>
      <c r="Y16" s="104">
        <f t="shared" si="20"/>
        <v>10152</v>
      </c>
      <c r="Z16" s="703">
        <f t="shared" si="20"/>
        <v>9827</v>
      </c>
      <c r="AA16" s="104">
        <f>Z16-CF!AA9-CF!AA23</f>
        <v>10053.614749999999</v>
      </c>
      <c r="AB16" s="104">
        <f>AA16-CF!AB9-CF!AB23</f>
        <v>10278.731749999999</v>
      </c>
      <c r="AC16" s="104">
        <f>AB16-CF!AC9-CF!AC23</f>
        <v>10501.9802</v>
      </c>
      <c r="AD16" s="703">
        <f>AC16-CF!AD9-CF!AD23</f>
        <v>10746.52895</v>
      </c>
      <c r="AE16" s="104">
        <f>AD16-CF!AE9-CF!AE23</f>
        <v>10974.274347499999</v>
      </c>
      <c r="AF16" s="104">
        <f>AE16-CF!AF9-CF!AF23</f>
        <v>11127.965988499998</v>
      </c>
      <c r="AG16" s="104">
        <f>AF16-CF!AG9-CF!AG23</f>
        <v>11281.056360999997</v>
      </c>
      <c r="AH16" s="703">
        <f>AG16-CF!AH9-CF!AH23</f>
        <v>11449.067813499996</v>
      </c>
      <c r="AI16" s="104">
        <f>AH16-CF!AI9-CF!AI23</f>
        <v>11685.230161014997</v>
      </c>
      <c r="AJ16" s="104">
        <f>AI16-CF!AJ9-CF!AJ23</f>
        <v>11923.534476639996</v>
      </c>
      <c r="AK16" s="104">
        <f>AJ16-CF!AK9-CF!AK23</f>
        <v>12160.987262484996</v>
      </c>
      <c r="AL16" s="703">
        <f>AK16-CF!AL9-CF!AL23</f>
        <v>12421.328619279997</v>
      </c>
      <c r="AM16" s="60"/>
      <c r="AN16" s="60"/>
      <c r="AO16" s="47"/>
    </row>
    <row r="17" spans="2:41" s="673" customFormat="1" ht="13.5" customHeight="1">
      <c r="B17" s="671" t="s">
        <v>156</v>
      </c>
      <c r="C17" s="60">
        <f t="shared" si="12"/>
        <v>37297</v>
      </c>
      <c r="D17" s="60">
        <f t="shared" si="13"/>
        <v>25801</v>
      </c>
      <c r="E17" s="60">
        <f t="shared" si="14"/>
        <v>25597</v>
      </c>
      <c r="F17" s="341">
        <f t="shared" si="15"/>
        <v>23389</v>
      </c>
      <c r="G17" s="60">
        <f t="shared" si="16"/>
        <v>23389</v>
      </c>
      <c r="H17" s="60">
        <f t="shared" si="17"/>
        <v>23389</v>
      </c>
      <c r="I17" s="60">
        <f t="shared" si="18"/>
        <v>23389</v>
      </c>
      <c r="J17" s="672"/>
      <c r="K17" s="701">
        <v>38592</v>
      </c>
      <c r="L17" s="104">
        <v>39063</v>
      </c>
      <c r="M17" s="104">
        <v>37592</v>
      </c>
      <c r="N17" s="703">
        <v>37297</v>
      </c>
      <c r="O17" s="104">
        <v>37940</v>
      </c>
      <c r="P17" s="104">
        <v>25825</v>
      </c>
      <c r="Q17" s="104">
        <v>25825</v>
      </c>
      <c r="R17" s="703">
        <v>25801</v>
      </c>
      <c r="S17" s="104">
        <v>25552</v>
      </c>
      <c r="T17" s="104">
        <v>25181</v>
      </c>
      <c r="U17" s="104">
        <v>25679</v>
      </c>
      <c r="V17" s="703">
        <v>25597</v>
      </c>
      <c r="W17" s="104">
        <v>25408</v>
      </c>
      <c r="X17" s="104">
        <v>25527</v>
      </c>
      <c r="Y17" s="104">
        <v>24399</v>
      </c>
      <c r="Z17" s="703">
        <v>23389</v>
      </c>
      <c r="AA17" s="679">
        <f>Z17</f>
        <v>23389</v>
      </c>
      <c r="AB17" s="104">
        <f t="shared" ref="AB17:AL20" si="21">AA17</f>
        <v>23389</v>
      </c>
      <c r="AC17" s="104">
        <f t="shared" si="21"/>
        <v>23389</v>
      </c>
      <c r="AD17" s="708">
        <f t="shared" si="21"/>
        <v>23389</v>
      </c>
      <c r="AE17" s="682">
        <f t="shared" si="21"/>
        <v>23389</v>
      </c>
      <c r="AF17" s="682">
        <f t="shared" si="21"/>
        <v>23389</v>
      </c>
      <c r="AG17" s="682">
        <f t="shared" si="21"/>
        <v>23389</v>
      </c>
      <c r="AH17" s="708">
        <f t="shared" si="21"/>
        <v>23389</v>
      </c>
      <c r="AI17" s="682">
        <f t="shared" si="21"/>
        <v>23389</v>
      </c>
      <c r="AJ17" s="682">
        <f t="shared" si="21"/>
        <v>23389</v>
      </c>
      <c r="AK17" s="682">
        <f t="shared" si="21"/>
        <v>23389</v>
      </c>
      <c r="AL17" s="708">
        <f t="shared" si="21"/>
        <v>23389</v>
      </c>
      <c r="AM17" s="60"/>
      <c r="AN17" s="60"/>
      <c r="AO17" s="47"/>
    </row>
    <row r="18" spans="2:41" s="673" customFormat="1" ht="13.5" customHeight="1">
      <c r="B18" s="671" t="s">
        <v>157</v>
      </c>
      <c r="C18" s="60">
        <f t="shared" si="12"/>
        <v>31</v>
      </c>
      <c r="D18" s="60">
        <f t="shared" si="13"/>
        <v>18</v>
      </c>
      <c r="E18" s="60">
        <f t="shared" si="14"/>
        <v>54</v>
      </c>
      <c r="F18" s="341">
        <f t="shared" si="15"/>
        <v>53</v>
      </c>
      <c r="G18" s="60">
        <f t="shared" si="16"/>
        <v>53</v>
      </c>
      <c r="H18" s="60">
        <f t="shared" si="17"/>
        <v>53</v>
      </c>
      <c r="I18" s="60">
        <f t="shared" si="18"/>
        <v>53</v>
      </c>
      <c r="J18" s="672"/>
      <c r="K18" s="701">
        <v>117</v>
      </c>
      <c r="L18" s="104">
        <v>153</v>
      </c>
      <c r="M18" s="104">
        <v>169</v>
      </c>
      <c r="N18" s="703">
        <v>31</v>
      </c>
      <c r="O18" s="104">
        <v>33</v>
      </c>
      <c r="P18" s="104">
        <v>16</v>
      </c>
      <c r="Q18" s="104">
        <v>16</v>
      </c>
      <c r="R18" s="703">
        <v>18</v>
      </c>
      <c r="S18" s="104">
        <v>30</v>
      </c>
      <c r="T18" s="104">
        <v>30</v>
      </c>
      <c r="U18" s="104">
        <v>30</v>
      </c>
      <c r="V18" s="703">
        <v>54</v>
      </c>
      <c r="W18" s="104">
        <v>55</v>
      </c>
      <c r="X18" s="104">
        <v>0</v>
      </c>
      <c r="Y18" s="104">
        <v>65</v>
      </c>
      <c r="Z18" s="703">
        <v>53</v>
      </c>
      <c r="AA18" s="679">
        <f>Z18</f>
        <v>53</v>
      </c>
      <c r="AB18" s="104">
        <f t="shared" si="21"/>
        <v>53</v>
      </c>
      <c r="AC18" s="104">
        <f t="shared" si="21"/>
        <v>53</v>
      </c>
      <c r="AD18" s="708">
        <f t="shared" si="21"/>
        <v>53</v>
      </c>
      <c r="AE18" s="682">
        <f t="shared" si="21"/>
        <v>53</v>
      </c>
      <c r="AF18" s="682">
        <f t="shared" si="21"/>
        <v>53</v>
      </c>
      <c r="AG18" s="682">
        <f t="shared" si="21"/>
        <v>53</v>
      </c>
      <c r="AH18" s="708">
        <f t="shared" si="21"/>
        <v>53</v>
      </c>
      <c r="AI18" s="682">
        <f t="shared" si="21"/>
        <v>53</v>
      </c>
      <c r="AJ18" s="682">
        <f t="shared" si="21"/>
        <v>53</v>
      </c>
      <c r="AK18" s="682">
        <f t="shared" si="21"/>
        <v>53</v>
      </c>
      <c r="AL18" s="708">
        <f t="shared" si="21"/>
        <v>53</v>
      </c>
      <c r="AM18" s="60"/>
      <c r="AN18" s="60"/>
      <c r="AO18" s="47"/>
    </row>
    <row r="19" spans="2:41" s="673" customFormat="1" ht="13.5" customHeight="1">
      <c r="B19" s="671" t="s">
        <v>158</v>
      </c>
      <c r="C19" s="60">
        <f t="shared" si="12"/>
        <v>25186</v>
      </c>
      <c r="D19" s="60">
        <f t="shared" si="13"/>
        <v>22552</v>
      </c>
      <c r="E19" s="60">
        <f t="shared" si="14"/>
        <v>21994</v>
      </c>
      <c r="F19" s="341">
        <f t="shared" si="15"/>
        <v>20335</v>
      </c>
      <c r="G19" s="60">
        <f t="shared" si="16"/>
        <v>20335</v>
      </c>
      <c r="H19" s="60">
        <f t="shared" si="17"/>
        <v>20335</v>
      </c>
      <c r="I19" s="60">
        <f t="shared" si="18"/>
        <v>20335</v>
      </c>
      <c r="J19" s="672"/>
      <c r="K19" s="701">
        <v>26351</v>
      </c>
      <c r="L19" s="104">
        <v>26509</v>
      </c>
      <c r="M19" s="104">
        <v>25416</v>
      </c>
      <c r="N19" s="703">
        <v>25186</v>
      </c>
      <c r="O19" s="104">
        <v>25602</v>
      </c>
      <c r="P19" s="104">
        <v>22349</v>
      </c>
      <c r="Q19" s="104">
        <v>22349</v>
      </c>
      <c r="R19" s="703">
        <v>22552</v>
      </c>
      <c r="S19" s="104">
        <v>22230</v>
      </c>
      <c r="T19" s="104">
        <v>21839</v>
      </c>
      <c r="U19" s="104">
        <v>22081</v>
      </c>
      <c r="V19" s="703">
        <v>21994</v>
      </c>
      <c r="W19" s="104">
        <v>21992</v>
      </c>
      <c r="X19" s="104">
        <v>22066</v>
      </c>
      <c r="Y19" s="104">
        <v>21110</v>
      </c>
      <c r="Z19" s="703">
        <v>20335</v>
      </c>
      <c r="AA19" s="679">
        <f>Z19</f>
        <v>20335</v>
      </c>
      <c r="AB19" s="104">
        <f t="shared" si="21"/>
        <v>20335</v>
      </c>
      <c r="AC19" s="104">
        <f t="shared" si="21"/>
        <v>20335</v>
      </c>
      <c r="AD19" s="708">
        <f t="shared" si="21"/>
        <v>20335</v>
      </c>
      <c r="AE19" s="682">
        <f t="shared" si="21"/>
        <v>20335</v>
      </c>
      <c r="AF19" s="682">
        <f t="shared" si="21"/>
        <v>20335</v>
      </c>
      <c r="AG19" s="682">
        <f t="shared" si="21"/>
        <v>20335</v>
      </c>
      <c r="AH19" s="708">
        <f t="shared" si="21"/>
        <v>20335</v>
      </c>
      <c r="AI19" s="682">
        <f t="shared" si="21"/>
        <v>20335</v>
      </c>
      <c r="AJ19" s="682">
        <f t="shared" si="21"/>
        <v>20335</v>
      </c>
      <c r="AK19" s="682">
        <f t="shared" si="21"/>
        <v>20335</v>
      </c>
      <c r="AL19" s="708">
        <f t="shared" si="21"/>
        <v>20335</v>
      </c>
      <c r="AM19" s="60"/>
      <c r="AN19" s="60"/>
      <c r="AO19" s="47"/>
    </row>
    <row r="20" spans="2:41" s="673" customFormat="1" ht="13.5" customHeight="1">
      <c r="B20" s="671" t="s">
        <v>39</v>
      </c>
      <c r="C20" s="665">
        <f t="shared" si="12"/>
        <v>1308</v>
      </c>
      <c r="D20" s="665">
        <f t="shared" si="13"/>
        <v>1475</v>
      </c>
      <c r="E20" s="665">
        <f t="shared" si="14"/>
        <v>1449</v>
      </c>
      <c r="F20" s="688">
        <f t="shared" si="15"/>
        <v>1461</v>
      </c>
      <c r="G20" s="665">
        <f t="shared" si="16"/>
        <v>1461</v>
      </c>
      <c r="H20" s="665">
        <f t="shared" si="17"/>
        <v>1461</v>
      </c>
      <c r="I20" s="665">
        <f t="shared" si="18"/>
        <v>1461</v>
      </c>
      <c r="J20" s="672"/>
      <c r="K20" s="704">
        <v>1677</v>
      </c>
      <c r="L20" s="283">
        <v>1590</v>
      </c>
      <c r="M20" s="283">
        <v>1470</v>
      </c>
      <c r="N20" s="705">
        <v>1308</v>
      </c>
      <c r="O20" s="283">
        <v>1295</v>
      </c>
      <c r="P20" s="283">
        <v>1284</v>
      </c>
      <c r="Q20" s="283">
        <v>1284</v>
      </c>
      <c r="R20" s="705">
        <v>1475</v>
      </c>
      <c r="S20" s="283">
        <v>1346</v>
      </c>
      <c r="T20" s="283">
        <v>1332</v>
      </c>
      <c r="U20" s="283">
        <v>1521</v>
      </c>
      <c r="V20" s="705">
        <v>1449</v>
      </c>
      <c r="W20" s="283">
        <v>1561</v>
      </c>
      <c r="X20" s="283">
        <v>1504</v>
      </c>
      <c r="Y20" s="283">
        <v>1395</v>
      </c>
      <c r="Z20" s="705">
        <v>1461</v>
      </c>
      <c r="AA20" s="680">
        <f>Z20</f>
        <v>1461</v>
      </c>
      <c r="AB20" s="283">
        <f t="shared" si="21"/>
        <v>1461</v>
      </c>
      <c r="AC20" s="283">
        <f t="shared" si="21"/>
        <v>1461</v>
      </c>
      <c r="AD20" s="709">
        <f t="shared" si="21"/>
        <v>1461</v>
      </c>
      <c r="AE20" s="683">
        <f t="shared" si="21"/>
        <v>1461</v>
      </c>
      <c r="AF20" s="683">
        <f t="shared" si="21"/>
        <v>1461</v>
      </c>
      <c r="AG20" s="683">
        <f t="shared" si="21"/>
        <v>1461</v>
      </c>
      <c r="AH20" s="709">
        <f t="shared" si="21"/>
        <v>1461</v>
      </c>
      <c r="AI20" s="683">
        <f t="shared" si="21"/>
        <v>1461</v>
      </c>
      <c r="AJ20" s="683">
        <f t="shared" si="21"/>
        <v>1461</v>
      </c>
      <c r="AK20" s="683">
        <f t="shared" si="21"/>
        <v>1461</v>
      </c>
      <c r="AL20" s="709">
        <f t="shared" si="21"/>
        <v>1461</v>
      </c>
      <c r="AM20" s="665"/>
      <c r="AN20" s="665"/>
      <c r="AO20" s="47"/>
    </row>
    <row r="21" spans="2:41" s="66" customFormat="1" ht="13.5" customHeight="1">
      <c r="B21" s="669" t="s">
        <v>4</v>
      </c>
      <c r="C21" s="68">
        <f>SUM(C16:C20)+C13</f>
        <v>93837</v>
      </c>
      <c r="D21" s="68">
        <f t="shared" ref="D21:I21" si="22">SUM(D16:D20)+D13</f>
        <v>75478</v>
      </c>
      <c r="E21" s="68">
        <f t="shared" si="22"/>
        <v>72557</v>
      </c>
      <c r="F21" s="689">
        <f t="shared" si="22"/>
        <v>66772</v>
      </c>
      <c r="G21" s="68">
        <f t="shared" si="22"/>
        <v>66166.39244100354</v>
      </c>
      <c r="H21" s="68">
        <f t="shared" si="22"/>
        <v>66991.062064405123</v>
      </c>
      <c r="I21" s="68">
        <f t="shared" si="22"/>
        <v>68182.432376049124</v>
      </c>
      <c r="K21" s="718">
        <f>K13+SUM(K16:K20)</f>
        <v>98269</v>
      </c>
      <c r="L21" s="719">
        <f t="shared" ref="L21:AL21" si="23">L13+SUM(L16:L20)</f>
        <v>99027</v>
      </c>
      <c r="M21" s="719">
        <f t="shared" si="23"/>
        <v>95832</v>
      </c>
      <c r="N21" s="720">
        <f t="shared" si="23"/>
        <v>93837</v>
      </c>
      <c r="O21" s="719">
        <f t="shared" si="23"/>
        <v>96647</v>
      </c>
      <c r="P21" s="719">
        <f t="shared" si="23"/>
        <v>74883</v>
      </c>
      <c r="Q21" s="719">
        <f t="shared" si="23"/>
        <v>83040</v>
      </c>
      <c r="R21" s="720">
        <f t="shared" si="23"/>
        <v>75478</v>
      </c>
      <c r="S21" s="719">
        <f t="shared" si="23"/>
        <v>73298</v>
      </c>
      <c r="T21" s="719">
        <f t="shared" si="23"/>
        <v>71823</v>
      </c>
      <c r="U21" s="719">
        <f t="shared" si="23"/>
        <v>74859</v>
      </c>
      <c r="V21" s="720">
        <f t="shared" si="23"/>
        <v>72557</v>
      </c>
      <c r="W21" s="719">
        <f t="shared" si="23"/>
        <v>72960</v>
      </c>
      <c r="X21" s="719">
        <f t="shared" si="23"/>
        <v>72680</v>
      </c>
      <c r="Y21" s="719">
        <f t="shared" si="23"/>
        <v>69967</v>
      </c>
      <c r="Z21" s="720">
        <f t="shared" si="23"/>
        <v>66772</v>
      </c>
      <c r="AA21" s="719">
        <f t="shared" si="23"/>
        <v>66719.743715477263</v>
      </c>
      <c r="AB21" s="719">
        <f t="shared" si="23"/>
        <v>66505.445312637981</v>
      </c>
      <c r="AC21" s="719">
        <f t="shared" si="23"/>
        <v>66932.076822075236</v>
      </c>
      <c r="AD21" s="720">
        <f t="shared" si="23"/>
        <v>66166.39244100354</v>
      </c>
      <c r="AE21" s="719">
        <f t="shared" si="23"/>
        <v>67586.828082646927</v>
      </c>
      <c r="AF21" s="719">
        <f t="shared" si="23"/>
        <v>67451.747020455019</v>
      </c>
      <c r="AG21" s="719">
        <f t="shared" si="23"/>
        <v>67850.111712839527</v>
      </c>
      <c r="AH21" s="720">
        <f t="shared" si="23"/>
        <v>66991.062064405123</v>
      </c>
      <c r="AI21" s="719">
        <f t="shared" si="23"/>
        <v>68588.630038288946</v>
      </c>
      <c r="AJ21" s="719">
        <f t="shared" si="23"/>
        <v>68493.705679832899</v>
      </c>
      <c r="AK21" s="719">
        <f t="shared" si="23"/>
        <v>68986.718358079481</v>
      </c>
      <c r="AL21" s="720">
        <f t="shared" si="23"/>
        <v>68182.432376049124</v>
      </c>
      <c r="AM21" s="68"/>
      <c r="AN21" s="68"/>
    </row>
    <row r="22" spans="2:41" s="66" customFormat="1" ht="13.5" customHeight="1">
      <c r="B22" s="674" t="s">
        <v>35</v>
      </c>
      <c r="C22" s="69"/>
      <c r="D22" s="69"/>
      <c r="E22" s="69"/>
      <c r="F22" s="690"/>
      <c r="G22" s="69"/>
      <c r="H22" s="70"/>
      <c r="I22" s="70"/>
      <c r="K22" s="701"/>
      <c r="L22" s="104"/>
      <c r="M22" s="104"/>
      <c r="N22" s="703"/>
      <c r="O22" s="104"/>
      <c r="P22" s="104"/>
      <c r="Q22" s="104"/>
      <c r="R22" s="703"/>
      <c r="S22" s="104"/>
      <c r="T22" s="104"/>
      <c r="U22" s="104"/>
      <c r="V22" s="703"/>
      <c r="W22" s="104"/>
      <c r="X22" s="104"/>
      <c r="Y22" s="104"/>
      <c r="Z22" s="703"/>
      <c r="AA22" s="104"/>
      <c r="AB22" s="104"/>
      <c r="AC22" s="684"/>
      <c r="AD22" s="710"/>
      <c r="AE22" s="684"/>
      <c r="AF22" s="684"/>
      <c r="AG22" s="684"/>
      <c r="AH22" s="710"/>
      <c r="AI22" s="684"/>
      <c r="AJ22" s="684"/>
      <c r="AK22" s="684"/>
      <c r="AL22" s="710"/>
      <c r="AM22" s="68"/>
      <c r="AN22" s="68"/>
    </row>
    <row r="23" spans="2:41" s="47" customFormat="1" ht="13.5" customHeight="1">
      <c r="B23" s="671" t="s">
        <v>159</v>
      </c>
      <c r="C23" s="60">
        <f t="shared" ref="C23:C26" si="24">N23</f>
        <v>182</v>
      </c>
      <c r="D23" s="60">
        <f t="shared" ref="D23:D26" si="25">R23</f>
        <v>274</v>
      </c>
      <c r="E23" s="60">
        <f t="shared" ref="E23:E26" si="26">V23</f>
        <v>1636</v>
      </c>
      <c r="F23" s="341">
        <f t="shared" ref="F23:F26" si="27">Z23</f>
        <v>1305</v>
      </c>
      <c r="G23" s="60">
        <f t="shared" ref="G23:G26" si="28">AD23</f>
        <v>752.71254376924344</v>
      </c>
      <c r="H23" s="60">
        <f t="shared" ref="H23:H26" si="29">AH23</f>
        <v>925.5675698811101</v>
      </c>
      <c r="I23" s="60">
        <f t="shared" ref="I23:I26" si="30">AL23</f>
        <v>1351.3166823470815</v>
      </c>
      <c r="K23" s="701">
        <v>1812</v>
      </c>
      <c r="L23" s="104">
        <v>1242</v>
      </c>
      <c r="M23" s="104">
        <v>896</v>
      </c>
      <c r="N23" s="703">
        <v>182</v>
      </c>
      <c r="O23" s="104">
        <v>3320</v>
      </c>
      <c r="P23" s="104">
        <v>245</v>
      </c>
      <c r="Q23" s="104">
        <v>260</v>
      </c>
      <c r="R23" s="703">
        <v>274</v>
      </c>
      <c r="S23" s="104">
        <v>203</v>
      </c>
      <c r="T23" s="104">
        <v>756</v>
      </c>
      <c r="U23" s="104">
        <v>2527</v>
      </c>
      <c r="V23" s="703">
        <v>1636</v>
      </c>
      <c r="W23" s="104">
        <v>2503</v>
      </c>
      <c r="X23" s="104">
        <v>2044</v>
      </c>
      <c r="Y23" s="104">
        <v>1807</v>
      </c>
      <c r="Z23" s="703">
        <v>1305</v>
      </c>
      <c r="AA23" s="678">
        <f>Debt!G19</f>
        <v>1673.3553480883347</v>
      </c>
      <c r="AB23" s="678">
        <f>Debt!H19</f>
        <v>1673.3553480883347</v>
      </c>
      <c r="AC23" s="678">
        <f>Debt!I19</f>
        <v>1959.6239144233004</v>
      </c>
      <c r="AD23" s="702">
        <f>Debt!J19</f>
        <v>752.71254376924344</v>
      </c>
      <c r="AE23" s="678">
        <f>Debt!K19</f>
        <v>2133.9886860286615</v>
      </c>
      <c r="AF23" s="678">
        <f>Debt!L19</f>
        <v>1877.1787379834718</v>
      </c>
      <c r="AG23" s="678">
        <f>Debt!M19</f>
        <v>2181.7985161593806</v>
      </c>
      <c r="AH23" s="702">
        <f>Debt!N19</f>
        <v>925.5675698811101</v>
      </c>
      <c r="AI23" s="678">
        <f>Debt!O19</f>
        <v>2443.6044995764291</v>
      </c>
      <c r="AJ23" s="678">
        <f>Debt!P19</f>
        <v>2220.4533809322875</v>
      </c>
      <c r="AK23" s="678">
        <f>Debt!Q19</f>
        <v>2588.4891745216755</v>
      </c>
      <c r="AL23" s="702">
        <f>Debt!R19</f>
        <v>1351.3166823470815</v>
      </c>
      <c r="AM23" s="60"/>
      <c r="AN23" s="60"/>
    </row>
    <row r="24" spans="2:41" s="47" customFormat="1" ht="13.5" customHeight="1">
      <c r="B24" s="671" t="s">
        <v>160</v>
      </c>
      <c r="C24" s="60">
        <f t="shared" si="24"/>
        <v>3654</v>
      </c>
      <c r="D24" s="60">
        <f t="shared" si="25"/>
        <v>3577</v>
      </c>
      <c r="E24" s="60">
        <f t="shared" si="26"/>
        <v>1003</v>
      </c>
      <c r="F24" s="341">
        <f t="shared" si="27"/>
        <v>1530</v>
      </c>
      <c r="G24" s="60">
        <f t="shared" si="28"/>
        <v>1530</v>
      </c>
      <c r="H24" s="60">
        <f t="shared" si="29"/>
        <v>1530</v>
      </c>
      <c r="I24" s="60">
        <f t="shared" si="30"/>
        <v>1530</v>
      </c>
      <c r="K24" s="701">
        <v>3945</v>
      </c>
      <c r="L24" s="104">
        <v>4918</v>
      </c>
      <c r="M24" s="104">
        <v>4843</v>
      </c>
      <c r="N24" s="703">
        <v>3654</v>
      </c>
      <c r="O24" s="104">
        <v>1823</v>
      </c>
      <c r="P24" s="104">
        <v>1916</v>
      </c>
      <c r="Q24" s="104">
        <v>1916</v>
      </c>
      <c r="R24" s="703">
        <v>3577</v>
      </c>
      <c r="S24" s="104">
        <v>3328</v>
      </c>
      <c r="T24" s="104">
        <v>2319</v>
      </c>
      <c r="U24" s="104">
        <v>2303</v>
      </c>
      <c r="V24" s="703">
        <v>1003</v>
      </c>
      <c r="W24" s="104">
        <v>1674</v>
      </c>
      <c r="X24" s="104">
        <v>2242</v>
      </c>
      <c r="Y24" s="104">
        <v>2084</v>
      </c>
      <c r="Z24" s="703">
        <v>1530</v>
      </c>
      <c r="AA24" s="679">
        <f>Z24</f>
        <v>1530</v>
      </c>
      <c r="AB24" s="104">
        <f>AA24</f>
        <v>1530</v>
      </c>
      <c r="AC24" s="104">
        <f t="shared" ref="AC24:AL26" si="31">AB24</f>
        <v>1530</v>
      </c>
      <c r="AD24" s="708">
        <f t="shared" si="31"/>
        <v>1530</v>
      </c>
      <c r="AE24" s="682">
        <f t="shared" si="31"/>
        <v>1530</v>
      </c>
      <c r="AF24" s="682">
        <f t="shared" si="31"/>
        <v>1530</v>
      </c>
      <c r="AG24" s="682">
        <f t="shared" si="31"/>
        <v>1530</v>
      </c>
      <c r="AH24" s="708">
        <f t="shared" si="31"/>
        <v>1530</v>
      </c>
      <c r="AI24" s="682">
        <f t="shared" si="31"/>
        <v>1530</v>
      </c>
      <c r="AJ24" s="682">
        <f t="shared" si="31"/>
        <v>1530</v>
      </c>
      <c r="AK24" s="682">
        <f t="shared" si="31"/>
        <v>1530</v>
      </c>
      <c r="AL24" s="708">
        <f t="shared" si="31"/>
        <v>1530</v>
      </c>
      <c r="AM24" s="60"/>
      <c r="AN24" s="60"/>
    </row>
    <row r="25" spans="2:41" s="47" customFormat="1" ht="13.5" customHeight="1">
      <c r="B25" s="671" t="s">
        <v>3</v>
      </c>
      <c r="C25" s="60">
        <f t="shared" si="24"/>
        <v>5525</v>
      </c>
      <c r="D25" s="60">
        <f t="shared" si="25"/>
        <v>4642</v>
      </c>
      <c r="E25" s="60">
        <f t="shared" si="26"/>
        <v>5345</v>
      </c>
      <c r="F25" s="341">
        <f t="shared" si="27"/>
        <v>5299</v>
      </c>
      <c r="G25" s="60">
        <f t="shared" si="28"/>
        <v>4767.8350446770655</v>
      </c>
      <c r="H25" s="60">
        <f t="shared" si="29"/>
        <v>4902.5203871794947</v>
      </c>
      <c r="I25" s="60">
        <f t="shared" si="30"/>
        <v>5023.2772170780845</v>
      </c>
      <c r="K25" s="701">
        <v>5535</v>
      </c>
      <c r="L25" s="104">
        <v>5308</v>
      </c>
      <c r="M25" s="104">
        <v>5293</v>
      </c>
      <c r="N25" s="703">
        <v>5525</v>
      </c>
      <c r="O25" s="104">
        <v>5545</v>
      </c>
      <c r="P25" s="104">
        <v>3528</v>
      </c>
      <c r="Q25" s="104">
        <v>3884.7368421052629</v>
      </c>
      <c r="R25" s="703">
        <v>4642</v>
      </c>
      <c r="S25" s="104">
        <v>4378</v>
      </c>
      <c r="T25" s="104">
        <v>4316</v>
      </c>
      <c r="U25" s="104">
        <v>4533</v>
      </c>
      <c r="V25" s="703">
        <v>5345</v>
      </c>
      <c r="W25" s="104">
        <v>5372</v>
      </c>
      <c r="X25" s="104">
        <v>5303</v>
      </c>
      <c r="Y25" s="104">
        <v>5184</v>
      </c>
      <c r="Z25" s="703">
        <v>5299</v>
      </c>
      <c r="AA25" s="678">
        <f>WC!AA15</f>
        <v>4747.3457273889298</v>
      </c>
      <c r="AB25" s="678">
        <f>WC!AB15</f>
        <v>4679.6756481335578</v>
      </c>
      <c r="AC25" s="678">
        <f>WC!AC15</f>
        <v>4655.2964009870602</v>
      </c>
      <c r="AD25" s="702">
        <f>WC!AD15</f>
        <v>4767.8350446770655</v>
      </c>
      <c r="AE25" s="678">
        <f>WC!AE15</f>
        <v>4759.4233448803752</v>
      </c>
      <c r="AF25" s="678">
        <f>WC!AF15</f>
        <v>4779.9624726448856</v>
      </c>
      <c r="AG25" s="678">
        <f>WC!AG15</f>
        <v>4776.0199515135646</v>
      </c>
      <c r="AH25" s="702">
        <f>WC!AH15</f>
        <v>4902.5203871794947</v>
      </c>
      <c r="AI25" s="678">
        <f>WC!AI15</f>
        <v>4903.6840957404802</v>
      </c>
      <c r="AJ25" s="678">
        <f>WC!AJ15</f>
        <v>4900.8296489940622</v>
      </c>
      <c r="AK25" s="678">
        <f>WC!AK15</f>
        <v>4898.4534120771123</v>
      </c>
      <c r="AL25" s="702">
        <f>WC!AL15</f>
        <v>5023.2772170780845</v>
      </c>
      <c r="AM25" s="60"/>
      <c r="AN25" s="60"/>
    </row>
    <row r="26" spans="2:41" s="47" customFormat="1" ht="13.5" customHeight="1">
      <c r="B26" s="671" t="s">
        <v>161</v>
      </c>
      <c r="C26" s="665">
        <f t="shared" si="24"/>
        <v>9084</v>
      </c>
      <c r="D26" s="665">
        <f t="shared" si="25"/>
        <v>6380</v>
      </c>
      <c r="E26" s="665">
        <f t="shared" si="26"/>
        <v>6412</v>
      </c>
      <c r="F26" s="688">
        <f t="shared" si="27"/>
        <v>5830</v>
      </c>
      <c r="G26" s="665">
        <f t="shared" si="28"/>
        <v>5830</v>
      </c>
      <c r="H26" s="665">
        <f t="shared" si="29"/>
        <v>5830</v>
      </c>
      <c r="I26" s="665">
        <f t="shared" si="30"/>
        <v>5830</v>
      </c>
      <c r="K26" s="704">
        <v>8487</v>
      </c>
      <c r="L26" s="283">
        <v>8812</v>
      </c>
      <c r="M26" s="283">
        <v>9328</v>
      </c>
      <c r="N26" s="705">
        <v>9084</v>
      </c>
      <c r="O26" s="283">
        <v>8610</v>
      </c>
      <c r="P26" s="283">
        <v>8047</v>
      </c>
      <c r="Q26" s="283">
        <v>8047</v>
      </c>
      <c r="R26" s="705">
        <v>6380</v>
      </c>
      <c r="S26" s="283">
        <v>5938</v>
      </c>
      <c r="T26" s="283">
        <v>5742</v>
      </c>
      <c r="U26" s="283">
        <v>5906</v>
      </c>
      <c r="V26" s="705">
        <v>6412</v>
      </c>
      <c r="W26" s="283">
        <v>5776</v>
      </c>
      <c r="X26" s="283">
        <v>5326</v>
      </c>
      <c r="Y26" s="283">
        <v>5540</v>
      </c>
      <c r="Z26" s="705">
        <v>5830</v>
      </c>
      <c r="AA26" s="680">
        <f>Z26</f>
        <v>5830</v>
      </c>
      <c r="AB26" s="283">
        <f>AA26</f>
        <v>5830</v>
      </c>
      <c r="AC26" s="283">
        <f t="shared" si="31"/>
        <v>5830</v>
      </c>
      <c r="AD26" s="709">
        <f t="shared" si="31"/>
        <v>5830</v>
      </c>
      <c r="AE26" s="683">
        <f t="shared" si="31"/>
        <v>5830</v>
      </c>
      <c r="AF26" s="683">
        <f t="shared" si="31"/>
        <v>5830</v>
      </c>
      <c r="AG26" s="683">
        <f t="shared" si="31"/>
        <v>5830</v>
      </c>
      <c r="AH26" s="709">
        <f t="shared" si="31"/>
        <v>5830</v>
      </c>
      <c r="AI26" s="683">
        <f t="shared" si="31"/>
        <v>5830</v>
      </c>
      <c r="AJ26" s="683">
        <f t="shared" si="31"/>
        <v>5830</v>
      </c>
      <c r="AK26" s="683">
        <f t="shared" si="31"/>
        <v>5830</v>
      </c>
      <c r="AL26" s="709">
        <f t="shared" si="31"/>
        <v>5830</v>
      </c>
      <c r="AM26" s="60"/>
      <c r="AN26" s="60"/>
    </row>
    <row r="27" spans="2:41" s="66" customFormat="1" ht="13.5" customHeight="1">
      <c r="B27" s="669" t="s">
        <v>2</v>
      </c>
      <c r="C27" s="68">
        <f>SUM(C23:C26)</f>
        <v>18445</v>
      </c>
      <c r="D27" s="68">
        <f t="shared" ref="D27:I27" si="32">SUM(D23:D26)</f>
        <v>14873</v>
      </c>
      <c r="E27" s="68">
        <f t="shared" si="32"/>
        <v>14396</v>
      </c>
      <c r="F27" s="689">
        <f t="shared" si="32"/>
        <v>13964</v>
      </c>
      <c r="G27" s="68">
        <f t="shared" si="32"/>
        <v>12880.547588446309</v>
      </c>
      <c r="H27" s="68">
        <f t="shared" si="32"/>
        <v>13188.087957060605</v>
      </c>
      <c r="I27" s="68">
        <f t="shared" si="32"/>
        <v>13734.593899425166</v>
      </c>
      <c r="K27" s="718">
        <f>SUM(K23:K26)</f>
        <v>19779</v>
      </c>
      <c r="L27" s="719">
        <f t="shared" ref="L27:AL27" si="33">SUM(L23:L26)</f>
        <v>20280</v>
      </c>
      <c r="M27" s="719">
        <f t="shared" si="33"/>
        <v>20360</v>
      </c>
      <c r="N27" s="720">
        <f t="shared" si="33"/>
        <v>18445</v>
      </c>
      <c r="O27" s="719">
        <f t="shared" si="33"/>
        <v>19298</v>
      </c>
      <c r="P27" s="719">
        <f t="shared" si="33"/>
        <v>13736</v>
      </c>
      <c r="Q27" s="719">
        <f t="shared" si="33"/>
        <v>14107.736842105263</v>
      </c>
      <c r="R27" s="720">
        <f t="shared" si="33"/>
        <v>14873</v>
      </c>
      <c r="S27" s="719">
        <f t="shared" si="33"/>
        <v>13847</v>
      </c>
      <c r="T27" s="719">
        <f t="shared" si="33"/>
        <v>13133</v>
      </c>
      <c r="U27" s="719">
        <f t="shared" si="33"/>
        <v>15269</v>
      </c>
      <c r="V27" s="720">
        <f t="shared" si="33"/>
        <v>14396</v>
      </c>
      <c r="W27" s="719">
        <f t="shared" si="33"/>
        <v>15325</v>
      </c>
      <c r="X27" s="719">
        <f t="shared" si="33"/>
        <v>14915</v>
      </c>
      <c r="Y27" s="719">
        <f t="shared" si="33"/>
        <v>14615</v>
      </c>
      <c r="Z27" s="720">
        <f t="shared" si="33"/>
        <v>13964</v>
      </c>
      <c r="AA27" s="719">
        <f t="shared" si="33"/>
        <v>13780.701075477264</v>
      </c>
      <c r="AB27" s="719">
        <f t="shared" si="33"/>
        <v>13713.030996221893</v>
      </c>
      <c r="AC27" s="719">
        <f t="shared" si="33"/>
        <v>13974.92031541036</v>
      </c>
      <c r="AD27" s="720">
        <f t="shared" si="33"/>
        <v>12880.547588446309</v>
      </c>
      <c r="AE27" s="719">
        <f t="shared" si="33"/>
        <v>14253.412030909036</v>
      </c>
      <c r="AF27" s="719">
        <f t="shared" si="33"/>
        <v>14017.141210628357</v>
      </c>
      <c r="AG27" s="719">
        <f t="shared" si="33"/>
        <v>14317.818467672945</v>
      </c>
      <c r="AH27" s="720">
        <f t="shared" si="33"/>
        <v>13188.087957060605</v>
      </c>
      <c r="AI27" s="719">
        <f t="shared" si="33"/>
        <v>14707.28859531691</v>
      </c>
      <c r="AJ27" s="719">
        <f t="shared" si="33"/>
        <v>14481.28302992635</v>
      </c>
      <c r="AK27" s="719">
        <f t="shared" si="33"/>
        <v>14846.942586598787</v>
      </c>
      <c r="AL27" s="720">
        <f t="shared" si="33"/>
        <v>13734.593899425166</v>
      </c>
      <c r="AM27" s="68"/>
      <c r="AN27" s="68"/>
    </row>
    <row r="28" spans="2:41" s="673" customFormat="1" ht="13.5" customHeight="1">
      <c r="B28" s="671" t="s">
        <v>162</v>
      </c>
      <c r="C28" s="60">
        <f t="shared" ref="C28:C31" si="34">N28</f>
        <v>23095</v>
      </c>
      <c r="D28" s="60">
        <f t="shared" ref="D28:D31" si="35">R28</f>
        <v>15574</v>
      </c>
      <c r="E28" s="60">
        <f t="shared" ref="E28:E31" si="36">V28</f>
        <v>14482</v>
      </c>
      <c r="F28" s="341">
        <f t="shared" ref="F28:F31" si="37">Z28</f>
        <v>13865</v>
      </c>
      <c r="G28" s="60">
        <f t="shared" ref="G28:G31" si="38">AD28</f>
        <v>13865</v>
      </c>
      <c r="H28" s="60">
        <f t="shared" ref="H28:H31" si="39">AH28</f>
        <v>13865</v>
      </c>
      <c r="I28" s="60">
        <f t="shared" ref="I28:I31" si="40">AL28</f>
        <v>13865</v>
      </c>
      <c r="K28" s="701">
        <v>24288</v>
      </c>
      <c r="L28" s="104">
        <v>23420</v>
      </c>
      <c r="M28" s="104">
        <v>23139</v>
      </c>
      <c r="N28" s="703">
        <v>23095</v>
      </c>
      <c r="O28" s="104">
        <v>23198</v>
      </c>
      <c r="P28" s="104">
        <v>18120</v>
      </c>
      <c r="Q28" s="104">
        <v>17321</v>
      </c>
      <c r="R28" s="703">
        <v>15574</v>
      </c>
      <c r="S28" s="104">
        <v>14970</v>
      </c>
      <c r="T28" s="104">
        <v>14986</v>
      </c>
      <c r="U28" s="104">
        <v>15089</v>
      </c>
      <c r="V28" s="703">
        <v>14482</v>
      </c>
      <c r="W28" s="104">
        <v>14772</v>
      </c>
      <c r="X28" s="104">
        <v>14255</v>
      </c>
      <c r="Y28" s="104">
        <v>13988</v>
      </c>
      <c r="Z28" s="703">
        <v>13865</v>
      </c>
      <c r="AA28" s="679">
        <f t="shared" ref="AA28:AB30" si="41">Z28</f>
        <v>13865</v>
      </c>
      <c r="AB28" s="104">
        <f t="shared" si="41"/>
        <v>13865</v>
      </c>
      <c r="AC28" s="104">
        <f t="shared" ref="AC28:AL28" si="42">AB28</f>
        <v>13865</v>
      </c>
      <c r="AD28" s="703">
        <f t="shared" si="42"/>
        <v>13865</v>
      </c>
      <c r="AE28" s="104">
        <f t="shared" si="42"/>
        <v>13865</v>
      </c>
      <c r="AF28" s="104">
        <f t="shared" si="42"/>
        <v>13865</v>
      </c>
      <c r="AG28" s="104">
        <f t="shared" si="42"/>
        <v>13865</v>
      </c>
      <c r="AH28" s="703">
        <f t="shared" si="42"/>
        <v>13865</v>
      </c>
      <c r="AI28" s="104">
        <f t="shared" si="42"/>
        <v>13865</v>
      </c>
      <c r="AJ28" s="104">
        <f t="shared" si="42"/>
        <v>13865</v>
      </c>
      <c r="AK28" s="104">
        <f t="shared" si="42"/>
        <v>13865</v>
      </c>
      <c r="AL28" s="703">
        <f t="shared" si="42"/>
        <v>13865</v>
      </c>
      <c r="AM28" s="60"/>
      <c r="AN28" s="60"/>
      <c r="AO28" s="47"/>
    </row>
    <row r="29" spans="2:41" s="673" customFormat="1" ht="13.5" customHeight="1">
      <c r="B29" s="671" t="s">
        <v>20</v>
      </c>
      <c r="C29" s="60">
        <f t="shared" si="34"/>
        <v>6738</v>
      </c>
      <c r="D29" s="60">
        <f t="shared" si="35"/>
        <v>6302</v>
      </c>
      <c r="E29" s="60">
        <f t="shared" si="36"/>
        <v>6282</v>
      </c>
      <c r="F29" s="341">
        <f t="shared" si="37"/>
        <v>5512</v>
      </c>
      <c r="G29" s="60">
        <f t="shared" si="38"/>
        <v>5512</v>
      </c>
      <c r="H29" s="60">
        <f t="shared" si="39"/>
        <v>5512</v>
      </c>
      <c r="I29" s="60">
        <f t="shared" si="40"/>
        <v>5512</v>
      </c>
      <c r="K29" s="701">
        <v>8252</v>
      </c>
      <c r="L29" s="104">
        <v>7993</v>
      </c>
      <c r="M29" s="104">
        <v>7580</v>
      </c>
      <c r="N29" s="703">
        <v>6738</v>
      </c>
      <c r="O29" s="104">
        <v>6901</v>
      </c>
      <c r="P29" s="104">
        <v>6388</v>
      </c>
      <c r="Q29" s="104">
        <v>6388</v>
      </c>
      <c r="R29" s="703">
        <v>6302</v>
      </c>
      <c r="S29" s="104">
        <v>6293</v>
      </c>
      <c r="T29" s="104">
        <v>6084</v>
      </c>
      <c r="U29" s="104">
        <v>6218</v>
      </c>
      <c r="V29" s="703">
        <v>6282</v>
      </c>
      <c r="W29" s="104">
        <v>6202</v>
      </c>
      <c r="X29" s="104">
        <v>6086</v>
      </c>
      <c r="Y29" s="104">
        <v>5753</v>
      </c>
      <c r="Z29" s="703">
        <v>5512</v>
      </c>
      <c r="AA29" s="679">
        <f t="shared" si="41"/>
        <v>5512</v>
      </c>
      <c r="AB29" s="104">
        <f t="shared" si="41"/>
        <v>5512</v>
      </c>
      <c r="AC29" s="104">
        <f t="shared" ref="AC29:AL29" si="43">AB29</f>
        <v>5512</v>
      </c>
      <c r="AD29" s="703">
        <f t="shared" si="43"/>
        <v>5512</v>
      </c>
      <c r="AE29" s="104">
        <f t="shared" si="43"/>
        <v>5512</v>
      </c>
      <c r="AF29" s="104">
        <f t="shared" si="43"/>
        <v>5512</v>
      </c>
      <c r="AG29" s="104">
        <f t="shared" si="43"/>
        <v>5512</v>
      </c>
      <c r="AH29" s="703">
        <f t="shared" si="43"/>
        <v>5512</v>
      </c>
      <c r="AI29" s="104">
        <f t="shared" si="43"/>
        <v>5512</v>
      </c>
      <c r="AJ29" s="104">
        <f t="shared" si="43"/>
        <v>5512</v>
      </c>
      <c r="AK29" s="104">
        <f t="shared" si="43"/>
        <v>5512</v>
      </c>
      <c r="AL29" s="703">
        <f t="shared" si="43"/>
        <v>5512</v>
      </c>
      <c r="AM29" s="60"/>
      <c r="AN29" s="60"/>
      <c r="AO29" s="47"/>
    </row>
    <row r="30" spans="2:41" s="673" customFormat="1" ht="13.5" customHeight="1">
      <c r="B30" s="671" t="s">
        <v>163</v>
      </c>
      <c r="C30" s="60">
        <f t="shared" si="34"/>
        <v>3238</v>
      </c>
      <c r="D30" s="60">
        <f t="shared" si="35"/>
        <v>451</v>
      </c>
      <c r="E30" s="60">
        <f t="shared" si="36"/>
        <v>412</v>
      </c>
      <c r="F30" s="341">
        <f t="shared" si="37"/>
        <v>526</v>
      </c>
      <c r="G30" s="60">
        <f t="shared" si="38"/>
        <v>526</v>
      </c>
      <c r="H30" s="60">
        <f t="shared" si="39"/>
        <v>526</v>
      </c>
      <c r="I30" s="60">
        <f t="shared" si="40"/>
        <v>526</v>
      </c>
      <c r="K30" s="701">
        <v>3052</v>
      </c>
      <c r="L30" s="104">
        <v>3001</v>
      </c>
      <c r="M30" s="104">
        <v>2995</v>
      </c>
      <c r="N30" s="703">
        <v>3238</v>
      </c>
      <c r="O30" s="104">
        <v>3259</v>
      </c>
      <c r="P30" s="104">
        <v>416</v>
      </c>
      <c r="Q30" s="104">
        <v>416</v>
      </c>
      <c r="R30" s="703">
        <v>451</v>
      </c>
      <c r="S30" s="104">
        <v>456</v>
      </c>
      <c r="T30" s="104">
        <v>458</v>
      </c>
      <c r="U30" s="104">
        <v>470</v>
      </c>
      <c r="V30" s="703">
        <v>412</v>
      </c>
      <c r="W30" s="104">
        <v>416</v>
      </c>
      <c r="X30" s="104">
        <v>426</v>
      </c>
      <c r="Y30" s="104">
        <v>439</v>
      </c>
      <c r="Z30" s="703">
        <v>526</v>
      </c>
      <c r="AA30" s="679">
        <f t="shared" si="41"/>
        <v>526</v>
      </c>
      <c r="AB30" s="104">
        <f t="shared" si="41"/>
        <v>526</v>
      </c>
      <c r="AC30" s="104">
        <f t="shared" ref="AC30:AL30" si="44">AB30</f>
        <v>526</v>
      </c>
      <c r="AD30" s="703">
        <f t="shared" si="44"/>
        <v>526</v>
      </c>
      <c r="AE30" s="104">
        <f t="shared" si="44"/>
        <v>526</v>
      </c>
      <c r="AF30" s="104">
        <f t="shared" si="44"/>
        <v>526</v>
      </c>
      <c r="AG30" s="104">
        <f t="shared" si="44"/>
        <v>526</v>
      </c>
      <c r="AH30" s="703">
        <f t="shared" si="44"/>
        <v>526</v>
      </c>
      <c r="AI30" s="104">
        <f t="shared" si="44"/>
        <v>526</v>
      </c>
      <c r="AJ30" s="104">
        <f t="shared" si="44"/>
        <v>526</v>
      </c>
      <c r="AK30" s="104">
        <f t="shared" si="44"/>
        <v>526</v>
      </c>
      <c r="AL30" s="703">
        <f t="shared" si="44"/>
        <v>526</v>
      </c>
      <c r="AM30" s="60"/>
      <c r="AN30" s="60"/>
      <c r="AO30" s="47"/>
    </row>
    <row r="31" spans="2:41" s="673" customFormat="1" ht="13.5" customHeight="1">
      <c r="B31" s="671" t="s">
        <v>164</v>
      </c>
      <c r="C31" s="665">
        <f t="shared" si="34"/>
        <v>6993</v>
      </c>
      <c r="D31" s="665">
        <f t="shared" si="35"/>
        <v>5923</v>
      </c>
      <c r="E31" s="665">
        <f t="shared" si="36"/>
        <v>4453</v>
      </c>
      <c r="F31" s="688">
        <f t="shared" si="37"/>
        <v>5052</v>
      </c>
      <c r="G31" s="665">
        <f t="shared" si="38"/>
        <v>5732.6493428188769</v>
      </c>
      <c r="H31" s="665">
        <f t="shared" si="39"/>
        <v>6132.6493428188696</v>
      </c>
      <c r="I31" s="665">
        <f t="shared" si="40"/>
        <v>6532.6493428188842</v>
      </c>
      <c r="K31" s="704">
        <v>5399</v>
      </c>
      <c r="L31" s="283">
        <v>5222</v>
      </c>
      <c r="M31" s="283">
        <v>5058</v>
      </c>
      <c r="N31" s="705">
        <v>6993</v>
      </c>
      <c r="O31" s="283">
        <v>6900</v>
      </c>
      <c r="P31" s="283">
        <v>4760</v>
      </c>
      <c r="Q31" s="283">
        <v>13314.263157894733</v>
      </c>
      <c r="R31" s="705">
        <v>5923</v>
      </c>
      <c r="S31" s="283">
        <v>5714</v>
      </c>
      <c r="T31" s="283">
        <v>5613</v>
      </c>
      <c r="U31" s="283">
        <v>5321</v>
      </c>
      <c r="V31" s="705">
        <v>4453</v>
      </c>
      <c r="W31" s="283">
        <v>4469</v>
      </c>
      <c r="X31" s="283">
        <v>4591</v>
      </c>
      <c r="Y31" s="283">
        <v>4216</v>
      </c>
      <c r="Z31" s="705">
        <v>5052</v>
      </c>
      <c r="AA31" s="283">
        <f>AA21-SUM(AA27:AA30,AA33)</f>
        <v>5302</v>
      </c>
      <c r="AB31" s="283">
        <f t="shared" ref="AB31:AL31" si="45">AB21-SUM(AB27:AB30,AB33)</f>
        <v>5232.6493428188842</v>
      </c>
      <c r="AC31" s="283">
        <f t="shared" si="45"/>
        <v>5482.6493428188769</v>
      </c>
      <c r="AD31" s="705">
        <f t="shared" si="45"/>
        <v>5732.6493428188769</v>
      </c>
      <c r="AE31" s="283">
        <f t="shared" si="45"/>
        <v>5832.6493428188842</v>
      </c>
      <c r="AF31" s="283">
        <f t="shared" si="45"/>
        <v>5932.6493428188842</v>
      </c>
      <c r="AG31" s="283">
        <f t="shared" si="45"/>
        <v>6032.6493428188696</v>
      </c>
      <c r="AH31" s="705">
        <f t="shared" si="45"/>
        <v>6132.6493428188696</v>
      </c>
      <c r="AI31" s="283">
        <f t="shared" si="45"/>
        <v>6232.6493428188696</v>
      </c>
      <c r="AJ31" s="283">
        <f t="shared" si="45"/>
        <v>6332.6493428188696</v>
      </c>
      <c r="AK31" s="283">
        <f t="shared" si="45"/>
        <v>6432.6493428188769</v>
      </c>
      <c r="AL31" s="705">
        <f t="shared" si="45"/>
        <v>6532.6493428188842</v>
      </c>
      <c r="AM31" s="60"/>
      <c r="AN31" s="60"/>
      <c r="AO31" s="47"/>
    </row>
    <row r="32" spans="2:41" s="673" customFormat="1" ht="13.5" customHeight="1">
      <c r="B32" s="669" t="s">
        <v>15</v>
      </c>
      <c r="C32" s="68">
        <f>SUM(C27:C31)</f>
        <v>58509</v>
      </c>
      <c r="D32" s="68">
        <f t="shared" ref="D32:I32" si="46">SUM(D27:D31)</f>
        <v>43123</v>
      </c>
      <c r="E32" s="68">
        <f t="shared" si="46"/>
        <v>40025</v>
      </c>
      <c r="F32" s="689">
        <f t="shared" si="46"/>
        <v>38919</v>
      </c>
      <c r="G32" s="68">
        <f t="shared" si="46"/>
        <v>38516.196931265185</v>
      </c>
      <c r="H32" s="68">
        <f t="shared" si="46"/>
        <v>39223.737299879474</v>
      </c>
      <c r="I32" s="68">
        <f t="shared" si="46"/>
        <v>40170.243242244047</v>
      </c>
      <c r="J32" s="66"/>
      <c r="K32" s="721">
        <f>SUM(K27:K31)</f>
        <v>60770</v>
      </c>
      <c r="L32" s="722">
        <f t="shared" ref="L32:AL32" si="47">SUM(L27:L31)</f>
        <v>59916</v>
      </c>
      <c r="M32" s="722">
        <f t="shared" si="47"/>
        <v>59132</v>
      </c>
      <c r="N32" s="723">
        <f t="shared" si="47"/>
        <v>58509</v>
      </c>
      <c r="O32" s="722">
        <f t="shared" si="47"/>
        <v>59556</v>
      </c>
      <c r="P32" s="722">
        <f t="shared" si="47"/>
        <v>43420</v>
      </c>
      <c r="Q32" s="722">
        <f t="shared" si="47"/>
        <v>51547</v>
      </c>
      <c r="R32" s="723">
        <f t="shared" si="47"/>
        <v>43123</v>
      </c>
      <c r="S32" s="722">
        <f t="shared" si="47"/>
        <v>41280</v>
      </c>
      <c r="T32" s="722">
        <f t="shared" si="47"/>
        <v>40274</v>
      </c>
      <c r="U32" s="722">
        <f t="shared" si="47"/>
        <v>42367</v>
      </c>
      <c r="V32" s="723">
        <f t="shared" si="47"/>
        <v>40025</v>
      </c>
      <c r="W32" s="722">
        <f t="shared" si="47"/>
        <v>41184</v>
      </c>
      <c r="X32" s="722">
        <f t="shared" si="47"/>
        <v>40273</v>
      </c>
      <c r="Y32" s="722">
        <f t="shared" si="47"/>
        <v>39011</v>
      </c>
      <c r="Z32" s="723">
        <f t="shared" si="47"/>
        <v>38919</v>
      </c>
      <c r="AA32" s="722">
        <f t="shared" si="47"/>
        <v>38985.701075477264</v>
      </c>
      <c r="AB32" s="722">
        <f t="shared" si="47"/>
        <v>38848.680339040773</v>
      </c>
      <c r="AC32" s="722">
        <f t="shared" si="47"/>
        <v>39360.569658229237</v>
      </c>
      <c r="AD32" s="723">
        <f t="shared" si="47"/>
        <v>38516.196931265185</v>
      </c>
      <c r="AE32" s="722">
        <f t="shared" si="47"/>
        <v>39989.06137372792</v>
      </c>
      <c r="AF32" s="722">
        <f t="shared" si="47"/>
        <v>39852.790553447237</v>
      </c>
      <c r="AG32" s="722">
        <f t="shared" si="47"/>
        <v>40253.467810491813</v>
      </c>
      <c r="AH32" s="723">
        <f t="shared" si="47"/>
        <v>39223.737299879474</v>
      </c>
      <c r="AI32" s="722">
        <f t="shared" si="47"/>
        <v>40842.937938135779</v>
      </c>
      <c r="AJ32" s="722">
        <f t="shared" si="47"/>
        <v>40716.932372745221</v>
      </c>
      <c r="AK32" s="722">
        <f t="shared" si="47"/>
        <v>41182.591929417664</v>
      </c>
      <c r="AL32" s="723">
        <f t="shared" si="47"/>
        <v>40170.243242244047</v>
      </c>
      <c r="AM32" s="60"/>
      <c r="AN32" s="60"/>
      <c r="AO32" s="47"/>
    </row>
    <row r="33" spans="2:41" s="66" customFormat="1" ht="13.5" customHeight="1">
      <c r="B33" s="671" t="s">
        <v>40</v>
      </c>
      <c r="C33" s="60">
        <f t="shared" ref="C33" si="48">N33</f>
        <v>35217</v>
      </c>
      <c r="D33" s="60">
        <f t="shared" ref="D33" si="49">R33</f>
        <v>32215</v>
      </c>
      <c r="E33" s="60">
        <f t="shared" ref="E33" si="50">V33</f>
        <v>32373</v>
      </c>
      <c r="F33" s="341">
        <f t="shared" ref="F33" si="51">Z33</f>
        <v>27853</v>
      </c>
      <c r="G33" s="60">
        <f t="shared" ref="G33" si="52">AD33</f>
        <v>27650.195509738354</v>
      </c>
      <c r="H33" s="60">
        <f t="shared" ref="H33" si="53">AH33</f>
        <v>27767.324764525649</v>
      </c>
      <c r="I33" s="60">
        <f t="shared" ref="I33" si="54">AL33</f>
        <v>28012.189133805077</v>
      </c>
      <c r="K33" s="701">
        <v>37381</v>
      </c>
      <c r="L33" s="104">
        <v>38991</v>
      </c>
      <c r="M33" s="104">
        <v>36592</v>
      </c>
      <c r="N33" s="703">
        <v>35217</v>
      </c>
      <c r="O33" s="104">
        <v>36965</v>
      </c>
      <c r="P33" s="104">
        <v>31348</v>
      </c>
      <c r="Q33" s="104">
        <v>31493</v>
      </c>
      <c r="R33" s="703">
        <v>32215</v>
      </c>
      <c r="S33" s="104">
        <v>31874</v>
      </c>
      <c r="T33" s="104">
        <v>31407</v>
      </c>
      <c r="U33" s="104">
        <v>32492</v>
      </c>
      <c r="V33" s="703">
        <v>32373</v>
      </c>
      <c r="W33" s="104">
        <v>31649</v>
      </c>
      <c r="X33" s="104">
        <v>32407</v>
      </c>
      <c r="Y33" s="104">
        <v>30956</v>
      </c>
      <c r="Z33" s="703">
        <v>27853</v>
      </c>
      <c r="AA33" s="685">
        <f>Equity!G11</f>
        <v>27734.04264</v>
      </c>
      <c r="AB33" s="685">
        <f>Equity!H11</f>
        <v>27656.764973597208</v>
      </c>
      <c r="AC33" s="685">
        <f>Equity!I11</f>
        <v>27571.507163845999</v>
      </c>
      <c r="AD33" s="711">
        <f>Equity!J11</f>
        <v>27650.195509738354</v>
      </c>
      <c r="AE33" s="685">
        <f>Equity!K11</f>
        <v>27597.766708919011</v>
      </c>
      <c r="AF33" s="685">
        <f>Equity!L11</f>
        <v>27598.956467007782</v>
      </c>
      <c r="AG33" s="685">
        <f>Equity!M11</f>
        <v>27596.643902347714</v>
      </c>
      <c r="AH33" s="711">
        <f>Equity!N11</f>
        <v>27767.324764525649</v>
      </c>
      <c r="AI33" s="685">
        <f>Equity!O11</f>
        <v>27745.692100153166</v>
      </c>
      <c r="AJ33" s="685">
        <f>Equity!P11</f>
        <v>27776.773307087682</v>
      </c>
      <c r="AK33" s="685">
        <f>Equity!Q11</f>
        <v>27804.126428661817</v>
      </c>
      <c r="AL33" s="711">
        <f>Equity!R11</f>
        <v>28012.189133805077</v>
      </c>
      <c r="AM33" s="68"/>
      <c r="AN33" s="68"/>
    </row>
    <row r="34" spans="2:41" s="66" customFormat="1" ht="13.5" customHeight="1">
      <c r="B34" s="671" t="s">
        <v>165</v>
      </c>
      <c r="C34" s="665">
        <f t="shared" ref="C34" si="55">N34</f>
        <v>111</v>
      </c>
      <c r="D34" s="665">
        <f t="shared" ref="D34" si="56">R34</f>
        <v>140</v>
      </c>
      <c r="E34" s="665">
        <f t="shared" ref="E34" si="57">V34</f>
        <v>159</v>
      </c>
      <c r="F34" s="728">
        <f t="shared" ref="F34" si="58">Z34</f>
        <v>0</v>
      </c>
      <c r="G34" s="728">
        <f t="shared" ref="G34" si="59">AD34</f>
        <v>0</v>
      </c>
      <c r="H34" s="728">
        <f t="shared" ref="H34" si="60">AH34</f>
        <v>0</v>
      </c>
      <c r="I34" s="728">
        <f t="shared" ref="I34" si="61">AL34</f>
        <v>0</v>
      </c>
      <c r="K34" s="704">
        <v>118</v>
      </c>
      <c r="L34" s="283">
        <v>120</v>
      </c>
      <c r="M34" s="283">
        <v>108</v>
      </c>
      <c r="N34" s="705">
        <v>111</v>
      </c>
      <c r="O34" s="283">
        <v>126</v>
      </c>
      <c r="P34" s="283">
        <v>115</v>
      </c>
      <c r="Q34" s="283">
        <v>0</v>
      </c>
      <c r="R34" s="705">
        <v>140</v>
      </c>
      <c r="S34" s="283">
        <v>144</v>
      </c>
      <c r="T34" s="283">
        <v>142</v>
      </c>
      <c r="U34" s="283">
        <v>0</v>
      </c>
      <c r="V34" s="705">
        <v>159</v>
      </c>
      <c r="W34" s="283">
        <v>127</v>
      </c>
      <c r="X34" s="283">
        <v>0</v>
      </c>
      <c r="Y34" s="283">
        <f>X34</f>
        <v>0</v>
      </c>
      <c r="Z34" s="705">
        <f t="shared" ref="Z34:AL34" si="62">Y34</f>
        <v>0</v>
      </c>
      <c r="AA34" s="283">
        <f t="shared" si="62"/>
        <v>0</v>
      </c>
      <c r="AB34" s="283">
        <f t="shared" si="62"/>
        <v>0</v>
      </c>
      <c r="AC34" s="283">
        <f t="shared" si="62"/>
        <v>0</v>
      </c>
      <c r="AD34" s="705">
        <f t="shared" si="62"/>
        <v>0</v>
      </c>
      <c r="AE34" s="283">
        <f t="shared" si="62"/>
        <v>0</v>
      </c>
      <c r="AF34" s="283">
        <f t="shared" si="62"/>
        <v>0</v>
      </c>
      <c r="AG34" s="283">
        <f t="shared" si="62"/>
        <v>0</v>
      </c>
      <c r="AH34" s="705">
        <f t="shared" si="62"/>
        <v>0</v>
      </c>
      <c r="AI34" s="283">
        <f t="shared" si="62"/>
        <v>0</v>
      </c>
      <c r="AJ34" s="283">
        <f t="shared" si="62"/>
        <v>0</v>
      </c>
      <c r="AK34" s="283">
        <f t="shared" si="62"/>
        <v>0</v>
      </c>
      <c r="AL34" s="705">
        <f t="shared" si="62"/>
        <v>0</v>
      </c>
      <c r="AM34" s="68"/>
      <c r="AN34" s="68"/>
    </row>
    <row r="35" spans="2:41" s="66" customFormat="1" ht="13.5" customHeight="1">
      <c r="B35" s="669" t="s">
        <v>41</v>
      </c>
      <c r="C35" s="68">
        <f>SUM(C32:C34)</f>
        <v>93837</v>
      </c>
      <c r="D35" s="68">
        <f t="shared" ref="D35:I35" si="63">SUM(D32:D34)</f>
        <v>75478</v>
      </c>
      <c r="E35" s="68">
        <f t="shared" si="63"/>
        <v>72557</v>
      </c>
      <c r="F35" s="689">
        <f t="shared" si="63"/>
        <v>66772</v>
      </c>
      <c r="G35" s="68">
        <f t="shared" si="63"/>
        <v>66166.39244100354</v>
      </c>
      <c r="H35" s="68">
        <f t="shared" si="63"/>
        <v>66991.062064405123</v>
      </c>
      <c r="I35" s="68">
        <f t="shared" si="63"/>
        <v>68182.432376049124</v>
      </c>
      <c r="K35" s="718">
        <f>SUM(K32:K34)</f>
        <v>98269</v>
      </c>
      <c r="L35" s="719">
        <f t="shared" ref="L35:AL35" si="64">SUM(L32:L34)</f>
        <v>99027</v>
      </c>
      <c r="M35" s="719">
        <f t="shared" si="64"/>
        <v>95832</v>
      </c>
      <c r="N35" s="720">
        <f t="shared" si="64"/>
        <v>93837</v>
      </c>
      <c r="O35" s="719">
        <f t="shared" si="64"/>
        <v>96647</v>
      </c>
      <c r="P35" s="719">
        <f t="shared" si="64"/>
        <v>74883</v>
      </c>
      <c r="Q35" s="719">
        <f t="shared" si="64"/>
        <v>83040</v>
      </c>
      <c r="R35" s="720">
        <f t="shared" si="64"/>
        <v>75478</v>
      </c>
      <c r="S35" s="719">
        <f t="shared" si="64"/>
        <v>73298</v>
      </c>
      <c r="T35" s="719">
        <f t="shared" si="64"/>
        <v>71823</v>
      </c>
      <c r="U35" s="719">
        <f t="shared" si="64"/>
        <v>74859</v>
      </c>
      <c r="V35" s="720">
        <f t="shared" si="64"/>
        <v>72557</v>
      </c>
      <c r="W35" s="719">
        <f t="shared" si="64"/>
        <v>72960</v>
      </c>
      <c r="X35" s="719">
        <f t="shared" si="64"/>
        <v>72680</v>
      </c>
      <c r="Y35" s="719">
        <f t="shared" si="64"/>
        <v>69967</v>
      </c>
      <c r="Z35" s="720">
        <f t="shared" si="64"/>
        <v>66772</v>
      </c>
      <c r="AA35" s="719">
        <f t="shared" si="64"/>
        <v>66719.743715477263</v>
      </c>
      <c r="AB35" s="719">
        <f t="shared" si="64"/>
        <v>66505.445312637981</v>
      </c>
      <c r="AC35" s="719">
        <f t="shared" si="64"/>
        <v>66932.076822075236</v>
      </c>
      <c r="AD35" s="720">
        <f t="shared" si="64"/>
        <v>66166.39244100354</v>
      </c>
      <c r="AE35" s="719">
        <f t="shared" si="64"/>
        <v>67586.828082646927</v>
      </c>
      <c r="AF35" s="719">
        <f t="shared" si="64"/>
        <v>67451.747020455019</v>
      </c>
      <c r="AG35" s="719">
        <f t="shared" si="64"/>
        <v>67850.111712839527</v>
      </c>
      <c r="AH35" s="720">
        <f t="shared" si="64"/>
        <v>66991.062064405123</v>
      </c>
      <c r="AI35" s="719">
        <f t="shared" si="64"/>
        <v>68588.630038288946</v>
      </c>
      <c r="AJ35" s="719">
        <f t="shared" si="64"/>
        <v>68493.705679832899</v>
      </c>
      <c r="AK35" s="719">
        <f t="shared" si="64"/>
        <v>68986.718358079481</v>
      </c>
      <c r="AL35" s="720">
        <f t="shared" si="64"/>
        <v>68182.432376049124</v>
      </c>
      <c r="AM35" s="68"/>
      <c r="AN35" s="68"/>
    </row>
    <row r="36" spans="2:41" s="66" customFormat="1" ht="13.5" customHeight="1" thickBot="1">
      <c r="B36" s="692"/>
      <c r="C36" s="693"/>
      <c r="D36" s="693"/>
      <c r="E36" s="693"/>
      <c r="F36" s="694"/>
      <c r="G36" s="693"/>
      <c r="H36" s="693"/>
      <c r="I36" s="693"/>
      <c r="K36" s="712"/>
      <c r="L36" s="696"/>
      <c r="M36" s="696"/>
      <c r="N36" s="713"/>
      <c r="O36" s="696"/>
      <c r="P36" s="696"/>
      <c r="Q36" s="696"/>
      <c r="R36" s="713"/>
      <c r="S36" s="696"/>
      <c r="T36" s="696"/>
      <c r="U36" s="696"/>
      <c r="V36" s="713"/>
      <c r="W36" s="696"/>
      <c r="X36" s="696"/>
      <c r="Y36" s="696"/>
      <c r="Z36" s="713"/>
      <c r="AA36" s="696"/>
      <c r="AB36" s="696"/>
      <c r="AC36" s="696"/>
      <c r="AD36" s="713"/>
      <c r="AE36" s="696"/>
      <c r="AF36" s="696"/>
      <c r="AG36" s="696"/>
      <c r="AH36" s="713"/>
      <c r="AI36" s="696"/>
      <c r="AJ36" s="696"/>
      <c r="AK36" s="696"/>
      <c r="AL36" s="713"/>
      <c r="AM36" s="68"/>
      <c r="AN36" s="68"/>
    </row>
    <row r="37" spans="2:41" s="66" customFormat="1" ht="13.5" customHeight="1">
      <c r="B37" s="695"/>
      <c r="C37" s="68"/>
      <c r="D37" s="68"/>
      <c r="E37" s="68"/>
      <c r="F37" s="689"/>
      <c r="G37" s="68"/>
      <c r="H37" s="68"/>
      <c r="I37" s="68"/>
      <c r="K37" s="706"/>
      <c r="L37" s="681"/>
      <c r="M37" s="681"/>
      <c r="N37" s="707"/>
      <c r="O37" s="681"/>
      <c r="P37" s="681"/>
      <c r="Q37" s="681"/>
      <c r="R37" s="707"/>
      <c r="S37" s="681"/>
      <c r="T37" s="681"/>
      <c r="U37" s="681"/>
      <c r="V37" s="707"/>
      <c r="W37" s="681"/>
      <c r="X37" s="681"/>
      <c r="Y37" s="681"/>
      <c r="Z37" s="707"/>
      <c r="AA37" s="681"/>
      <c r="AB37" s="681"/>
      <c r="AC37" s="681"/>
      <c r="AD37" s="707"/>
      <c r="AE37" s="681"/>
      <c r="AF37" s="681"/>
      <c r="AG37" s="681"/>
      <c r="AH37" s="707"/>
      <c r="AI37" s="681"/>
      <c r="AJ37" s="681"/>
      <c r="AK37" s="681"/>
      <c r="AL37" s="707"/>
      <c r="AM37" s="68"/>
      <c r="AN37" s="68"/>
    </row>
    <row r="38" spans="2:41" s="673" customFormat="1" ht="13.5" customHeight="1">
      <c r="B38" s="675" t="s">
        <v>14</v>
      </c>
      <c r="C38" s="60">
        <f t="shared" ref="C38:C41" si="65">N38</f>
        <v>26749</v>
      </c>
      <c r="D38" s="60">
        <f t="shared" ref="D38:D41" si="66">R38</f>
        <v>19151</v>
      </c>
      <c r="E38" s="60">
        <f t="shared" ref="E38:E41" si="67">V38</f>
        <v>15485</v>
      </c>
      <c r="F38" s="341">
        <f t="shared" ref="F38:F41" si="68">Z38</f>
        <v>15395</v>
      </c>
      <c r="G38" s="60">
        <f t="shared" ref="G38:G41" si="69">AD38</f>
        <v>15395</v>
      </c>
      <c r="H38" s="60">
        <f t="shared" ref="H38:H41" si="70">AH38</f>
        <v>15395</v>
      </c>
      <c r="I38" s="60">
        <f t="shared" ref="I38:I41" si="71">AL38</f>
        <v>15395</v>
      </c>
      <c r="K38" s="697">
        <f>K28+K24</f>
        <v>28233</v>
      </c>
      <c r="L38" s="698">
        <f t="shared" ref="L38:AL38" si="72">L28+L24</f>
        <v>28338</v>
      </c>
      <c r="M38" s="698">
        <f t="shared" si="72"/>
        <v>27982</v>
      </c>
      <c r="N38" s="717">
        <f t="shared" si="72"/>
        <v>26749</v>
      </c>
      <c r="O38" s="698">
        <f t="shared" si="72"/>
        <v>25021</v>
      </c>
      <c r="P38" s="698">
        <f t="shared" si="72"/>
        <v>20036</v>
      </c>
      <c r="Q38" s="698">
        <f t="shared" si="72"/>
        <v>19237</v>
      </c>
      <c r="R38" s="717">
        <f t="shared" si="72"/>
        <v>19151</v>
      </c>
      <c r="S38" s="698">
        <f t="shared" si="72"/>
        <v>18298</v>
      </c>
      <c r="T38" s="698">
        <f t="shared" si="72"/>
        <v>17305</v>
      </c>
      <c r="U38" s="698">
        <f t="shared" si="72"/>
        <v>17392</v>
      </c>
      <c r="V38" s="717">
        <f t="shared" si="72"/>
        <v>15485</v>
      </c>
      <c r="W38" s="698">
        <f t="shared" si="72"/>
        <v>16446</v>
      </c>
      <c r="X38" s="698">
        <f t="shared" si="72"/>
        <v>16497</v>
      </c>
      <c r="Y38" s="698">
        <f t="shared" si="72"/>
        <v>16072</v>
      </c>
      <c r="Z38" s="717">
        <f t="shared" si="72"/>
        <v>15395</v>
      </c>
      <c r="AA38" s="698">
        <f t="shared" si="72"/>
        <v>15395</v>
      </c>
      <c r="AB38" s="698">
        <f t="shared" si="72"/>
        <v>15395</v>
      </c>
      <c r="AC38" s="698">
        <f t="shared" si="72"/>
        <v>15395</v>
      </c>
      <c r="AD38" s="717">
        <f t="shared" si="72"/>
        <v>15395</v>
      </c>
      <c r="AE38" s="698">
        <f t="shared" si="72"/>
        <v>15395</v>
      </c>
      <c r="AF38" s="698">
        <f t="shared" si="72"/>
        <v>15395</v>
      </c>
      <c r="AG38" s="698">
        <f t="shared" si="72"/>
        <v>15395</v>
      </c>
      <c r="AH38" s="717">
        <f t="shared" si="72"/>
        <v>15395</v>
      </c>
      <c r="AI38" s="698">
        <f t="shared" si="72"/>
        <v>15395</v>
      </c>
      <c r="AJ38" s="698">
        <f t="shared" si="72"/>
        <v>15395</v>
      </c>
      <c r="AK38" s="698">
        <f t="shared" si="72"/>
        <v>15395</v>
      </c>
      <c r="AL38" s="717">
        <f t="shared" si="72"/>
        <v>15395</v>
      </c>
      <c r="AM38" s="60"/>
      <c r="AN38" s="60"/>
      <c r="AO38" s="47"/>
    </row>
    <row r="39" spans="2:41" s="673" customFormat="1" ht="13.5" customHeight="1">
      <c r="B39" s="675" t="s">
        <v>24</v>
      </c>
      <c r="C39" s="60">
        <f t="shared" si="65"/>
        <v>24775</v>
      </c>
      <c r="D39" s="60">
        <f t="shared" si="66"/>
        <v>14676</v>
      </c>
      <c r="E39" s="60">
        <f t="shared" si="67"/>
        <v>12821</v>
      </c>
      <c r="F39" s="341">
        <f t="shared" si="68"/>
        <v>13764</v>
      </c>
      <c r="G39" s="60">
        <f t="shared" si="69"/>
        <v>14395</v>
      </c>
      <c r="H39" s="60">
        <f t="shared" si="70"/>
        <v>14395</v>
      </c>
      <c r="I39" s="60">
        <f t="shared" si="71"/>
        <v>14395</v>
      </c>
      <c r="K39" s="701">
        <f>K38-K8</f>
        <v>26145</v>
      </c>
      <c r="L39" s="104">
        <f t="shared" ref="L39:AL39" si="73">L38-L8</f>
        <v>26071</v>
      </c>
      <c r="M39" s="104">
        <f t="shared" si="73"/>
        <v>26006</v>
      </c>
      <c r="N39" s="703">
        <f t="shared" si="73"/>
        <v>24775</v>
      </c>
      <c r="O39" s="104">
        <f t="shared" si="73"/>
        <v>23169</v>
      </c>
      <c r="P39" s="104">
        <f t="shared" si="73"/>
        <v>15730</v>
      </c>
      <c r="Q39" s="104">
        <f t="shared" si="73"/>
        <v>15364</v>
      </c>
      <c r="R39" s="703">
        <f t="shared" si="73"/>
        <v>14676</v>
      </c>
      <c r="S39" s="104">
        <f t="shared" si="73"/>
        <v>15539</v>
      </c>
      <c r="T39" s="104">
        <f t="shared" si="73"/>
        <v>14829</v>
      </c>
      <c r="U39" s="104">
        <f t="shared" si="73"/>
        <v>13700</v>
      </c>
      <c r="V39" s="703">
        <f t="shared" si="73"/>
        <v>12821</v>
      </c>
      <c r="W39" s="104">
        <f t="shared" si="73"/>
        <v>14024</v>
      </c>
      <c r="X39" s="104">
        <f t="shared" si="73"/>
        <v>14365</v>
      </c>
      <c r="Y39" s="104">
        <f t="shared" si="73"/>
        <v>14368</v>
      </c>
      <c r="Z39" s="703">
        <f t="shared" si="73"/>
        <v>13764</v>
      </c>
      <c r="AA39" s="104">
        <f t="shared" si="73"/>
        <v>14395</v>
      </c>
      <c r="AB39" s="104">
        <f t="shared" si="73"/>
        <v>14395</v>
      </c>
      <c r="AC39" s="104">
        <f t="shared" si="73"/>
        <v>14395</v>
      </c>
      <c r="AD39" s="703">
        <f t="shared" si="73"/>
        <v>14395</v>
      </c>
      <c r="AE39" s="104">
        <f t="shared" si="73"/>
        <v>14395</v>
      </c>
      <c r="AF39" s="104">
        <f t="shared" si="73"/>
        <v>14395</v>
      </c>
      <c r="AG39" s="104">
        <f t="shared" si="73"/>
        <v>14395</v>
      </c>
      <c r="AH39" s="703">
        <f t="shared" si="73"/>
        <v>14395</v>
      </c>
      <c r="AI39" s="104">
        <f t="shared" si="73"/>
        <v>14395</v>
      </c>
      <c r="AJ39" s="104">
        <f t="shared" si="73"/>
        <v>14395</v>
      </c>
      <c r="AK39" s="104">
        <f t="shared" si="73"/>
        <v>14395</v>
      </c>
      <c r="AL39" s="703">
        <f t="shared" si="73"/>
        <v>14395</v>
      </c>
      <c r="AM39" s="60"/>
      <c r="AN39" s="60"/>
      <c r="AO39" s="47"/>
    </row>
    <row r="40" spans="2:41" s="676" customFormat="1" ht="13.5" customHeight="1">
      <c r="B40" s="675" t="s">
        <v>25</v>
      </c>
      <c r="C40" s="60">
        <f t="shared" si="65"/>
        <v>61966</v>
      </c>
      <c r="D40" s="60">
        <f t="shared" si="66"/>
        <v>51366</v>
      </c>
      <c r="E40" s="60">
        <f t="shared" si="67"/>
        <v>47858</v>
      </c>
      <c r="F40" s="341">
        <f t="shared" si="68"/>
        <v>43248</v>
      </c>
      <c r="G40" s="60">
        <f t="shared" si="69"/>
        <v>43045.195509738354</v>
      </c>
      <c r="H40" s="60">
        <f t="shared" si="70"/>
        <v>43162.324764525649</v>
      </c>
      <c r="I40" s="60">
        <f t="shared" si="71"/>
        <v>43407.189133805077</v>
      </c>
      <c r="K40" s="701">
        <f>K33+K38</f>
        <v>65614</v>
      </c>
      <c r="L40" s="104">
        <f t="shared" ref="L40:AL40" si="74">L33+L38</f>
        <v>67329</v>
      </c>
      <c r="M40" s="104">
        <f t="shared" si="74"/>
        <v>64574</v>
      </c>
      <c r="N40" s="703">
        <f t="shared" si="74"/>
        <v>61966</v>
      </c>
      <c r="O40" s="104">
        <f t="shared" si="74"/>
        <v>61986</v>
      </c>
      <c r="P40" s="104">
        <f t="shared" si="74"/>
        <v>51384</v>
      </c>
      <c r="Q40" s="104">
        <f t="shared" si="74"/>
        <v>50730</v>
      </c>
      <c r="R40" s="703">
        <f t="shared" si="74"/>
        <v>51366</v>
      </c>
      <c r="S40" s="104">
        <f t="shared" si="74"/>
        <v>50172</v>
      </c>
      <c r="T40" s="104">
        <f t="shared" si="74"/>
        <v>48712</v>
      </c>
      <c r="U40" s="104">
        <f t="shared" si="74"/>
        <v>49884</v>
      </c>
      <c r="V40" s="703">
        <f t="shared" si="74"/>
        <v>47858</v>
      </c>
      <c r="W40" s="104">
        <f t="shared" si="74"/>
        <v>48095</v>
      </c>
      <c r="X40" s="104">
        <f t="shared" si="74"/>
        <v>48904</v>
      </c>
      <c r="Y40" s="104">
        <f t="shared" si="74"/>
        <v>47028</v>
      </c>
      <c r="Z40" s="703">
        <f t="shared" si="74"/>
        <v>43248</v>
      </c>
      <c r="AA40" s="104">
        <f t="shared" si="74"/>
        <v>43129.04264</v>
      </c>
      <c r="AB40" s="104">
        <f t="shared" si="74"/>
        <v>43051.764973597208</v>
      </c>
      <c r="AC40" s="104">
        <f t="shared" si="74"/>
        <v>42966.507163845999</v>
      </c>
      <c r="AD40" s="703">
        <f t="shared" si="74"/>
        <v>43045.195509738354</v>
      </c>
      <c r="AE40" s="104">
        <f t="shared" si="74"/>
        <v>42992.766708919007</v>
      </c>
      <c r="AF40" s="104">
        <f t="shared" si="74"/>
        <v>42993.956467007782</v>
      </c>
      <c r="AG40" s="104">
        <f t="shared" si="74"/>
        <v>42991.643902347714</v>
      </c>
      <c r="AH40" s="703">
        <f t="shared" si="74"/>
        <v>43162.324764525649</v>
      </c>
      <c r="AI40" s="104">
        <f t="shared" si="74"/>
        <v>43140.692100153166</v>
      </c>
      <c r="AJ40" s="104">
        <f t="shared" si="74"/>
        <v>43171.773307087686</v>
      </c>
      <c r="AK40" s="104">
        <f t="shared" si="74"/>
        <v>43199.126428661817</v>
      </c>
      <c r="AL40" s="703">
        <f t="shared" si="74"/>
        <v>43407.189133805077</v>
      </c>
      <c r="AM40" s="677"/>
      <c r="AN40" s="677"/>
    </row>
    <row r="41" spans="2:41" s="52" customFormat="1" ht="13.5" customHeight="1">
      <c r="B41" s="374" t="s">
        <v>42</v>
      </c>
      <c r="C41" s="72">
        <f t="shared" si="65"/>
        <v>0.43167220733950878</v>
      </c>
      <c r="D41" s="72">
        <f t="shared" si="66"/>
        <v>0.37283417046295214</v>
      </c>
      <c r="E41" s="72">
        <f t="shared" si="67"/>
        <v>0.32356136905010657</v>
      </c>
      <c r="F41" s="184">
        <f t="shared" si="68"/>
        <v>0.35597021827598962</v>
      </c>
      <c r="G41" s="72">
        <f t="shared" si="69"/>
        <v>0.35764734757720179</v>
      </c>
      <c r="H41" s="72">
        <f t="shared" si="70"/>
        <v>0.35667680283646069</v>
      </c>
      <c r="I41" s="72">
        <f t="shared" si="71"/>
        <v>0.35466475271052578</v>
      </c>
      <c r="K41" s="291">
        <f t="shared" ref="K41:AB41" si="75">K38/K40</f>
        <v>0.43028926753436769</v>
      </c>
      <c r="L41" s="43">
        <f t="shared" si="75"/>
        <v>0.42088847302054094</v>
      </c>
      <c r="M41" s="43">
        <f t="shared" si="75"/>
        <v>0.43333230092606934</v>
      </c>
      <c r="N41" s="292">
        <f t="shared" si="75"/>
        <v>0.43167220733950878</v>
      </c>
      <c r="O41" s="43">
        <f t="shared" si="75"/>
        <v>0.4036556641822347</v>
      </c>
      <c r="P41" s="43">
        <f t="shared" si="75"/>
        <v>0.38992682547096374</v>
      </c>
      <c r="Q41" s="43">
        <f t="shared" si="75"/>
        <v>0.37920362704514093</v>
      </c>
      <c r="R41" s="292">
        <f t="shared" si="75"/>
        <v>0.37283417046295214</v>
      </c>
      <c r="S41" s="43">
        <f t="shared" si="75"/>
        <v>0.36470541337797974</v>
      </c>
      <c r="T41" s="43">
        <f t="shared" si="75"/>
        <v>0.35525127278699292</v>
      </c>
      <c r="U41" s="43">
        <f t="shared" si="75"/>
        <v>0.34864886536765294</v>
      </c>
      <c r="V41" s="292">
        <f t="shared" si="75"/>
        <v>0.32356136905010657</v>
      </c>
      <c r="W41" s="43">
        <f t="shared" si="75"/>
        <v>0.34194822746647263</v>
      </c>
      <c r="X41" s="43">
        <f t="shared" si="75"/>
        <v>0.33733436937673811</v>
      </c>
      <c r="Y41" s="43">
        <f t="shared" si="75"/>
        <v>0.34175384877094495</v>
      </c>
      <c r="Z41" s="292">
        <f t="shared" si="75"/>
        <v>0.35597021827598962</v>
      </c>
      <c r="AA41" s="43">
        <f t="shared" si="75"/>
        <v>0.35695204571320388</v>
      </c>
      <c r="AB41" s="43">
        <f t="shared" si="75"/>
        <v>0.35759277254815097</v>
      </c>
      <c r="AC41" s="43">
        <f>AC38/AC40</f>
        <v>0.35830233864003874</v>
      </c>
      <c r="AD41" s="292">
        <f t="shared" ref="AD41:AL41" si="76">AD38/AD40</f>
        <v>0.35764734757720179</v>
      </c>
      <c r="AE41" s="43">
        <f t="shared" si="76"/>
        <v>0.35808349121216826</v>
      </c>
      <c r="AF41" s="43">
        <f t="shared" si="76"/>
        <v>0.35807358208155704</v>
      </c>
      <c r="AG41" s="43">
        <f t="shared" si="76"/>
        <v>0.35809284322713003</v>
      </c>
      <c r="AH41" s="292">
        <f t="shared" si="76"/>
        <v>0.35667680283646069</v>
      </c>
      <c r="AI41" s="43">
        <f t="shared" si="76"/>
        <v>0.3568556564706884</v>
      </c>
      <c r="AJ41" s="43">
        <f t="shared" si="76"/>
        <v>0.35659874081365428</v>
      </c>
      <c r="AK41" s="43">
        <f t="shared" si="76"/>
        <v>0.35637294715723011</v>
      </c>
      <c r="AL41" s="292">
        <f t="shared" si="76"/>
        <v>0.35466475271052578</v>
      </c>
      <c r="AM41" s="75"/>
      <c r="AN41" s="75"/>
      <c r="AO41" s="64"/>
    </row>
    <row r="42" spans="2:41" ht="13.5" customHeight="1">
      <c r="B42" s="375" t="s">
        <v>240</v>
      </c>
      <c r="C42" s="75">
        <f>C38/IS!C18</f>
        <v>4.7920100322465062</v>
      </c>
      <c r="D42" s="75">
        <f>D38/IS!D18</f>
        <v>3.3967719049308265</v>
      </c>
      <c r="E42" s="75">
        <f>E38/IS!E18</f>
        <v>2.8954749439042633</v>
      </c>
      <c r="F42" s="376">
        <f>F38/IS!F18</f>
        <v>2.8118721461187213</v>
      </c>
      <c r="G42" s="75">
        <f>G38/IS!G18</f>
        <v>3.0639476829390717</v>
      </c>
      <c r="H42" s="75">
        <f>H38/IS!H18</f>
        <v>2.9514681319209899</v>
      </c>
      <c r="I42" s="75">
        <f>I38/IS!I18</f>
        <v>2.8216482560964287</v>
      </c>
      <c r="J42" s="2"/>
      <c r="K42" s="714"/>
      <c r="L42" s="686"/>
      <c r="M42" s="686"/>
      <c r="N42" s="715"/>
      <c r="O42" s="686">
        <f>O38/SUM(IS!K18:N18)</f>
        <v>4.4824435686133999</v>
      </c>
      <c r="P42" s="686">
        <f>P38/SUM(IS!L18:O18)</f>
        <v>3.5443127542897575</v>
      </c>
      <c r="Q42" s="686">
        <f>Q38/SUM(IS!M18:P18)</f>
        <v>3.3719544259421559</v>
      </c>
      <c r="R42" s="715">
        <f>R38/SUM(IS!N18:Q18)</f>
        <v>3.3422338568935426</v>
      </c>
      <c r="S42" s="686">
        <f>S38/SUM(IS!O18:R18)</f>
        <v>3.2454771195459382</v>
      </c>
      <c r="T42" s="686">
        <f>T38/SUM(IS!P18:S18)</f>
        <v>3.1699945044880016</v>
      </c>
      <c r="U42" s="686">
        <f>U38/SUM(IS!Q18:T18)</f>
        <v>3.324794494360543</v>
      </c>
      <c r="V42" s="715">
        <f>V38/SUM(IS!R18:U18)</f>
        <v>3.0386577708006279</v>
      </c>
      <c r="W42" s="686">
        <f>W38/SUM(IS!S18:V18)</f>
        <v>3.0751682872101722</v>
      </c>
      <c r="X42" s="686">
        <f>X38/SUM(IS!T18:W18)</f>
        <v>3.024197983501375</v>
      </c>
      <c r="Y42" s="686">
        <f>Y38/SUM(IS!U18:X18)</f>
        <v>2.9021307331166488</v>
      </c>
      <c r="Z42" s="715">
        <f>Z38/SUM(IS!V18:Y18)</f>
        <v>2.7344582593250446</v>
      </c>
      <c r="AA42" s="686">
        <f>AA38/SUM(IS!W18:Z18)</f>
        <v>2.8118721461187213</v>
      </c>
      <c r="AB42" s="686">
        <f>AB38/SUM(IS!X18:AA18)</f>
        <v>2.8877348932941627</v>
      </c>
      <c r="AC42" s="686">
        <f>AC38/SUM(IS!Y18:AB18)</f>
        <v>2.9495262111577021</v>
      </c>
      <c r="AD42" s="715">
        <f>AD38/SUM(IS!Z18:AC18)</f>
        <v>3.0651658337840906</v>
      </c>
      <c r="AE42" s="686">
        <f>AE38/SUM(IS!AA18:AD18)</f>
        <v>3.0639476829390717</v>
      </c>
      <c r="AF42" s="686">
        <f>AF38/SUM(IS!AB18:AE18)</f>
        <v>3.0478472632663101</v>
      </c>
      <c r="AG42" s="686">
        <f>AG38/SUM(IS!AC18:AF18)</f>
        <v>3.0202665849991126</v>
      </c>
      <c r="AH42" s="715">
        <f>AH38/SUM(IS!AD18:AG18)</f>
        <v>2.9891603188615989</v>
      </c>
      <c r="AI42" s="686">
        <f>AI38/SUM(IS!AE18:AH18)</f>
        <v>2.9514681319209899</v>
      </c>
      <c r="AJ42" s="686">
        <f>AJ38/SUM(IS!AF18:AI18)</f>
        <v>2.9185687932366871</v>
      </c>
      <c r="AK42" s="686">
        <f>AK38/SUM(IS!AG18:AJ18)</f>
        <v>2.8873162054892503</v>
      </c>
      <c r="AL42" s="715">
        <f>AL38/SUM(IS!AH18:AK18)</f>
        <v>2.856810472462409</v>
      </c>
      <c r="AM42" s="55"/>
      <c r="AN42" s="55"/>
    </row>
    <row r="43" spans="2:41" s="91" customFormat="1" ht="13.5" customHeight="1">
      <c r="B43" s="377" t="s">
        <v>21</v>
      </c>
      <c r="C43" s="73">
        <f t="shared" ref="C43:I43" si="77">(C13-C8)-C27</f>
        <v>-4217</v>
      </c>
      <c r="D43" s="73">
        <f t="shared" si="77"/>
        <v>-3726</v>
      </c>
      <c r="E43" s="73">
        <f t="shared" si="77"/>
        <v>-3844</v>
      </c>
      <c r="F43" s="279">
        <f t="shared" si="77"/>
        <v>-3888</v>
      </c>
      <c r="G43" s="73">
        <f t="shared" si="77"/>
        <v>-3698.6840974427723</v>
      </c>
      <c r="H43" s="73">
        <f t="shared" si="77"/>
        <v>-3884.0937061554741</v>
      </c>
      <c r="I43" s="73">
        <f t="shared" si="77"/>
        <v>-4211.4901426560464</v>
      </c>
      <c r="K43" s="290">
        <f>K13-K8-K27</f>
        <v>-4338</v>
      </c>
      <c r="L43" s="98">
        <f t="shared" ref="L43:AL43" si="78">L13-L8-L27</f>
        <v>-5051</v>
      </c>
      <c r="M43" s="98">
        <f t="shared" si="78"/>
        <v>-5007</v>
      </c>
      <c r="N43" s="137">
        <f t="shared" si="78"/>
        <v>-4217</v>
      </c>
      <c r="O43" s="98">
        <f t="shared" si="78"/>
        <v>-3457</v>
      </c>
      <c r="P43" s="98">
        <f t="shared" si="78"/>
        <v>-2168</v>
      </c>
      <c r="Q43" s="98">
        <f t="shared" si="78"/>
        <v>1536.2631578947367</v>
      </c>
      <c r="R43" s="137">
        <f t="shared" si="78"/>
        <v>-3726</v>
      </c>
      <c r="S43" s="98">
        <f t="shared" si="78"/>
        <v>-2311</v>
      </c>
      <c r="T43" s="98">
        <f t="shared" si="78"/>
        <v>-1871</v>
      </c>
      <c r="U43" s="98">
        <f t="shared" si="78"/>
        <v>-3498</v>
      </c>
      <c r="V43" s="137">
        <f t="shared" si="78"/>
        <v>-3844</v>
      </c>
      <c r="W43" s="98">
        <f t="shared" si="78"/>
        <v>-4045</v>
      </c>
      <c r="X43" s="98">
        <f t="shared" si="78"/>
        <v>-3947</v>
      </c>
      <c r="Y43" s="98">
        <f t="shared" si="78"/>
        <v>-3473</v>
      </c>
      <c r="Z43" s="137">
        <f t="shared" si="78"/>
        <v>-3888</v>
      </c>
      <c r="AA43" s="98">
        <f t="shared" si="78"/>
        <v>-3352.5721099999992</v>
      </c>
      <c r="AB43" s="98">
        <f t="shared" si="78"/>
        <v>-3724.3174335839176</v>
      </c>
      <c r="AC43" s="98">
        <f t="shared" si="78"/>
        <v>-3782.8236933351272</v>
      </c>
      <c r="AD43" s="137">
        <f t="shared" si="78"/>
        <v>-3698.6840974427723</v>
      </c>
      <c r="AE43" s="98">
        <f t="shared" si="78"/>
        <v>-3878.8582957621147</v>
      </c>
      <c r="AF43" s="98">
        <f t="shared" si="78"/>
        <v>-3931.3601786733452</v>
      </c>
      <c r="AG43" s="98">
        <f t="shared" si="78"/>
        <v>-3986.7631158334116</v>
      </c>
      <c r="AH43" s="137">
        <f t="shared" si="78"/>
        <v>-3884.0937061554741</v>
      </c>
      <c r="AI43" s="98">
        <f t="shared" si="78"/>
        <v>-4041.8887180429556</v>
      </c>
      <c r="AJ43" s="98">
        <f t="shared" si="78"/>
        <v>-4149.1118267334405</v>
      </c>
      <c r="AK43" s="98">
        <f t="shared" si="78"/>
        <v>-4259.2114910043056</v>
      </c>
      <c r="AL43" s="137">
        <f t="shared" si="78"/>
        <v>-4211.4901426560464</v>
      </c>
      <c r="AM43" s="73"/>
      <c r="AN43" s="73"/>
      <c r="AO43" s="88"/>
    </row>
    <row r="44" spans="2:41" s="91" customFormat="1" ht="13.5" customHeight="1">
      <c r="B44" s="377" t="s">
        <v>43</v>
      </c>
      <c r="C44" s="73"/>
      <c r="D44" s="73">
        <f t="shared" ref="D44:I44" si="79">D43-C43</f>
        <v>491</v>
      </c>
      <c r="E44" s="73">
        <f t="shared" si="79"/>
        <v>-118</v>
      </c>
      <c r="F44" s="279">
        <f t="shared" si="79"/>
        <v>-44</v>
      </c>
      <c r="G44" s="73">
        <f t="shared" si="79"/>
        <v>189.31590255722767</v>
      </c>
      <c r="H44" s="73">
        <f t="shared" si="79"/>
        <v>-185.40960871270181</v>
      </c>
      <c r="I44" s="73">
        <f t="shared" si="79"/>
        <v>-327.39643650057224</v>
      </c>
      <c r="K44" s="290"/>
      <c r="L44" s="98">
        <f t="shared" ref="L44:AL44" si="80">L43-K43</f>
        <v>-713</v>
      </c>
      <c r="M44" s="98">
        <f t="shared" si="80"/>
        <v>44</v>
      </c>
      <c r="N44" s="137">
        <f t="shared" si="80"/>
        <v>790</v>
      </c>
      <c r="O44" s="98">
        <f t="shared" si="80"/>
        <v>760</v>
      </c>
      <c r="P44" s="98">
        <f t="shared" si="80"/>
        <v>1289</v>
      </c>
      <c r="Q44" s="98">
        <f t="shared" si="80"/>
        <v>3704.2631578947367</v>
      </c>
      <c r="R44" s="137">
        <f t="shared" si="80"/>
        <v>-5262.2631578947367</v>
      </c>
      <c r="S44" s="98">
        <f t="shared" si="80"/>
        <v>1415</v>
      </c>
      <c r="T44" s="98">
        <f t="shared" si="80"/>
        <v>440</v>
      </c>
      <c r="U44" s="98">
        <f t="shared" si="80"/>
        <v>-1627</v>
      </c>
      <c r="V44" s="137">
        <f t="shared" si="80"/>
        <v>-346</v>
      </c>
      <c r="W44" s="98">
        <f t="shared" si="80"/>
        <v>-201</v>
      </c>
      <c r="X44" s="98">
        <f t="shared" si="80"/>
        <v>98</v>
      </c>
      <c r="Y44" s="98">
        <f t="shared" si="80"/>
        <v>474</v>
      </c>
      <c r="Z44" s="137">
        <f t="shared" si="80"/>
        <v>-415</v>
      </c>
      <c r="AA44" s="98">
        <f t="shared" si="80"/>
        <v>535.42789000000084</v>
      </c>
      <c r="AB44" s="98">
        <f t="shared" si="80"/>
        <v>-371.74532358391843</v>
      </c>
      <c r="AC44" s="98">
        <f t="shared" si="80"/>
        <v>-58.506259751209654</v>
      </c>
      <c r="AD44" s="137">
        <f t="shared" si="80"/>
        <v>84.139595892354919</v>
      </c>
      <c r="AE44" s="98">
        <f t="shared" si="80"/>
        <v>-180.17419831934239</v>
      </c>
      <c r="AF44" s="98">
        <f t="shared" si="80"/>
        <v>-52.501882911230496</v>
      </c>
      <c r="AG44" s="98">
        <f t="shared" si="80"/>
        <v>-55.402937160066358</v>
      </c>
      <c r="AH44" s="137">
        <f t="shared" si="80"/>
        <v>102.66940967793744</v>
      </c>
      <c r="AI44" s="98">
        <f t="shared" si="80"/>
        <v>-157.79501188748145</v>
      </c>
      <c r="AJ44" s="98">
        <f t="shared" si="80"/>
        <v>-107.22310869048488</v>
      </c>
      <c r="AK44" s="98">
        <f t="shared" si="80"/>
        <v>-110.09966427086511</v>
      </c>
      <c r="AL44" s="137">
        <f t="shared" si="80"/>
        <v>47.721348348259198</v>
      </c>
      <c r="AM44" s="73"/>
      <c r="AN44" s="73"/>
      <c r="AO44" s="88"/>
    </row>
    <row r="45" spans="2:41" ht="13.5" customHeight="1">
      <c r="B45" s="378" t="s">
        <v>44</v>
      </c>
      <c r="C45" s="379">
        <f>-IS!C18/IS!C19</f>
        <v>4.2675840978593271</v>
      </c>
      <c r="D45" s="379">
        <f>-IS!D18/IS!D19</f>
        <v>5.1582799634034764</v>
      </c>
      <c r="E45" s="379">
        <f>-IS!E18/IS!E19</f>
        <v>5.2898120672601383</v>
      </c>
      <c r="F45" s="691">
        <f>-IS!F18/IS!F19</f>
        <v>6.668696711327649</v>
      </c>
      <c r="G45" s="379">
        <f>-IS!G18/IS!G19</f>
        <v>6.0903801212121209</v>
      </c>
      <c r="H45" s="379">
        <f>-IS!H18/IS!H19</f>
        <v>6.5200602343874978</v>
      </c>
      <c r="I45" s="379">
        <f>-IS!I18/IS!I19</f>
        <v>6.8200385921321409</v>
      </c>
      <c r="J45" s="2"/>
      <c r="K45" s="716">
        <f>-IS!K18/IS!K19</f>
        <v>4.3576158940397347</v>
      </c>
      <c r="L45" s="379">
        <f>-IS!L18/IS!L19</f>
        <v>4.7785234899328861</v>
      </c>
      <c r="M45" s="379">
        <f>-IS!M18/IS!M19</f>
        <v>5.0533807829181496</v>
      </c>
      <c r="N45" s="691">
        <f>-IS!N18/IS!N19</f>
        <v>3.3302107728337238</v>
      </c>
      <c r="O45" s="379">
        <f>-IS!O18/IS!O19</f>
        <v>4.9535714285714283</v>
      </c>
      <c r="P45" s="379">
        <f>-IS!P18/IS!P19</f>
        <v>5.2714285714285714</v>
      </c>
      <c r="Q45" s="379">
        <f>-IS!Q18/IS!Q19</f>
        <v>5.6889763779527556</v>
      </c>
      <c r="R45" s="691">
        <f>-IS!R18/IS!R19</f>
        <v>4.7670250896057347</v>
      </c>
      <c r="S45" s="379">
        <f>-IS!S18/IS!S19</f>
        <v>4.4087591240875916</v>
      </c>
      <c r="T45" s="379">
        <f>-IS!T18/IS!T19</f>
        <v>5.3106382978723401</v>
      </c>
      <c r="U45" s="379">
        <f>-IS!U18/IS!U19</f>
        <v>4.9063670411985019</v>
      </c>
      <c r="V45" s="691">
        <f>-IS!V18/IS!V19</f>
        <v>6.731914893617021</v>
      </c>
      <c r="W45" s="379">
        <f>-IS!W18/IS!W19</f>
        <v>5.8185840707964598</v>
      </c>
      <c r="X45" s="379">
        <f>-IS!X18/IS!X19</f>
        <v>6.1620370370370372</v>
      </c>
      <c r="Y45" s="379">
        <f>-IS!Y18/IS!Y19</f>
        <v>7.2642487046632125</v>
      </c>
      <c r="Z45" s="691">
        <f>-IS!Z18/IS!Z19</f>
        <v>7.672043010752688</v>
      </c>
      <c r="AA45" s="379">
        <f>-IS!AA18/IS!AA19</f>
        <v>5.6783905454545458</v>
      </c>
      <c r="AB45" s="379">
        <f>-IS!AB18/IS!AB19</f>
        <v>5.9118269090909088</v>
      </c>
      <c r="AC45" s="379">
        <f>-IS!AC18/IS!AC19</f>
        <v>5.8428334545454543</v>
      </c>
      <c r="AD45" s="691">
        <f>-IS!AD18/IS!AD19</f>
        <v>6.9284695757575756</v>
      </c>
      <c r="AE45" s="379">
        <f>-IS!AE18/IS!AE19</f>
        <v>5.9885529085499991</v>
      </c>
      <c r="AF45" s="379">
        <f>-IS!AF18/IS!AF19</f>
        <v>6.3272016930499992</v>
      </c>
      <c r="AG45" s="379">
        <f>-IS!AG18/IS!AG19</f>
        <v>6.2906400604937485</v>
      </c>
      <c r="AH45" s="691">
        <f>-IS!AH18/IS!AH19</f>
        <v>7.4738462754562498</v>
      </c>
      <c r="AI45" s="379">
        <f>-IS!AI18/IS!AI19</f>
        <v>6.2825403867828209</v>
      </c>
      <c r="AJ45" s="379">
        <f>-IS!AJ18/IS!AJ19</f>
        <v>6.6126788729543433</v>
      </c>
      <c r="AK45" s="379">
        <f>-IS!AK18/IS!AK19</f>
        <v>6.5753190300353443</v>
      </c>
      <c r="AL45" s="691">
        <f>-IS!AL18/IS!AL19</f>
        <v>7.8096160787560578</v>
      </c>
      <c r="AM45" s="55"/>
      <c r="AN45" s="55"/>
    </row>
    <row r="46" spans="2:41" s="3" customFormat="1" ht="13.5" customHeight="1">
      <c r="B46" s="55"/>
      <c r="C46" s="55"/>
      <c r="D46" s="55"/>
      <c r="E46" s="55"/>
      <c r="F46" s="55"/>
      <c r="G46" s="55"/>
      <c r="H46" s="55"/>
      <c r="I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</row>
    <row r="47" spans="2:41" s="49" customFormat="1" ht="13.5" customHeight="1">
      <c r="B47" s="381" t="s">
        <v>126</v>
      </c>
      <c r="C47" s="382">
        <f t="shared" ref="C47:I47" si="81">C21-C35</f>
        <v>0</v>
      </c>
      <c r="D47" s="382">
        <f t="shared" si="81"/>
        <v>0</v>
      </c>
      <c r="E47" s="382">
        <f t="shared" si="81"/>
        <v>0</v>
      </c>
      <c r="F47" s="382">
        <f t="shared" si="81"/>
        <v>0</v>
      </c>
      <c r="G47" s="382">
        <f t="shared" si="81"/>
        <v>0</v>
      </c>
      <c r="H47" s="382">
        <f t="shared" si="81"/>
        <v>0</v>
      </c>
      <c r="I47" s="383">
        <f t="shared" si="81"/>
        <v>0</v>
      </c>
      <c r="K47" s="381">
        <f t="shared" ref="K47:AL47" si="82">K21-K35</f>
        <v>0</v>
      </c>
      <c r="L47" s="382">
        <f t="shared" si="82"/>
        <v>0</v>
      </c>
      <c r="M47" s="382">
        <f t="shared" si="82"/>
        <v>0</v>
      </c>
      <c r="N47" s="382">
        <f t="shared" si="82"/>
        <v>0</v>
      </c>
      <c r="O47" s="382">
        <f t="shared" si="82"/>
        <v>0</v>
      </c>
      <c r="P47" s="382">
        <f t="shared" si="82"/>
        <v>0</v>
      </c>
      <c r="Q47" s="382">
        <f t="shared" si="82"/>
        <v>0</v>
      </c>
      <c r="R47" s="382">
        <f t="shared" si="82"/>
        <v>0</v>
      </c>
      <c r="S47" s="382">
        <f t="shared" si="82"/>
        <v>0</v>
      </c>
      <c r="T47" s="382">
        <f t="shared" si="82"/>
        <v>0</v>
      </c>
      <c r="U47" s="382">
        <f t="shared" si="82"/>
        <v>0</v>
      </c>
      <c r="V47" s="382">
        <f t="shared" si="82"/>
        <v>0</v>
      </c>
      <c r="W47" s="382">
        <f t="shared" si="82"/>
        <v>0</v>
      </c>
      <c r="X47" s="382">
        <f t="shared" si="82"/>
        <v>0</v>
      </c>
      <c r="Y47" s="382">
        <f t="shared" si="82"/>
        <v>0</v>
      </c>
      <c r="Z47" s="382">
        <f t="shared" si="82"/>
        <v>0</v>
      </c>
      <c r="AA47" s="382">
        <f t="shared" si="82"/>
        <v>0</v>
      </c>
      <c r="AB47" s="382">
        <f t="shared" si="82"/>
        <v>0</v>
      </c>
      <c r="AC47" s="382">
        <f t="shared" si="82"/>
        <v>0</v>
      </c>
      <c r="AD47" s="382">
        <f t="shared" si="82"/>
        <v>0</v>
      </c>
      <c r="AE47" s="382">
        <f t="shared" si="82"/>
        <v>0</v>
      </c>
      <c r="AF47" s="382">
        <f t="shared" si="82"/>
        <v>0</v>
      </c>
      <c r="AG47" s="382">
        <f t="shared" si="82"/>
        <v>0</v>
      </c>
      <c r="AH47" s="382">
        <f t="shared" si="82"/>
        <v>0</v>
      </c>
      <c r="AI47" s="382">
        <f t="shared" si="82"/>
        <v>0</v>
      </c>
      <c r="AJ47" s="382">
        <f t="shared" si="82"/>
        <v>0</v>
      </c>
      <c r="AK47" s="382">
        <f t="shared" si="82"/>
        <v>0</v>
      </c>
      <c r="AL47" s="383">
        <f t="shared" si="82"/>
        <v>0</v>
      </c>
      <c r="AM47" s="61"/>
      <c r="AN47" s="61"/>
      <c r="AO47" s="48"/>
    </row>
    <row r="48" spans="2:41" ht="13.5" customHeight="1">
      <c r="B48" s="8"/>
      <c r="C48" s="8"/>
      <c r="D48" s="8"/>
      <c r="E48" s="8"/>
      <c r="F48" s="8"/>
      <c r="G48" s="8"/>
      <c r="H48" s="8"/>
      <c r="I48" s="8"/>
      <c r="J48" s="2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666"/>
      <c r="AD48" s="55"/>
      <c r="AE48" s="55"/>
      <c r="AF48" s="55"/>
      <c r="AG48" s="55"/>
      <c r="AH48" s="55"/>
      <c r="AI48" s="55"/>
      <c r="AJ48" s="55"/>
      <c r="AK48" s="55"/>
      <c r="AL48" s="55"/>
      <c r="AM48" s="55"/>
      <c r="AN48" s="55"/>
    </row>
    <row r="49" spans="2:40" ht="13.5" customHeight="1">
      <c r="B49" s="8" t="s">
        <v>4</v>
      </c>
      <c r="C49" s="47">
        <f>C21</f>
        <v>93837</v>
      </c>
      <c r="D49" s="47">
        <f t="shared" ref="D49:I49" si="83">D21</f>
        <v>75478</v>
      </c>
      <c r="E49" s="47">
        <f t="shared" si="83"/>
        <v>72557</v>
      </c>
      <c r="F49" s="47">
        <f t="shared" si="83"/>
        <v>66772</v>
      </c>
      <c r="G49" s="47">
        <f t="shared" si="83"/>
        <v>66166.39244100354</v>
      </c>
      <c r="H49" s="47">
        <f t="shared" si="83"/>
        <v>66991.062064405123</v>
      </c>
      <c r="I49" s="47">
        <f t="shared" si="83"/>
        <v>68182.432376049124</v>
      </c>
      <c r="J49" s="2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</row>
    <row r="50" spans="2:40" ht="13.5" customHeight="1">
      <c r="B50" s="775" t="s">
        <v>156</v>
      </c>
      <c r="C50" s="47">
        <f>C17</f>
        <v>37297</v>
      </c>
      <c r="D50" s="47">
        <f t="shared" ref="D50:I50" si="84">D17</f>
        <v>25801</v>
      </c>
      <c r="E50" s="47">
        <f t="shared" si="84"/>
        <v>25597</v>
      </c>
      <c r="F50" s="47">
        <f t="shared" si="84"/>
        <v>23389</v>
      </c>
      <c r="G50" s="47">
        <f t="shared" si="84"/>
        <v>23389</v>
      </c>
      <c r="H50" s="47">
        <f t="shared" si="84"/>
        <v>23389</v>
      </c>
      <c r="I50" s="47">
        <f t="shared" si="84"/>
        <v>23389</v>
      </c>
      <c r="J50" s="2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</row>
    <row r="51" spans="2:40" ht="13.5" customHeight="1">
      <c r="B51" s="775" t="s">
        <v>158</v>
      </c>
      <c r="C51" s="47">
        <f>C19</f>
        <v>25186</v>
      </c>
      <c r="D51" s="47">
        <f t="shared" ref="D51:I51" si="85">D19</f>
        <v>22552</v>
      </c>
      <c r="E51" s="47">
        <f t="shared" si="85"/>
        <v>21994</v>
      </c>
      <c r="F51" s="47">
        <f t="shared" si="85"/>
        <v>20335</v>
      </c>
      <c r="G51" s="47">
        <f t="shared" si="85"/>
        <v>20335</v>
      </c>
      <c r="H51" s="47">
        <f t="shared" si="85"/>
        <v>20335</v>
      </c>
      <c r="I51" s="47">
        <f t="shared" si="85"/>
        <v>20335</v>
      </c>
      <c r="J51" s="2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</row>
    <row r="52" spans="2:40" ht="13.5" customHeight="1">
      <c r="B52" s="776" t="s">
        <v>274</v>
      </c>
      <c r="C52" s="34">
        <f>SUM(C50:C51)/C49</f>
        <v>0.66586740837835823</v>
      </c>
      <c r="D52" s="34">
        <f t="shared" ref="D52:I52" si="86">SUM(D50:D51)/D49</f>
        <v>0.64062375791621395</v>
      </c>
      <c r="E52" s="34">
        <f t="shared" si="86"/>
        <v>0.65591190374464214</v>
      </c>
      <c r="F52" s="34">
        <f t="shared" si="86"/>
        <v>0.65482537590606837</v>
      </c>
      <c r="G52" s="34">
        <f t="shared" si="86"/>
        <v>0.66081885964972287</v>
      </c>
      <c r="H52" s="34">
        <f t="shared" si="86"/>
        <v>0.65268408430312397</v>
      </c>
      <c r="I52" s="34">
        <f t="shared" si="86"/>
        <v>0.6412795565703403</v>
      </c>
      <c r="J52" s="2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</row>
    <row r="53" spans="2:40" ht="13.5" customHeight="1">
      <c r="B53" s="8"/>
      <c r="C53" s="8"/>
      <c r="D53" s="8"/>
      <c r="E53" s="8"/>
      <c r="F53" s="8"/>
      <c r="G53" s="8"/>
      <c r="H53" s="8"/>
      <c r="I53" s="8"/>
      <c r="J53" s="2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</row>
    <row r="54" spans="2:40" ht="13.5" customHeight="1">
      <c r="B54" s="8" t="s">
        <v>24</v>
      </c>
      <c r="C54" s="47">
        <f>C39</f>
        <v>24775</v>
      </c>
      <c r="D54" s="8"/>
      <c r="E54" s="8"/>
      <c r="F54" s="8"/>
      <c r="G54" s="8"/>
      <c r="H54" s="8"/>
      <c r="I54" s="8"/>
      <c r="J54" s="2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</row>
    <row r="55" spans="2:40" ht="13.5" customHeight="1">
      <c r="B55" s="8" t="s">
        <v>275</v>
      </c>
      <c r="C55" s="47">
        <f>C33</f>
        <v>35217</v>
      </c>
      <c r="D55" s="8"/>
      <c r="E55" s="8"/>
      <c r="F55" s="8"/>
      <c r="G55" s="8"/>
      <c r="H55" s="8"/>
      <c r="I55" s="8"/>
      <c r="J55" s="2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5"/>
      <c r="AN55" s="55"/>
    </row>
    <row r="56" spans="2:40" ht="13.5" customHeight="1">
      <c r="B56" s="8" t="s">
        <v>98</v>
      </c>
      <c r="C56" s="47">
        <f>SUM(C54:C55)</f>
        <v>59992</v>
      </c>
      <c r="D56" s="8"/>
      <c r="E56" s="8"/>
      <c r="F56" s="8"/>
      <c r="G56" s="8"/>
      <c r="H56" s="8"/>
      <c r="I56" s="8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</row>
    <row r="57" spans="2:40" ht="13.5" customHeight="1">
      <c r="B57" s="8" t="s">
        <v>276</v>
      </c>
      <c r="C57" s="47">
        <f>C51+C50</f>
        <v>62483</v>
      </c>
      <c r="D57" s="8"/>
      <c r="E57" s="8"/>
      <c r="F57" s="8"/>
      <c r="G57" s="8"/>
      <c r="H57" s="8"/>
      <c r="I57" s="8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</row>
    <row r="58" spans="2:40" ht="13.5" customHeight="1">
      <c r="B58" s="8"/>
      <c r="C58" s="8"/>
      <c r="D58" s="8"/>
      <c r="E58" s="8"/>
      <c r="F58" s="8"/>
      <c r="G58" s="8"/>
      <c r="H58" s="8"/>
      <c r="I58" s="8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</row>
    <row r="59" spans="2:40" ht="13.5" customHeight="1">
      <c r="B59" s="8"/>
      <c r="C59" s="8"/>
      <c r="D59" s="8"/>
      <c r="E59" s="8"/>
      <c r="F59" s="8"/>
      <c r="G59" s="8"/>
      <c r="H59" s="8"/>
      <c r="I59" s="8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</row>
    <row r="60" spans="2:40" ht="13.5" customHeight="1">
      <c r="B60" s="8"/>
      <c r="C60" s="8"/>
      <c r="D60" s="8"/>
      <c r="E60" s="8"/>
      <c r="F60" s="8"/>
      <c r="G60" s="8"/>
      <c r="H60" s="8"/>
      <c r="I60" s="8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</row>
    <row r="61" spans="2:40" ht="13.5" customHeight="1">
      <c r="B61" s="8"/>
      <c r="C61" s="8"/>
      <c r="D61" s="8"/>
      <c r="E61" s="8"/>
      <c r="F61" s="8"/>
      <c r="G61" s="8"/>
      <c r="H61" s="8"/>
      <c r="I61" s="8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55"/>
      <c r="AM61" s="55"/>
      <c r="AN61" s="55"/>
    </row>
    <row r="62" spans="2:40" ht="13.5" customHeight="1">
      <c r="B62" s="8"/>
      <c r="C62" s="8"/>
      <c r="D62" s="8"/>
      <c r="E62" s="8"/>
      <c r="F62" s="8"/>
      <c r="G62" s="8"/>
      <c r="H62" s="8"/>
      <c r="I62" s="8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55"/>
      <c r="AN62" s="55"/>
    </row>
    <row r="63" spans="2:40" ht="13.5" customHeight="1"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5"/>
    </row>
    <row r="64" spans="2:40" ht="13.5" customHeight="1"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  <c r="AK64" s="55"/>
      <c r="AL64" s="55"/>
      <c r="AM64" s="55"/>
      <c r="AN64" s="55"/>
    </row>
    <row r="65" spans="11:40" ht="13.5" customHeight="1"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5"/>
      <c r="AI65" s="55"/>
      <c r="AJ65" s="55"/>
      <c r="AK65" s="55"/>
      <c r="AL65" s="55"/>
      <c r="AM65" s="55"/>
      <c r="AN65" s="55"/>
    </row>
    <row r="66" spans="11:40" ht="13.5" customHeight="1"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  <c r="AK66" s="55"/>
      <c r="AL66" s="55"/>
      <c r="AM66" s="55"/>
      <c r="AN66" s="55"/>
    </row>
    <row r="67" spans="11:40" ht="13.5" customHeight="1"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55"/>
      <c r="AM67" s="55"/>
      <c r="AN67" s="55"/>
    </row>
    <row r="68" spans="11:40" ht="13.5" customHeight="1"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  <c r="AL68" s="55"/>
      <c r="AM68" s="55"/>
      <c r="AN68" s="55"/>
    </row>
    <row r="69" spans="11:40" ht="13.5" customHeight="1"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  <c r="AK69" s="55"/>
      <c r="AL69" s="55"/>
      <c r="AM69" s="55"/>
      <c r="AN69" s="55"/>
    </row>
    <row r="70" spans="11:40" ht="13.5" customHeight="1"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  <c r="AK70" s="55"/>
      <c r="AL70" s="55"/>
      <c r="AM70" s="55"/>
      <c r="AN70" s="55"/>
    </row>
    <row r="71" spans="11:40" ht="13.5" customHeight="1"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  <c r="AI71" s="55"/>
      <c r="AJ71" s="55"/>
      <c r="AK71" s="55"/>
      <c r="AL71" s="55"/>
      <c r="AM71" s="55"/>
      <c r="AN71" s="55"/>
    </row>
    <row r="72" spans="11:40" ht="13.5" customHeight="1"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5"/>
      <c r="AI72" s="55"/>
      <c r="AJ72" s="55"/>
      <c r="AK72" s="55"/>
      <c r="AL72" s="55"/>
      <c r="AM72" s="55"/>
      <c r="AN72" s="55"/>
    </row>
  </sheetData>
  <pageMargins left="0.7" right="0.7" top="0.75" bottom="0.75" header="0.3" footer="0.3"/>
  <pageSetup scale="93" fitToWidth="0" orientation="landscape" r:id="rId1"/>
  <rowBreaks count="1" manualBreakCount="1">
    <brk id="35" min="1" max="10" man="1"/>
  </rowBreaks>
  <colBreaks count="1" manualBreakCount="1">
    <brk id="9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18"/>
  <dimension ref="A1:BG58"/>
  <sheetViews>
    <sheetView showGridLines="0" view="pageBreakPreview" zoomScaleNormal="100" zoomScaleSheetLayoutView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defaultColWidth="9.83203125" defaultRowHeight="13.5" customHeight="1"/>
  <cols>
    <col min="1" max="1" width="5.83203125" customWidth="1"/>
    <col min="2" max="2" width="41.5" customWidth="1"/>
    <col min="3" max="6" width="11.83203125" customWidth="1"/>
    <col min="7" max="9" width="11.83203125" style="1" customWidth="1"/>
    <col min="11" max="38" width="9.83203125" style="14" customWidth="1"/>
    <col min="39" max="54" width="9.83203125" style="14"/>
  </cols>
  <sheetData>
    <row r="1" spans="1:59" ht="13.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30">
        <v>40633</v>
      </c>
      <c r="L1" s="30">
        <f t="shared" ref="L1:AL1" si="0">EOMONTH(K1,3)</f>
        <v>40724</v>
      </c>
      <c r="M1" s="30">
        <f t="shared" si="0"/>
        <v>40816</v>
      </c>
      <c r="N1" s="30">
        <f t="shared" si="0"/>
        <v>40908</v>
      </c>
      <c r="O1" s="30">
        <f t="shared" si="0"/>
        <v>40999</v>
      </c>
      <c r="P1" s="30">
        <f t="shared" si="0"/>
        <v>41090</v>
      </c>
      <c r="Q1" s="30">
        <f t="shared" si="0"/>
        <v>41182</v>
      </c>
      <c r="R1" s="30">
        <f t="shared" si="0"/>
        <v>41274</v>
      </c>
      <c r="S1" s="30">
        <f t="shared" si="0"/>
        <v>41364</v>
      </c>
      <c r="T1" s="30">
        <f t="shared" si="0"/>
        <v>41455</v>
      </c>
      <c r="U1" s="30">
        <f t="shared" si="0"/>
        <v>41547</v>
      </c>
      <c r="V1" s="30">
        <f t="shared" si="0"/>
        <v>41639</v>
      </c>
      <c r="W1" s="30">
        <f t="shared" si="0"/>
        <v>41729</v>
      </c>
      <c r="X1" s="30">
        <f t="shared" si="0"/>
        <v>41820</v>
      </c>
      <c r="Y1" s="30">
        <f t="shared" si="0"/>
        <v>41912</v>
      </c>
      <c r="Z1" s="30">
        <f t="shared" si="0"/>
        <v>42004</v>
      </c>
      <c r="AA1" s="30">
        <f t="shared" si="0"/>
        <v>42094</v>
      </c>
      <c r="AB1" s="30">
        <f t="shared" si="0"/>
        <v>42185</v>
      </c>
      <c r="AC1" s="30">
        <f t="shared" si="0"/>
        <v>42277</v>
      </c>
      <c r="AD1" s="30">
        <f t="shared" si="0"/>
        <v>42369</v>
      </c>
      <c r="AE1" s="30">
        <f t="shared" si="0"/>
        <v>42460</v>
      </c>
      <c r="AF1" s="30">
        <f t="shared" si="0"/>
        <v>42551</v>
      </c>
      <c r="AG1" s="30">
        <f t="shared" si="0"/>
        <v>42643</v>
      </c>
      <c r="AH1" s="30">
        <f t="shared" si="0"/>
        <v>42735</v>
      </c>
      <c r="AI1" s="30">
        <f t="shared" si="0"/>
        <v>42825</v>
      </c>
      <c r="AJ1" s="30">
        <f t="shared" si="0"/>
        <v>42916</v>
      </c>
      <c r="AK1" s="30">
        <f t="shared" si="0"/>
        <v>43008</v>
      </c>
      <c r="AL1" s="30">
        <f t="shared" si="0"/>
        <v>43100</v>
      </c>
    </row>
    <row r="2" spans="1:59" ht="13.5" customHeight="1">
      <c r="A2" s="11"/>
      <c r="B2" s="344" t="str">
        <f>BS!B2</f>
        <v>Mondelez International, Inc. (MDLZ)</v>
      </c>
      <c r="C2" s="2"/>
      <c r="D2" s="2"/>
      <c r="E2" s="2"/>
      <c r="F2" s="2"/>
      <c r="G2" s="2"/>
      <c r="H2" s="2"/>
      <c r="I2" s="2"/>
      <c r="J2" s="2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</row>
    <row r="3" spans="1:59" ht="13.5" customHeight="1">
      <c r="A3" s="11"/>
      <c r="B3" s="8" t="s">
        <v>19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</row>
    <row r="4" spans="1:59" ht="13.5" customHeight="1">
      <c r="A4" s="11"/>
      <c r="B4" s="8" t="s">
        <v>8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</row>
    <row r="5" spans="1:59" ht="13.5" customHeight="1">
      <c r="A5" s="11"/>
      <c r="B5" s="8"/>
      <c r="C5" s="5" t="s">
        <v>11</v>
      </c>
      <c r="D5" s="4"/>
      <c r="E5" s="4"/>
      <c r="F5" s="318"/>
      <c r="G5" s="4"/>
      <c r="H5" s="4"/>
      <c r="I5" s="4"/>
      <c r="J5" s="8"/>
      <c r="K5" s="29">
        <v>2011</v>
      </c>
      <c r="L5" s="27"/>
      <c r="M5" s="27"/>
      <c r="N5" s="28"/>
      <c r="O5" s="29">
        <f>K5+1</f>
        <v>2012</v>
      </c>
      <c r="P5" s="27"/>
      <c r="Q5" s="27"/>
      <c r="R5" s="28"/>
      <c r="S5" s="29">
        <f>O5+1</f>
        <v>2013</v>
      </c>
      <c r="T5" s="27"/>
      <c r="U5" s="27"/>
      <c r="V5" s="28"/>
      <c r="W5" s="29">
        <f>S5+1</f>
        <v>2014</v>
      </c>
      <c r="X5" s="27"/>
      <c r="Y5" s="27"/>
      <c r="Z5" s="28"/>
      <c r="AA5" s="29">
        <f>W5+1</f>
        <v>2015</v>
      </c>
      <c r="AB5" s="27"/>
      <c r="AC5" s="27"/>
      <c r="AD5" s="28"/>
      <c r="AE5" s="29">
        <f>AA5+1</f>
        <v>2016</v>
      </c>
      <c r="AF5" s="27"/>
      <c r="AG5" s="27"/>
      <c r="AH5" s="28"/>
      <c r="AI5" s="29">
        <f>AE5+1</f>
        <v>2017</v>
      </c>
      <c r="AJ5" s="27"/>
      <c r="AK5" s="27"/>
      <c r="AL5" s="28"/>
      <c r="AM5" s="8"/>
      <c r="AN5" s="8"/>
      <c r="AO5" s="8"/>
      <c r="AP5" s="8"/>
      <c r="AQ5" s="8"/>
      <c r="AR5" s="8"/>
      <c r="AS5" s="8"/>
      <c r="AT5" s="8"/>
      <c r="AU5" s="8"/>
      <c r="AV5" s="8"/>
    </row>
    <row r="6" spans="1:59" ht="13.5" customHeight="1">
      <c r="A6" s="11"/>
      <c r="B6" s="65"/>
      <c r="C6" s="17">
        <v>2011</v>
      </c>
      <c r="D6" s="17">
        <f t="shared" ref="D6:I6" si="1">C6+1</f>
        <v>2012</v>
      </c>
      <c r="E6" s="17">
        <f t="shared" si="1"/>
        <v>2013</v>
      </c>
      <c r="F6" s="494">
        <f t="shared" si="1"/>
        <v>2014</v>
      </c>
      <c r="G6" s="15">
        <f t="shared" si="1"/>
        <v>2015</v>
      </c>
      <c r="H6" s="12">
        <f t="shared" si="1"/>
        <v>2016</v>
      </c>
      <c r="I6" s="12">
        <f t="shared" si="1"/>
        <v>2017</v>
      </c>
      <c r="J6" s="8"/>
      <c r="K6" s="39">
        <v>1</v>
      </c>
      <c r="L6" s="39">
        <f>K6+1</f>
        <v>2</v>
      </c>
      <c r="M6" s="39">
        <f>L6+1</f>
        <v>3</v>
      </c>
      <c r="N6" s="39">
        <f>M6+1</f>
        <v>4</v>
      </c>
      <c r="O6" s="39">
        <v>1</v>
      </c>
      <c r="P6" s="39">
        <f>O6+1</f>
        <v>2</v>
      </c>
      <c r="Q6" s="39">
        <f>P6+1</f>
        <v>3</v>
      </c>
      <c r="R6" s="39">
        <f>Q6+1</f>
        <v>4</v>
      </c>
      <c r="S6" s="39">
        <v>1</v>
      </c>
      <c r="T6" s="39">
        <f>S6+1</f>
        <v>2</v>
      </c>
      <c r="U6" s="39">
        <f>T6+1</f>
        <v>3</v>
      </c>
      <c r="V6" s="39">
        <f>U6+1</f>
        <v>4</v>
      </c>
      <c r="W6" s="39">
        <v>1</v>
      </c>
      <c r="X6" s="39">
        <f>W6+1</f>
        <v>2</v>
      </c>
      <c r="Y6" s="39">
        <f>X6+1</f>
        <v>3</v>
      </c>
      <c r="Z6" s="39">
        <f>Y6+1</f>
        <v>4</v>
      </c>
      <c r="AA6" s="39">
        <v>1</v>
      </c>
      <c r="AB6" s="39">
        <f>AA6+1</f>
        <v>2</v>
      </c>
      <c r="AC6" s="39">
        <f>AB6+1</f>
        <v>3</v>
      </c>
      <c r="AD6" s="39">
        <f>AC6+1</f>
        <v>4</v>
      </c>
      <c r="AE6" s="39">
        <v>1</v>
      </c>
      <c r="AF6" s="39">
        <f>AE6+1</f>
        <v>2</v>
      </c>
      <c r="AG6" s="39">
        <f>AF6+1</f>
        <v>3</v>
      </c>
      <c r="AH6" s="39">
        <f>AG6+1</f>
        <v>4</v>
      </c>
      <c r="AI6" s="39">
        <v>1</v>
      </c>
      <c r="AJ6" s="39">
        <f>AI6+1</f>
        <v>2</v>
      </c>
      <c r="AK6" s="39">
        <f>AJ6+1</f>
        <v>3</v>
      </c>
      <c r="AL6" s="39">
        <f>AK6+1</f>
        <v>4</v>
      </c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59" ht="13.5" customHeight="1">
      <c r="A7" s="319"/>
      <c r="B7" s="37" t="s">
        <v>80</v>
      </c>
      <c r="C7" s="57"/>
      <c r="D7" s="57"/>
      <c r="E7" s="57"/>
      <c r="F7" s="687"/>
      <c r="G7" s="57"/>
      <c r="H7" s="53"/>
      <c r="I7" s="53"/>
      <c r="J7" s="8"/>
      <c r="AM7" s="55"/>
      <c r="AN7" s="55"/>
      <c r="AO7" s="55"/>
      <c r="AP7" s="55"/>
      <c r="AQ7" s="55"/>
      <c r="AR7" s="55"/>
      <c r="AS7" s="8"/>
      <c r="AT7" s="8"/>
      <c r="AU7" s="8"/>
      <c r="AV7" s="8"/>
    </row>
    <row r="8" spans="1:59" s="754" customFormat="1" ht="13.5" customHeight="1">
      <c r="A8" s="745"/>
      <c r="B8" s="746" t="s">
        <v>0</v>
      </c>
      <c r="C8" s="499">
        <f>SUM(K8:N8)</f>
        <v>3547</v>
      </c>
      <c r="D8" s="499">
        <f>SUM(O8:R8)</f>
        <v>3055</v>
      </c>
      <c r="E8" s="499">
        <f>SUM(S8:V8)</f>
        <v>3935</v>
      </c>
      <c r="F8" s="747">
        <f>SUM(W8:Z8)</f>
        <v>2201</v>
      </c>
      <c r="G8" s="498">
        <f>SUM(AA8:AD8)</f>
        <v>2596.02772</v>
      </c>
      <c r="H8" s="499">
        <f>SUM(AE8:AH8)</f>
        <v>2752.8900728079998</v>
      </c>
      <c r="I8" s="499">
        <f>SUM(AI8:AL8)</f>
        <v>2919.0160543405709</v>
      </c>
      <c r="J8" s="748"/>
      <c r="K8" s="749">
        <v>802</v>
      </c>
      <c r="L8" s="750">
        <v>976</v>
      </c>
      <c r="M8" s="750">
        <v>927</v>
      </c>
      <c r="N8" s="751">
        <v>842</v>
      </c>
      <c r="O8" s="750">
        <v>819</v>
      </c>
      <c r="P8" s="750">
        <v>1034</v>
      </c>
      <c r="Q8" s="750">
        <v>659</v>
      </c>
      <c r="R8" s="751">
        <v>543</v>
      </c>
      <c r="S8" s="750">
        <v>574</v>
      </c>
      <c r="T8" s="750">
        <v>617</v>
      </c>
      <c r="U8" s="750">
        <v>1030</v>
      </c>
      <c r="V8" s="751">
        <v>1714</v>
      </c>
      <c r="W8" s="750">
        <v>150</v>
      </c>
      <c r="X8" s="750">
        <v>642</v>
      </c>
      <c r="Y8" s="750">
        <v>902</v>
      </c>
      <c r="Z8" s="751">
        <v>507</v>
      </c>
      <c r="AA8" s="752">
        <f>IS!AA23</f>
        <v>583.64264000000003</v>
      </c>
      <c r="AB8" s="752">
        <f>IS!AB23</f>
        <v>623.35784000000001</v>
      </c>
      <c r="AC8" s="752">
        <f>IS!AC23</f>
        <v>613.46875999999997</v>
      </c>
      <c r="AD8" s="753">
        <f>IS!AD23</f>
        <v>775.55848000000003</v>
      </c>
      <c r="AE8" s="752">
        <f>IS!AE23</f>
        <v>608.97214736799981</v>
      </c>
      <c r="AF8" s="752">
        <f>IS!AF23</f>
        <v>660.92230168799983</v>
      </c>
      <c r="AG8" s="752">
        <f>IS!AG23</f>
        <v>655.79396267899972</v>
      </c>
      <c r="AH8" s="753">
        <f>IS!AH23</f>
        <v>827.20166107299997</v>
      </c>
      <c r="AI8" s="752">
        <f>IS!AI23</f>
        <v>649.27658387325141</v>
      </c>
      <c r="AJ8" s="752">
        <f>IS!AJ23</f>
        <v>700.38516717269488</v>
      </c>
      <c r="AK8" s="752">
        <f>IS!AK23</f>
        <v>695.08881612965524</v>
      </c>
      <c r="AL8" s="753">
        <f>IS!AL23</f>
        <v>874.26548716496904</v>
      </c>
      <c r="AM8" s="498"/>
      <c r="AN8" s="498"/>
      <c r="AO8" s="498"/>
      <c r="AP8" s="498"/>
      <c r="AQ8" s="498"/>
      <c r="AR8" s="498"/>
      <c r="AS8" s="499"/>
      <c r="AT8" s="499"/>
      <c r="AU8" s="499"/>
      <c r="AV8" s="499"/>
      <c r="AW8" s="499"/>
      <c r="AX8" s="417"/>
      <c r="AY8" s="417"/>
      <c r="AZ8" s="417"/>
      <c r="BA8" s="417"/>
      <c r="BB8" s="417"/>
    </row>
    <row r="9" spans="1:59" s="89" customFormat="1" ht="13.5" customHeight="1">
      <c r="A9" s="67"/>
      <c r="B9" s="366" t="s">
        <v>51</v>
      </c>
      <c r="C9" s="99">
        <f t="shared" ref="C9:C21" si="2">SUM(K9:N9)</f>
        <v>1485</v>
      </c>
      <c r="D9" s="99">
        <f t="shared" ref="D9:D21" si="3">SUM(O9:R9)</f>
        <v>1345</v>
      </c>
      <c r="E9" s="99">
        <f t="shared" ref="E9:E21" si="4">SUM(S9:V9)</f>
        <v>1077</v>
      </c>
      <c r="F9" s="134">
        <f t="shared" ref="F9:F21" si="5">SUM(W9:Z9)</f>
        <v>1059</v>
      </c>
      <c r="G9" s="74">
        <f t="shared" ref="G9:G21" si="6">SUM(AA9:AD9)</f>
        <v>919.5289499999999</v>
      </c>
      <c r="H9" s="99">
        <f t="shared" ref="H9:H21" si="7">SUM(AE9:AH9)</f>
        <v>939.93559649999986</v>
      </c>
      <c r="I9" s="99">
        <f t="shared" ref="I9:I21" si="8">SUM(AI9:AL9)</f>
        <v>972.26080577999994</v>
      </c>
      <c r="J9" s="88"/>
      <c r="K9" s="290">
        <v>372</v>
      </c>
      <c r="L9" s="98">
        <v>370</v>
      </c>
      <c r="M9" s="98">
        <v>375</v>
      </c>
      <c r="N9" s="137">
        <v>368</v>
      </c>
      <c r="O9" s="98">
        <v>357</v>
      </c>
      <c r="P9" s="98">
        <v>352</v>
      </c>
      <c r="Q9" s="98">
        <v>356</v>
      </c>
      <c r="R9" s="137">
        <v>280</v>
      </c>
      <c r="S9" s="98">
        <v>266</v>
      </c>
      <c r="T9" s="98">
        <v>266</v>
      </c>
      <c r="U9" s="98">
        <v>276</v>
      </c>
      <c r="V9" s="137">
        <v>269</v>
      </c>
      <c r="W9" s="98">
        <v>262</v>
      </c>
      <c r="X9" s="98">
        <v>271</v>
      </c>
      <c r="Y9" s="98">
        <v>264</v>
      </c>
      <c r="Z9" s="137">
        <v>262</v>
      </c>
      <c r="AA9" s="106">
        <f>IS!AA7*IS!AA34</f>
        <v>226.61474999999999</v>
      </c>
      <c r="AB9" s="106">
        <f>IS!AB7*IS!AB34</f>
        <v>225.11699999999999</v>
      </c>
      <c r="AC9" s="106">
        <f>IS!AC7*IS!AC34</f>
        <v>223.24844999999999</v>
      </c>
      <c r="AD9" s="622">
        <f>IS!AD7*IS!AD34</f>
        <v>244.54874999999998</v>
      </c>
      <c r="AE9" s="106">
        <f>IS!AE7*IS!AE34</f>
        <v>227.7453975</v>
      </c>
      <c r="AF9" s="106">
        <f>IS!AF7*IS!AF34</f>
        <v>230.53746149999998</v>
      </c>
      <c r="AG9" s="106">
        <f>IS!AG7*IS!AG34</f>
        <v>229.63555874999994</v>
      </c>
      <c r="AH9" s="622">
        <f>IS!AH7*IS!AH34</f>
        <v>252.01717875</v>
      </c>
      <c r="AI9" s="106">
        <f>IS!AI7*IS!AI34</f>
        <v>236.16234751499996</v>
      </c>
      <c r="AJ9" s="106">
        <f>IS!AJ7*IS!AJ34</f>
        <v>238.30431562499999</v>
      </c>
      <c r="AK9" s="106">
        <f>IS!AK7*IS!AK34</f>
        <v>237.45278584499997</v>
      </c>
      <c r="AL9" s="622">
        <f>IS!AL7*IS!AL34</f>
        <v>260.34135679500002</v>
      </c>
      <c r="AM9" s="74"/>
      <c r="AN9" s="74"/>
      <c r="AO9" s="74"/>
      <c r="AP9" s="74"/>
      <c r="AQ9" s="74"/>
      <c r="AR9" s="74"/>
      <c r="AS9" s="99"/>
      <c r="AT9" s="99"/>
      <c r="AU9" s="99"/>
      <c r="AV9" s="99"/>
      <c r="AW9" s="99"/>
      <c r="AX9" s="114"/>
      <c r="AY9" s="114"/>
      <c r="AZ9" s="114"/>
      <c r="BA9" s="114"/>
      <c r="BB9" s="114"/>
    </row>
    <row r="10" spans="1:59" s="413" customFormat="1" ht="13.5" customHeight="1">
      <c r="A10" s="724"/>
      <c r="B10" s="365" t="s">
        <v>166</v>
      </c>
      <c r="C10" s="99">
        <f t="shared" si="2"/>
        <v>-351</v>
      </c>
      <c r="D10" s="99">
        <f t="shared" si="3"/>
        <v>410</v>
      </c>
      <c r="E10" s="99">
        <f t="shared" si="4"/>
        <v>-64</v>
      </c>
      <c r="F10" s="134">
        <f t="shared" si="5"/>
        <v>-186</v>
      </c>
      <c r="G10" s="728">
        <f t="shared" si="6"/>
        <v>0</v>
      </c>
      <c r="H10" s="728">
        <f t="shared" si="7"/>
        <v>0</v>
      </c>
      <c r="I10" s="728">
        <f t="shared" si="8"/>
        <v>0</v>
      </c>
      <c r="J10" s="725"/>
      <c r="K10" s="290">
        <v>-177</v>
      </c>
      <c r="L10" s="98">
        <v>11</v>
      </c>
      <c r="M10" s="98">
        <v>-263</v>
      </c>
      <c r="N10" s="137">
        <v>78</v>
      </c>
      <c r="O10" s="98">
        <v>-96</v>
      </c>
      <c r="P10" s="98">
        <v>6</v>
      </c>
      <c r="Q10" s="98">
        <v>551</v>
      </c>
      <c r="R10" s="137">
        <v>-51</v>
      </c>
      <c r="S10" s="98">
        <v>-104</v>
      </c>
      <c r="T10" s="98">
        <v>-62</v>
      </c>
      <c r="U10" s="98">
        <v>-71</v>
      </c>
      <c r="V10" s="137">
        <v>173</v>
      </c>
      <c r="W10" s="98">
        <v>-98</v>
      </c>
      <c r="X10" s="98">
        <v>-82</v>
      </c>
      <c r="Y10" s="98">
        <v>-75</v>
      </c>
      <c r="Z10" s="137">
        <v>69</v>
      </c>
      <c r="AA10" s="98">
        <v>0</v>
      </c>
      <c r="AB10" s="98">
        <v>0</v>
      </c>
      <c r="AC10" s="98">
        <v>0</v>
      </c>
      <c r="AD10" s="137">
        <v>0</v>
      </c>
      <c r="AE10" s="98">
        <v>0</v>
      </c>
      <c r="AF10" s="98">
        <v>0</v>
      </c>
      <c r="AG10" s="98">
        <v>0</v>
      </c>
      <c r="AH10" s="137">
        <v>0</v>
      </c>
      <c r="AI10" s="98">
        <v>0</v>
      </c>
      <c r="AJ10" s="98">
        <v>0</v>
      </c>
      <c r="AK10" s="98">
        <v>0</v>
      </c>
      <c r="AL10" s="137">
        <v>0</v>
      </c>
      <c r="AM10" s="98"/>
      <c r="AN10" s="98"/>
      <c r="AO10" s="98"/>
      <c r="AP10" s="98"/>
      <c r="AQ10" s="98"/>
      <c r="AR10" s="98"/>
      <c r="AS10" s="735"/>
      <c r="AT10" s="735"/>
      <c r="AU10" s="735"/>
      <c r="AV10" s="735"/>
      <c r="AW10" s="735"/>
      <c r="AY10" s="643"/>
      <c r="AZ10" s="643"/>
      <c r="BA10" s="643"/>
      <c r="BB10" s="643"/>
      <c r="BC10" s="643"/>
      <c r="BD10" s="643"/>
      <c r="BE10" s="643"/>
      <c r="BF10" s="643"/>
      <c r="BG10" s="643"/>
    </row>
    <row r="11" spans="1:59" s="413" customFormat="1" ht="13.5" customHeight="1">
      <c r="A11" s="724"/>
      <c r="B11" s="365" t="s">
        <v>167</v>
      </c>
      <c r="C11" s="99">
        <f t="shared" si="2"/>
        <v>0</v>
      </c>
      <c r="D11" s="99">
        <f t="shared" si="3"/>
        <v>-107</v>
      </c>
      <c r="E11" s="99">
        <f t="shared" si="4"/>
        <v>-30</v>
      </c>
      <c r="F11" s="134">
        <f t="shared" si="5"/>
        <v>0</v>
      </c>
      <c r="G11" s="728">
        <f t="shared" si="6"/>
        <v>0</v>
      </c>
      <c r="H11" s="728">
        <f t="shared" si="7"/>
        <v>0</v>
      </c>
      <c r="I11" s="728">
        <f t="shared" si="8"/>
        <v>0</v>
      </c>
      <c r="J11" s="725"/>
      <c r="K11" s="290">
        <v>0</v>
      </c>
      <c r="L11" s="98">
        <v>0</v>
      </c>
      <c r="M11" s="98">
        <v>0</v>
      </c>
      <c r="N11" s="137">
        <v>0</v>
      </c>
      <c r="O11" s="98">
        <v>0</v>
      </c>
      <c r="P11" s="98">
        <v>0</v>
      </c>
      <c r="Q11" s="98">
        <v>0</v>
      </c>
      <c r="R11" s="137">
        <v>-107</v>
      </c>
      <c r="S11" s="98">
        <v>-22</v>
      </c>
      <c r="T11" s="98">
        <v>-6</v>
      </c>
      <c r="U11" s="98">
        <v>0</v>
      </c>
      <c r="V11" s="137">
        <v>-2</v>
      </c>
      <c r="W11" s="98">
        <v>0</v>
      </c>
      <c r="X11" s="98">
        <v>0</v>
      </c>
      <c r="Y11" s="98">
        <v>0</v>
      </c>
      <c r="Z11" s="137">
        <v>0</v>
      </c>
      <c r="AA11" s="98">
        <v>0</v>
      </c>
      <c r="AB11" s="98">
        <v>0</v>
      </c>
      <c r="AC11" s="98">
        <v>0</v>
      </c>
      <c r="AD11" s="137">
        <v>0</v>
      </c>
      <c r="AE11" s="98">
        <v>0</v>
      </c>
      <c r="AF11" s="98">
        <v>0</v>
      </c>
      <c r="AG11" s="98">
        <v>0</v>
      </c>
      <c r="AH11" s="137">
        <v>0</v>
      </c>
      <c r="AI11" s="98">
        <v>0</v>
      </c>
      <c r="AJ11" s="98">
        <v>0</v>
      </c>
      <c r="AK11" s="98">
        <v>0</v>
      </c>
      <c r="AL11" s="137">
        <v>0</v>
      </c>
      <c r="AM11" s="98"/>
      <c r="AN11" s="98"/>
      <c r="AO11" s="98"/>
      <c r="AP11" s="98"/>
      <c r="AQ11" s="98"/>
      <c r="AR11" s="98"/>
      <c r="AS11" s="735"/>
      <c r="AT11" s="735"/>
      <c r="AU11" s="735"/>
      <c r="AV11" s="735"/>
      <c r="AW11" s="735"/>
    </row>
    <row r="12" spans="1:59" s="413" customFormat="1" ht="13.5" customHeight="1">
      <c r="A12" s="724"/>
      <c r="B12" s="366" t="s">
        <v>168</v>
      </c>
      <c r="C12" s="99">
        <f t="shared" si="2"/>
        <v>0</v>
      </c>
      <c r="D12" s="99">
        <f t="shared" si="3"/>
        <v>126</v>
      </c>
      <c r="E12" s="99">
        <f t="shared" si="4"/>
        <v>97</v>
      </c>
      <c r="F12" s="134">
        <f t="shared" si="5"/>
        <v>240</v>
      </c>
      <c r="G12" s="728">
        <f t="shared" si="6"/>
        <v>0</v>
      </c>
      <c r="H12" s="728">
        <f t="shared" si="7"/>
        <v>0</v>
      </c>
      <c r="I12" s="728">
        <f t="shared" si="8"/>
        <v>0</v>
      </c>
      <c r="J12" s="725"/>
      <c r="K12" s="290">
        <v>0</v>
      </c>
      <c r="L12" s="98">
        <v>0</v>
      </c>
      <c r="M12" s="98">
        <v>0</v>
      </c>
      <c r="N12" s="137">
        <v>0</v>
      </c>
      <c r="O12" s="98">
        <v>56</v>
      </c>
      <c r="P12" s="98">
        <v>19</v>
      </c>
      <c r="Q12" s="98">
        <v>19</v>
      </c>
      <c r="R12" s="137">
        <v>32</v>
      </c>
      <c r="S12" s="98">
        <v>14</v>
      </c>
      <c r="T12" s="98">
        <v>13</v>
      </c>
      <c r="U12" s="98">
        <v>9</v>
      </c>
      <c r="V12" s="137">
        <v>61</v>
      </c>
      <c r="W12" s="98">
        <v>12</v>
      </c>
      <c r="X12" s="98">
        <v>15</v>
      </c>
      <c r="Y12" s="98">
        <v>50</v>
      </c>
      <c r="Z12" s="137">
        <v>163</v>
      </c>
      <c r="AA12" s="98">
        <v>0</v>
      </c>
      <c r="AB12" s="98">
        <v>0</v>
      </c>
      <c r="AC12" s="98">
        <v>0</v>
      </c>
      <c r="AD12" s="137">
        <v>0</v>
      </c>
      <c r="AE12" s="98">
        <v>0</v>
      </c>
      <c r="AF12" s="98">
        <v>0</v>
      </c>
      <c r="AG12" s="98">
        <v>0</v>
      </c>
      <c r="AH12" s="137">
        <v>0</v>
      </c>
      <c r="AI12" s="98">
        <v>0</v>
      </c>
      <c r="AJ12" s="98">
        <v>0</v>
      </c>
      <c r="AK12" s="98">
        <v>0</v>
      </c>
      <c r="AL12" s="137">
        <v>0</v>
      </c>
      <c r="AM12" s="98"/>
      <c r="AN12" s="98"/>
      <c r="AO12" s="98"/>
      <c r="AP12" s="98"/>
      <c r="AQ12" s="98"/>
      <c r="AR12" s="98"/>
      <c r="AS12" s="735"/>
      <c r="AT12" s="735"/>
      <c r="AU12" s="735"/>
      <c r="AV12" s="735"/>
      <c r="AW12" s="735"/>
    </row>
    <row r="13" spans="1:59" s="413" customFormat="1" ht="13.5" customHeight="1">
      <c r="A13" s="724"/>
      <c r="B13" s="726" t="s">
        <v>6</v>
      </c>
      <c r="C13" s="99">
        <f t="shared" si="2"/>
        <v>-115</v>
      </c>
      <c r="D13" s="99">
        <f t="shared" si="3"/>
        <v>-599</v>
      </c>
      <c r="E13" s="99">
        <f t="shared" si="4"/>
        <v>492</v>
      </c>
      <c r="F13" s="134">
        <f t="shared" si="5"/>
        <v>184</v>
      </c>
      <c r="G13" s="74">
        <f t="shared" si="6"/>
        <v>452.27117623002414</v>
      </c>
      <c r="H13" s="99">
        <f t="shared" si="7"/>
        <v>-83.298542842425377</v>
      </c>
      <c r="I13" s="99">
        <f t="shared" si="8"/>
        <v>-143.31894564076083</v>
      </c>
      <c r="J13" s="725"/>
      <c r="K13" s="290">
        <v>-464</v>
      </c>
      <c r="L13" s="98">
        <v>392</v>
      </c>
      <c r="M13" s="98">
        <v>-365</v>
      </c>
      <c r="N13" s="137">
        <v>322</v>
      </c>
      <c r="O13" s="98">
        <v>-747</v>
      </c>
      <c r="P13" s="98">
        <v>449</v>
      </c>
      <c r="Q13" s="98">
        <v>-401</v>
      </c>
      <c r="R13" s="137">
        <v>100</v>
      </c>
      <c r="S13" s="98">
        <v>-315</v>
      </c>
      <c r="T13" s="98">
        <v>340</v>
      </c>
      <c r="U13" s="98">
        <v>-125</v>
      </c>
      <c r="V13" s="137">
        <v>592</v>
      </c>
      <c r="W13" s="98">
        <v>-305</v>
      </c>
      <c r="X13" s="98">
        <v>407</v>
      </c>
      <c r="Y13" s="98">
        <v>-265</v>
      </c>
      <c r="Z13" s="137">
        <v>347</v>
      </c>
      <c r="AA13" s="106">
        <f>BS!Z9-BS!AA9</f>
        <v>-365.75493213877053</v>
      </c>
      <c r="AB13" s="106">
        <f>BS!AA9-BS!AB9</f>
        <v>488.98707533459765</v>
      </c>
      <c r="AC13" s="106">
        <f>BS!AB9-BS!AC9</f>
        <v>-109.74838131105571</v>
      </c>
      <c r="AD13" s="622">
        <f>BS!AC9-BS!AD9</f>
        <v>438.78741434525273</v>
      </c>
      <c r="AE13" s="106">
        <f>BS!AD9-BS!AE9</f>
        <v>-801.16548727957525</v>
      </c>
      <c r="AF13" s="106">
        <f>BS!AE9-BS!AF9</f>
        <v>404.42461425367583</v>
      </c>
      <c r="AG13" s="106">
        <f>BS!AF9-BS!AG9</f>
        <v>-133.83092909548122</v>
      </c>
      <c r="AH13" s="622">
        <f>BS!AG9-BS!AH9</f>
        <v>447.27325927895527</v>
      </c>
      <c r="AI13" s="106">
        <f>BS!AH9-BS!AI9</f>
        <v>-904.75821475246721</v>
      </c>
      <c r="AJ13" s="106">
        <f>BS!AI9-BS!AJ9</f>
        <v>434.57323102851205</v>
      </c>
      <c r="AK13" s="106">
        <f>BS!AJ9-BS!AK9</f>
        <v>-140.02296712107091</v>
      </c>
      <c r="AL13" s="622">
        <f>BS!AK9-BS!AL9</f>
        <v>466.88900520426523</v>
      </c>
      <c r="AM13" s="98"/>
      <c r="AN13" s="98"/>
      <c r="AO13" s="98"/>
      <c r="AP13" s="98"/>
      <c r="AQ13" s="98"/>
      <c r="AR13" s="98"/>
      <c r="AS13" s="735"/>
      <c r="AT13" s="735"/>
      <c r="AU13" s="735"/>
      <c r="AV13" s="735"/>
      <c r="AW13" s="735"/>
    </row>
    <row r="14" spans="1:59" s="413" customFormat="1" ht="13.5" customHeight="1">
      <c r="A14" s="724"/>
      <c r="B14" s="726" t="s">
        <v>26</v>
      </c>
      <c r="C14" s="99">
        <f t="shared" si="2"/>
        <v>-556</v>
      </c>
      <c r="D14" s="99">
        <f t="shared" si="3"/>
        <v>-129</v>
      </c>
      <c r="E14" s="99">
        <f t="shared" si="4"/>
        <v>-116</v>
      </c>
      <c r="F14" s="134">
        <f t="shared" si="5"/>
        <v>-188</v>
      </c>
      <c r="G14" s="74">
        <f t="shared" si="6"/>
        <v>441.86533276644013</v>
      </c>
      <c r="H14" s="99">
        <f t="shared" si="7"/>
        <v>-38.832217059169579</v>
      </c>
      <c r="I14" s="99">
        <f t="shared" si="8"/>
        <v>-75.790560223228113</v>
      </c>
      <c r="J14" s="725"/>
      <c r="K14" s="290">
        <v>-694</v>
      </c>
      <c r="L14" s="98">
        <v>-253</v>
      </c>
      <c r="M14" s="98">
        <v>-241</v>
      </c>
      <c r="N14" s="137">
        <v>632</v>
      </c>
      <c r="O14" s="98">
        <v>-482</v>
      </c>
      <c r="P14" s="98">
        <v>-32</v>
      </c>
      <c r="Q14" s="98">
        <v>-198</v>
      </c>
      <c r="R14" s="137">
        <v>583</v>
      </c>
      <c r="S14" s="98">
        <v>-160</v>
      </c>
      <c r="T14" s="98">
        <v>-177</v>
      </c>
      <c r="U14" s="98">
        <v>-165</v>
      </c>
      <c r="V14" s="137">
        <v>386</v>
      </c>
      <c r="W14" s="98">
        <v>-299</v>
      </c>
      <c r="X14" s="98">
        <v>-54</v>
      </c>
      <c r="Y14" s="98">
        <v>-272</v>
      </c>
      <c r="Z14" s="137">
        <v>437</v>
      </c>
      <c r="AA14" s="106">
        <f>BS!Z10-BS!AA10</f>
        <v>13.625966661506027</v>
      </c>
      <c r="AB14" s="106">
        <f>BS!AA10-BS!AB10</f>
        <v>-49.571672495308121</v>
      </c>
      <c r="AC14" s="106">
        <f>BS!AB10-BS!AC10</f>
        <v>-93.634678126202289</v>
      </c>
      <c r="AD14" s="622">
        <f>BS!AC10-BS!AD10</f>
        <v>571.44571672644452</v>
      </c>
      <c r="AE14" s="106">
        <f>BS!AD10-BS!AE10</f>
        <v>-391.52475686381058</v>
      </c>
      <c r="AF14" s="106">
        <f>BS!AE10-BS!AF10</f>
        <v>-115.6519110617669</v>
      </c>
      <c r="AG14" s="106">
        <f>BS!AF10-BS!AG10</f>
        <v>-111.44339078903977</v>
      </c>
      <c r="AH14" s="622">
        <f>BS!AG10-BS!AH10</f>
        <v>579.78784165544766</v>
      </c>
      <c r="AI14" s="106">
        <f>BS!AH10-BS!AI10</f>
        <v>-456.64741161635538</v>
      </c>
      <c r="AJ14" s="106">
        <f>BS!AI10-BS!AJ10</f>
        <v>-101.34455694746794</v>
      </c>
      <c r="AK14" s="106">
        <f>BS!AJ10-BS!AK10</f>
        <v>-115.53692528050033</v>
      </c>
      <c r="AL14" s="622">
        <f>BS!AK10-BS!AL10</f>
        <v>597.73833362109553</v>
      </c>
      <c r="AM14" s="98"/>
      <c r="AN14" s="98"/>
      <c r="AO14" s="98"/>
      <c r="AP14" s="98"/>
      <c r="AQ14" s="98"/>
      <c r="AR14" s="98"/>
      <c r="AS14" s="735"/>
      <c r="AT14" s="735"/>
      <c r="AU14" s="735"/>
      <c r="AV14" s="735"/>
      <c r="AW14" s="735"/>
    </row>
    <row r="15" spans="1:59" s="413" customFormat="1" ht="13.5" customHeight="1">
      <c r="A15" s="724"/>
      <c r="B15" s="726" t="s">
        <v>3</v>
      </c>
      <c r="C15" s="99">
        <f t="shared" si="2"/>
        <v>300</v>
      </c>
      <c r="D15" s="99">
        <f t="shared" si="3"/>
        <v>505</v>
      </c>
      <c r="E15" s="99">
        <f t="shared" si="4"/>
        <v>793</v>
      </c>
      <c r="F15" s="134">
        <f t="shared" si="5"/>
        <v>387</v>
      </c>
      <c r="G15" s="74">
        <f t="shared" si="6"/>
        <v>-531.16495532293447</v>
      </c>
      <c r="H15" s="99">
        <f t="shared" si="7"/>
        <v>134.68534250242919</v>
      </c>
      <c r="I15" s="99">
        <f t="shared" si="8"/>
        <v>120.75682989858979</v>
      </c>
      <c r="J15" s="725"/>
      <c r="K15" s="290">
        <v>-122</v>
      </c>
      <c r="L15" s="98">
        <v>-282</v>
      </c>
      <c r="M15" s="98">
        <v>343</v>
      </c>
      <c r="N15" s="137">
        <v>361</v>
      </c>
      <c r="O15" s="98">
        <v>-184</v>
      </c>
      <c r="P15" s="98">
        <v>-200</v>
      </c>
      <c r="Q15" s="98">
        <v>280</v>
      </c>
      <c r="R15" s="137">
        <v>609</v>
      </c>
      <c r="S15" s="98">
        <v>-246</v>
      </c>
      <c r="T15" s="98">
        <v>76</v>
      </c>
      <c r="U15" s="98">
        <v>140</v>
      </c>
      <c r="V15" s="137">
        <v>823</v>
      </c>
      <c r="W15" s="98">
        <v>67</v>
      </c>
      <c r="X15" s="98">
        <v>-85</v>
      </c>
      <c r="Y15" s="98">
        <v>37</v>
      </c>
      <c r="Z15" s="137">
        <v>368</v>
      </c>
      <c r="AA15" s="106">
        <f>BS!AA25-BS!Z25</f>
        <v>-551.65427261107016</v>
      </c>
      <c r="AB15" s="106">
        <f>BS!AB25-BS!AA25</f>
        <v>-67.670079255372002</v>
      </c>
      <c r="AC15" s="106">
        <f>BS!AC25-BS!AB25</f>
        <v>-24.379247146497619</v>
      </c>
      <c r="AD15" s="622">
        <f>BS!AD25-BS!AC25</f>
        <v>112.5386436900053</v>
      </c>
      <c r="AE15" s="106">
        <f>BS!AE25-BS!AD25</f>
        <v>-8.4116997966903</v>
      </c>
      <c r="AF15" s="106">
        <f>BS!AF25-BS!AE25</f>
        <v>20.53912776451034</v>
      </c>
      <c r="AG15" s="106">
        <f>BS!AG25-BS!AF25</f>
        <v>-3.9425211313209729</v>
      </c>
      <c r="AH15" s="622">
        <f>BS!AH25-BS!AG25</f>
        <v>126.50043566593013</v>
      </c>
      <c r="AI15" s="106">
        <f>BS!AI25-BS!AH25</f>
        <v>1.1637085609854694</v>
      </c>
      <c r="AJ15" s="106">
        <f>BS!AJ25-BS!AI25</f>
        <v>-2.8544467464180343</v>
      </c>
      <c r="AK15" s="106">
        <f>BS!AK25-BS!AJ25</f>
        <v>-2.3762369169498925</v>
      </c>
      <c r="AL15" s="622">
        <f>BS!AL25-BS!AK25</f>
        <v>124.82380500097224</v>
      </c>
      <c r="AM15" s="98"/>
      <c r="AN15" s="98"/>
      <c r="AO15" s="98"/>
      <c r="AP15" s="98"/>
      <c r="AQ15" s="98"/>
      <c r="AR15" s="98"/>
      <c r="AS15" s="735"/>
      <c r="AT15" s="735"/>
      <c r="AU15" s="735"/>
      <c r="AV15" s="735"/>
      <c r="AW15" s="735"/>
    </row>
    <row r="16" spans="1:59" s="413" customFormat="1" ht="13.5" customHeight="1">
      <c r="A16" s="724"/>
      <c r="B16" s="726" t="s">
        <v>169</v>
      </c>
      <c r="C16" s="99">
        <f t="shared" si="2"/>
        <v>302</v>
      </c>
      <c r="D16" s="99">
        <f t="shared" si="3"/>
        <v>-949</v>
      </c>
      <c r="E16" s="99">
        <f t="shared" si="4"/>
        <v>20</v>
      </c>
      <c r="F16" s="134">
        <f t="shared" si="5"/>
        <v>49</v>
      </c>
      <c r="G16" s="728">
        <f t="shared" si="6"/>
        <v>0</v>
      </c>
      <c r="H16" s="728">
        <f t="shared" si="7"/>
        <v>0</v>
      </c>
      <c r="I16" s="728">
        <f t="shared" si="8"/>
        <v>0</v>
      </c>
      <c r="J16" s="725"/>
      <c r="K16" s="290">
        <v>-266</v>
      </c>
      <c r="L16" s="98">
        <v>21</v>
      </c>
      <c r="M16" s="98">
        <v>456</v>
      </c>
      <c r="N16" s="137">
        <v>91</v>
      </c>
      <c r="O16" s="98">
        <v>-693</v>
      </c>
      <c r="P16" s="98">
        <v>262</v>
      </c>
      <c r="Q16" s="98">
        <v>-704</v>
      </c>
      <c r="R16" s="137">
        <v>186</v>
      </c>
      <c r="S16" s="98">
        <v>-451</v>
      </c>
      <c r="T16" s="98">
        <v>-378</v>
      </c>
      <c r="U16" s="98">
        <v>58</v>
      </c>
      <c r="V16" s="137">
        <v>791</v>
      </c>
      <c r="W16" s="98">
        <v>-874</v>
      </c>
      <c r="X16" s="98">
        <v>-313</v>
      </c>
      <c r="Y16" s="98">
        <v>651</v>
      </c>
      <c r="Z16" s="137">
        <v>585</v>
      </c>
      <c r="AA16" s="98">
        <v>0</v>
      </c>
      <c r="AB16" s="98">
        <v>0</v>
      </c>
      <c r="AC16" s="98">
        <v>0</v>
      </c>
      <c r="AD16" s="137">
        <v>0</v>
      </c>
      <c r="AE16" s="98">
        <v>0</v>
      </c>
      <c r="AF16" s="98">
        <v>0</v>
      </c>
      <c r="AG16" s="98">
        <v>0</v>
      </c>
      <c r="AH16" s="137">
        <v>0</v>
      </c>
      <c r="AI16" s="98">
        <v>0</v>
      </c>
      <c r="AJ16" s="98">
        <v>0</v>
      </c>
      <c r="AK16" s="98">
        <v>0</v>
      </c>
      <c r="AL16" s="137">
        <v>0</v>
      </c>
      <c r="AM16" s="98"/>
      <c r="AN16" s="98"/>
      <c r="AO16" s="98"/>
      <c r="AP16" s="98"/>
      <c r="AQ16" s="98"/>
      <c r="AR16" s="98"/>
      <c r="AS16" s="735"/>
      <c r="AT16" s="735"/>
      <c r="AU16" s="735"/>
      <c r="AV16" s="735"/>
      <c r="AW16" s="735"/>
    </row>
    <row r="17" spans="1:54" s="413" customFormat="1" ht="13.5" customHeight="1">
      <c r="A17" s="724"/>
      <c r="B17" s="366" t="s">
        <v>170</v>
      </c>
      <c r="C17" s="99">
        <f t="shared" si="2"/>
        <v>-69</v>
      </c>
      <c r="D17" s="99">
        <f t="shared" si="3"/>
        <v>-1172</v>
      </c>
      <c r="E17" s="99">
        <f t="shared" si="4"/>
        <v>1189</v>
      </c>
      <c r="F17" s="134">
        <f t="shared" si="5"/>
        <v>432</v>
      </c>
      <c r="G17" s="74">
        <f t="shared" si="6"/>
        <v>362.9715536735298</v>
      </c>
      <c r="H17" s="99">
        <f t="shared" si="7"/>
        <v>12.554582600834237</v>
      </c>
      <c r="I17" s="99">
        <f t="shared" si="8"/>
        <v>-98.352675965399158</v>
      </c>
      <c r="J17" s="725"/>
      <c r="K17" s="290">
        <f>SUM(K13:K16)</f>
        <v>-1546</v>
      </c>
      <c r="L17" s="98">
        <f t="shared" ref="L17:AL17" si="9">SUM(L13:L16)</f>
        <v>-122</v>
      </c>
      <c r="M17" s="98">
        <f t="shared" si="9"/>
        <v>193</v>
      </c>
      <c r="N17" s="137">
        <f t="shared" si="9"/>
        <v>1406</v>
      </c>
      <c r="O17" s="98">
        <f t="shared" si="9"/>
        <v>-2106</v>
      </c>
      <c r="P17" s="98">
        <f t="shared" si="9"/>
        <v>479</v>
      </c>
      <c r="Q17" s="98">
        <f t="shared" si="9"/>
        <v>-1023</v>
      </c>
      <c r="R17" s="137">
        <f t="shared" si="9"/>
        <v>1478</v>
      </c>
      <c r="S17" s="98">
        <f t="shared" si="9"/>
        <v>-1172</v>
      </c>
      <c r="T17" s="98">
        <f t="shared" si="9"/>
        <v>-139</v>
      </c>
      <c r="U17" s="98">
        <f t="shared" si="9"/>
        <v>-92</v>
      </c>
      <c r="V17" s="137">
        <f t="shared" si="9"/>
        <v>2592</v>
      </c>
      <c r="W17" s="98">
        <f t="shared" si="9"/>
        <v>-1411</v>
      </c>
      <c r="X17" s="98">
        <f t="shared" si="9"/>
        <v>-45</v>
      </c>
      <c r="Y17" s="98">
        <f t="shared" si="9"/>
        <v>151</v>
      </c>
      <c r="Z17" s="137">
        <f t="shared" si="9"/>
        <v>1737</v>
      </c>
      <c r="AA17" s="98">
        <f t="shared" si="9"/>
        <v>-903.78323808833466</v>
      </c>
      <c r="AB17" s="98">
        <f t="shared" si="9"/>
        <v>371.74532358391752</v>
      </c>
      <c r="AC17" s="98">
        <f t="shared" si="9"/>
        <v>-227.76230658375562</v>
      </c>
      <c r="AD17" s="137">
        <f t="shared" si="9"/>
        <v>1122.7717747617025</v>
      </c>
      <c r="AE17" s="98">
        <f t="shared" si="9"/>
        <v>-1201.1019439400761</v>
      </c>
      <c r="AF17" s="98">
        <f t="shared" si="9"/>
        <v>309.31183095641927</v>
      </c>
      <c r="AG17" s="98">
        <f t="shared" si="9"/>
        <v>-249.21684101584196</v>
      </c>
      <c r="AH17" s="137">
        <f t="shared" si="9"/>
        <v>1153.5615366003331</v>
      </c>
      <c r="AI17" s="98">
        <f t="shared" si="9"/>
        <v>-1360.2419178078371</v>
      </c>
      <c r="AJ17" s="98">
        <f t="shared" si="9"/>
        <v>330.37422733462608</v>
      </c>
      <c r="AK17" s="98">
        <f t="shared" si="9"/>
        <v>-257.93612931852113</v>
      </c>
      <c r="AL17" s="137">
        <f t="shared" si="9"/>
        <v>1189.451143826333</v>
      </c>
      <c r="AM17" s="98"/>
      <c r="AN17" s="98"/>
      <c r="AO17" s="98"/>
      <c r="AP17" s="98"/>
      <c r="AQ17" s="98"/>
      <c r="AR17" s="98"/>
      <c r="AS17" s="735"/>
      <c r="AT17" s="735"/>
      <c r="AU17" s="735"/>
      <c r="AV17" s="735"/>
      <c r="AW17" s="735"/>
    </row>
    <row r="18" spans="1:54" s="413" customFormat="1" ht="13.5" customHeight="1">
      <c r="A18" s="724"/>
      <c r="B18" s="366" t="s">
        <v>171</v>
      </c>
      <c r="C18" s="99">
        <f t="shared" si="2"/>
        <v>-354</v>
      </c>
      <c r="D18" s="99">
        <f t="shared" si="3"/>
        <v>56</v>
      </c>
      <c r="E18" s="99">
        <f t="shared" si="4"/>
        <v>-126</v>
      </c>
      <c r="F18" s="134">
        <f t="shared" si="5"/>
        <v>-6</v>
      </c>
      <c r="G18" s="728">
        <f t="shared" si="6"/>
        <v>0</v>
      </c>
      <c r="H18" s="728">
        <f t="shared" si="7"/>
        <v>0</v>
      </c>
      <c r="I18" s="728">
        <f t="shared" si="8"/>
        <v>0</v>
      </c>
      <c r="J18" s="725"/>
      <c r="K18" s="290">
        <v>-511</v>
      </c>
      <c r="L18" s="98">
        <v>24</v>
      </c>
      <c r="M18" s="98">
        <v>91</v>
      </c>
      <c r="N18" s="137">
        <v>42</v>
      </c>
      <c r="O18" s="98">
        <v>69</v>
      </c>
      <c r="P18" s="98">
        <v>112</v>
      </c>
      <c r="Q18" s="98">
        <v>-157</v>
      </c>
      <c r="R18" s="137">
        <v>32</v>
      </c>
      <c r="S18" s="98">
        <v>-18</v>
      </c>
      <c r="T18" s="98">
        <v>26</v>
      </c>
      <c r="U18" s="98">
        <v>34</v>
      </c>
      <c r="V18" s="137">
        <v>-168</v>
      </c>
      <c r="W18" s="98">
        <v>-67</v>
      </c>
      <c r="X18" s="98">
        <v>26</v>
      </c>
      <c r="Y18" s="98">
        <v>26</v>
      </c>
      <c r="Z18" s="137">
        <v>9</v>
      </c>
      <c r="AA18" s="98">
        <v>0</v>
      </c>
      <c r="AB18" s="98">
        <v>0</v>
      </c>
      <c r="AC18" s="98">
        <v>0</v>
      </c>
      <c r="AD18" s="137">
        <v>0</v>
      </c>
      <c r="AE18" s="98">
        <v>0</v>
      </c>
      <c r="AF18" s="98">
        <v>0</v>
      </c>
      <c r="AG18" s="98">
        <v>0</v>
      </c>
      <c r="AH18" s="137">
        <v>0</v>
      </c>
      <c r="AI18" s="98">
        <v>0</v>
      </c>
      <c r="AJ18" s="98">
        <v>0</v>
      </c>
      <c r="AK18" s="98">
        <v>0</v>
      </c>
      <c r="AL18" s="137">
        <v>0</v>
      </c>
      <c r="AM18" s="98"/>
      <c r="AN18" s="98"/>
      <c r="AO18" s="98"/>
      <c r="AP18" s="98"/>
      <c r="AQ18" s="98"/>
      <c r="AR18" s="98"/>
      <c r="AS18" s="735"/>
      <c r="AT18" s="735"/>
      <c r="AU18" s="735"/>
      <c r="AV18" s="735"/>
      <c r="AW18" s="735"/>
    </row>
    <row r="19" spans="1:54" s="413" customFormat="1" ht="13.5" customHeight="1">
      <c r="A19" s="724"/>
      <c r="B19" s="366" t="s">
        <v>172</v>
      </c>
      <c r="C19" s="99">
        <f t="shared" si="2"/>
        <v>181</v>
      </c>
      <c r="D19" s="99">
        <f t="shared" si="3"/>
        <v>162</v>
      </c>
      <c r="E19" s="99">
        <f t="shared" si="4"/>
        <v>128</v>
      </c>
      <c r="F19" s="134">
        <f t="shared" si="5"/>
        <v>141</v>
      </c>
      <c r="G19" s="728">
        <f t="shared" si="6"/>
        <v>0</v>
      </c>
      <c r="H19" s="728">
        <f t="shared" si="7"/>
        <v>0</v>
      </c>
      <c r="I19" s="728">
        <f t="shared" si="8"/>
        <v>0</v>
      </c>
      <c r="J19" s="725"/>
      <c r="K19" s="290">
        <v>44</v>
      </c>
      <c r="L19" s="98">
        <v>45</v>
      </c>
      <c r="M19" s="98">
        <v>48</v>
      </c>
      <c r="N19" s="137">
        <v>44</v>
      </c>
      <c r="O19" s="98">
        <v>49</v>
      </c>
      <c r="P19" s="98">
        <v>44</v>
      </c>
      <c r="Q19" s="98">
        <v>42</v>
      </c>
      <c r="R19" s="137">
        <v>27</v>
      </c>
      <c r="S19" s="98">
        <v>33</v>
      </c>
      <c r="T19" s="98">
        <v>35</v>
      </c>
      <c r="U19" s="98">
        <v>30</v>
      </c>
      <c r="V19" s="137">
        <v>30</v>
      </c>
      <c r="W19" s="98">
        <v>35</v>
      </c>
      <c r="X19" s="98">
        <v>33</v>
      </c>
      <c r="Y19" s="98">
        <v>36</v>
      </c>
      <c r="Z19" s="137">
        <v>37</v>
      </c>
      <c r="AA19" s="98">
        <v>0</v>
      </c>
      <c r="AB19" s="98">
        <v>0</v>
      </c>
      <c r="AC19" s="98">
        <v>0</v>
      </c>
      <c r="AD19" s="137">
        <v>0</v>
      </c>
      <c r="AE19" s="98">
        <v>0</v>
      </c>
      <c r="AF19" s="98">
        <v>0</v>
      </c>
      <c r="AG19" s="98">
        <v>0</v>
      </c>
      <c r="AH19" s="137">
        <v>0</v>
      </c>
      <c r="AI19" s="98">
        <v>0</v>
      </c>
      <c r="AJ19" s="98">
        <v>0</v>
      </c>
      <c r="AK19" s="98">
        <v>0</v>
      </c>
      <c r="AL19" s="137">
        <v>0</v>
      </c>
      <c r="AM19" s="98"/>
      <c r="AN19" s="98"/>
      <c r="AO19" s="98"/>
      <c r="AP19" s="98"/>
      <c r="AQ19" s="98"/>
      <c r="AR19" s="98"/>
      <c r="AS19" s="735"/>
      <c r="AT19" s="735"/>
      <c r="AU19" s="735"/>
      <c r="AV19" s="735"/>
      <c r="AW19" s="735"/>
    </row>
    <row r="20" spans="1:54" s="413" customFormat="1" ht="13.5" customHeight="1">
      <c r="A20" s="724"/>
      <c r="B20" s="366" t="s">
        <v>1</v>
      </c>
      <c r="C20" s="727">
        <f t="shared" si="2"/>
        <v>81</v>
      </c>
      <c r="D20" s="727">
        <f t="shared" si="3"/>
        <v>48</v>
      </c>
      <c r="E20" s="727">
        <f t="shared" si="4"/>
        <v>204</v>
      </c>
      <c r="F20" s="733">
        <f t="shared" si="5"/>
        <v>-319</v>
      </c>
      <c r="G20" s="728">
        <f t="shared" si="6"/>
        <v>0</v>
      </c>
      <c r="H20" s="728">
        <f t="shared" si="7"/>
        <v>0</v>
      </c>
      <c r="I20" s="728">
        <f t="shared" si="8"/>
        <v>0</v>
      </c>
      <c r="J20" s="725"/>
      <c r="K20" s="766">
        <v>30</v>
      </c>
      <c r="L20" s="767">
        <v>-22</v>
      </c>
      <c r="M20" s="767">
        <v>-2</v>
      </c>
      <c r="N20" s="768">
        <v>75</v>
      </c>
      <c r="O20" s="767">
        <v>1</v>
      </c>
      <c r="P20" s="767">
        <v>13</v>
      </c>
      <c r="Q20" s="767">
        <v>520</v>
      </c>
      <c r="R20" s="768">
        <v>-486</v>
      </c>
      <c r="S20" s="767">
        <v>44</v>
      </c>
      <c r="T20" s="767">
        <v>53</v>
      </c>
      <c r="U20" s="767">
        <v>-436</v>
      </c>
      <c r="V20" s="768">
        <v>543</v>
      </c>
      <c r="W20" s="767">
        <v>540</v>
      </c>
      <c r="X20" s="767">
        <v>85</v>
      </c>
      <c r="Y20" s="767">
        <v>-573</v>
      </c>
      <c r="Z20" s="768">
        <v>-371</v>
      </c>
      <c r="AA20" s="767">
        <v>0</v>
      </c>
      <c r="AB20" s="767">
        <v>0</v>
      </c>
      <c r="AC20" s="767">
        <v>0</v>
      </c>
      <c r="AD20" s="768">
        <v>0</v>
      </c>
      <c r="AE20" s="767">
        <v>0</v>
      </c>
      <c r="AF20" s="767">
        <v>0</v>
      </c>
      <c r="AG20" s="767">
        <v>0</v>
      </c>
      <c r="AH20" s="768">
        <v>0</v>
      </c>
      <c r="AI20" s="767">
        <v>0</v>
      </c>
      <c r="AJ20" s="767">
        <v>0</v>
      </c>
      <c r="AK20" s="767">
        <v>0</v>
      </c>
      <c r="AL20" s="768">
        <v>0</v>
      </c>
      <c r="AM20" s="98"/>
      <c r="AN20" s="98"/>
      <c r="AO20" s="98"/>
      <c r="AP20" s="98"/>
      <c r="AQ20" s="98"/>
      <c r="AR20" s="98"/>
      <c r="AS20" s="735"/>
      <c r="AT20" s="735"/>
      <c r="AU20" s="735"/>
      <c r="AV20" s="735"/>
      <c r="AW20" s="735"/>
    </row>
    <row r="21" spans="1:54" s="115" customFormat="1" ht="13.5" customHeight="1">
      <c r="A21" s="113"/>
      <c r="B21" s="367" t="s">
        <v>77</v>
      </c>
      <c r="C21" s="99">
        <f t="shared" si="2"/>
        <v>4520</v>
      </c>
      <c r="D21" s="99">
        <f t="shared" si="3"/>
        <v>3923</v>
      </c>
      <c r="E21" s="99">
        <f t="shared" si="4"/>
        <v>6410</v>
      </c>
      <c r="F21" s="134">
        <f t="shared" si="5"/>
        <v>3562</v>
      </c>
      <c r="G21" s="74">
        <f t="shared" si="6"/>
        <v>3878.5282236735297</v>
      </c>
      <c r="H21" s="99">
        <f t="shared" si="7"/>
        <v>3705.3802519088335</v>
      </c>
      <c r="I21" s="99">
        <f t="shared" si="8"/>
        <v>3792.9241841551711</v>
      </c>
      <c r="J21" s="368"/>
      <c r="K21" s="599">
        <f>SUM(K17:K20)+SUM(K8:K12)</f>
        <v>-986</v>
      </c>
      <c r="L21" s="730">
        <f t="shared" ref="L21:Z21" si="10">SUM(L17:L20)+SUM(L8:L12)</f>
        <v>1282</v>
      </c>
      <c r="M21" s="730">
        <f t="shared" si="10"/>
        <v>1369</v>
      </c>
      <c r="N21" s="731">
        <f t="shared" si="10"/>
        <v>2855</v>
      </c>
      <c r="O21" s="730">
        <f t="shared" si="10"/>
        <v>-851</v>
      </c>
      <c r="P21" s="730">
        <f t="shared" si="10"/>
        <v>2059</v>
      </c>
      <c r="Q21" s="730">
        <f t="shared" si="10"/>
        <v>967</v>
      </c>
      <c r="R21" s="731">
        <f t="shared" si="10"/>
        <v>1748</v>
      </c>
      <c r="S21" s="730">
        <f t="shared" si="10"/>
        <v>-385</v>
      </c>
      <c r="T21" s="730">
        <f t="shared" si="10"/>
        <v>803</v>
      </c>
      <c r="U21" s="730">
        <f t="shared" si="10"/>
        <v>780</v>
      </c>
      <c r="V21" s="731">
        <f t="shared" si="10"/>
        <v>5212</v>
      </c>
      <c r="W21" s="730">
        <f t="shared" si="10"/>
        <v>-577</v>
      </c>
      <c r="X21" s="730">
        <f t="shared" si="10"/>
        <v>945</v>
      </c>
      <c r="Y21" s="730">
        <f t="shared" si="10"/>
        <v>781</v>
      </c>
      <c r="Z21" s="731">
        <f t="shared" si="10"/>
        <v>2413</v>
      </c>
      <c r="AA21" s="730">
        <f>SUM(AA8:AA11)+AA17+SUM(AA18:AA20)</f>
        <v>-93.525848088334669</v>
      </c>
      <c r="AB21" s="730">
        <f t="shared" ref="AB21:AL21" si="11">SUM(AB8:AB11)+AB17+SUM(AB18:AB20)</f>
        <v>1220.2201635839174</v>
      </c>
      <c r="AC21" s="730">
        <f t="shared" si="11"/>
        <v>608.95490341624441</v>
      </c>
      <c r="AD21" s="731">
        <f t="shared" si="11"/>
        <v>2142.8790047617026</v>
      </c>
      <c r="AE21" s="730">
        <f t="shared" si="11"/>
        <v>-364.38439907207635</v>
      </c>
      <c r="AF21" s="730">
        <f t="shared" si="11"/>
        <v>1200.7715941444189</v>
      </c>
      <c r="AG21" s="730">
        <f t="shared" si="11"/>
        <v>636.21268041315773</v>
      </c>
      <c r="AH21" s="731">
        <f t="shared" si="11"/>
        <v>2232.7803764233331</v>
      </c>
      <c r="AI21" s="730">
        <f t="shared" si="11"/>
        <v>-474.80298641958575</v>
      </c>
      <c r="AJ21" s="730">
        <f t="shared" si="11"/>
        <v>1269.0637101323209</v>
      </c>
      <c r="AK21" s="730">
        <f t="shared" si="11"/>
        <v>674.60547265613411</v>
      </c>
      <c r="AL21" s="731">
        <f t="shared" si="11"/>
        <v>2324.057987786302</v>
      </c>
      <c r="AM21" s="637"/>
      <c r="AN21" s="637"/>
      <c r="AO21" s="637"/>
      <c r="AP21" s="637"/>
      <c r="AQ21" s="637"/>
      <c r="AR21" s="637"/>
      <c r="AS21" s="638"/>
      <c r="AT21" s="638"/>
      <c r="AU21" s="638"/>
      <c r="AV21" s="638"/>
      <c r="AW21" s="638"/>
    </row>
    <row r="22" spans="1:54" ht="13.5" customHeight="1">
      <c r="A22" s="11"/>
      <c r="B22" s="37" t="s">
        <v>81</v>
      </c>
      <c r="C22" s="57"/>
      <c r="D22" s="57"/>
      <c r="E22" s="57"/>
      <c r="F22" s="687"/>
      <c r="G22" s="57"/>
      <c r="H22" s="53"/>
      <c r="I22" s="53"/>
      <c r="J22" s="8"/>
      <c r="K22" s="321"/>
      <c r="L22" s="116"/>
      <c r="M22" s="116"/>
      <c r="N22" s="322"/>
      <c r="O22" s="116"/>
      <c r="P22" s="116"/>
      <c r="Q22" s="116"/>
      <c r="R22" s="322"/>
      <c r="S22" s="116"/>
      <c r="T22" s="116"/>
      <c r="U22" s="116"/>
      <c r="V22" s="322"/>
      <c r="W22" s="116"/>
      <c r="X22" s="116"/>
      <c r="Y22" s="116"/>
      <c r="Z22" s="322"/>
      <c r="AA22" s="116"/>
      <c r="AB22" s="116"/>
      <c r="AC22" s="101"/>
      <c r="AD22" s="324"/>
      <c r="AE22" s="101"/>
      <c r="AF22" s="101"/>
      <c r="AG22" s="101"/>
      <c r="AH22" s="324"/>
      <c r="AI22" s="101"/>
      <c r="AJ22" s="101"/>
      <c r="AK22" s="101"/>
      <c r="AL22" s="324"/>
      <c r="AM22" s="101"/>
      <c r="AN22" s="101"/>
      <c r="AO22" s="101"/>
      <c r="AP22" s="101"/>
      <c r="AQ22" s="101"/>
      <c r="AR22" s="101"/>
      <c r="AS22" s="102"/>
      <c r="AT22" s="102"/>
      <c r="AU22" s="102"/>
      <c r="AV22" s="102"/>
      <c r="AW22" s="102"/>
    </row>
    <row r="23" spans="1:54" s="114" customFormat="1" ht="13.5" customHeight="1">
      <c r="A23" s="729"/>
      <c r="B23" s="366" t="s">
        <v>174</v>
      </c>
      <c r="C23" s="99">
        <f t="shared" ref="C23:C26" si="12">SUM(K23:N23)</f>
        <v>-1771</v>
      </c>
      <c r="D23" s="99">
        <f t="shared" ref="D23:D26" si="13">SUM(O23:R23)</f>
        <v>-1610</v>
      </c>
      <c r="E23" s="99">
        <f t="shared" ref="E23:E26" si="14">SUM(S23:V23)</f>
        <v>-1622</v>
      </c>
      <c r="F23" s="134">
        <f t="shared" ref="F23:F26" si="15">SUM(W23:Z23)</f>
        <v>-1642</v>
      </c>
      <c r="G23" s="74">
        <f t="shared" ref="G23:G26" si="16">SUM(AA23:AD23)</f>
        <v>-1839.0578999999998</v>
      </c>
      <c r="H23" s="99">
        <f t="shared" ref="H23:H26" si="17">SUM(AE23:AH23)</f>
        <v>-1642.4744599999999</v>
      </c>
      <c r="I23" s="99">
        <f t="shared" ref="I23:I26" si="18">SUM(AI23:AL23)</f>
        <v>-1944.5216115599999</v>
      </c>
      <c r="J23" s="88"/>
      <c r="K23" s="290">
        <v>-237</v>
      </c>
      <c r="L23" s="98">
        <v>-418</v>
      </c>
      <c r="M23" s="98">
        <v>-626</v>
      </c>
      <c r="N23" s="137">
        <v>-490</v>
      </c>
      <c r="O23" s="98">
        <v>-335</v>
      </c>
      <c r="P23" s="98">
        <v>-405</v>
      </c>
      <c r="Q23" s="98">
        <v>-489</v>
      </c>
      <c r="R23" s="137">
        <v>-381</v>
      </c>
      <c r="S23" s="98">
        <v>-235</v>
      </c>
      <c r="T23" s="98">
        <v>-333</v>
      </c>
      <c r="U23" s="98">
        <v>-460</v>
      </c>
      <c r="V23" s="137">
        <v>-594</v>
      </c>
      <c r="W23" s="98">
        <v>-326</v>
      </c>
      <c r="X23" s="98">
        <v>-398</v>
      </c>
      <c r="Y23" s="98">
        <v>-405</v>
      </c>
      <c r="Z23" s="794">
        <v>-513</v>
      </c>
      <c r="AA23" s="74">
        <f>-IS!AA7*IS!AA35</f>
        <v>-453.22949999999997</v>
      </c>
      <c r="AB23" s="74">
        <f>-IS!AB7*IS!AB35</f>
        <v>-450.23399999999998</v>
      </c>
      <c r="AC23" s="74">
        <f>-IS!AC7*IS!AC35</f>
        <v>-446.49689999999998</v>
      </c>
      <c r="AD23" s="134">
        <f>-IS!AD7*IS!AD35</f>
        <v>-489.09749999999997</v>
      </c>
      <c r="AE23" s="74">
        <f>-IS!AE7*IS!AE35</f>
        <v>-455.49079499999999</v>
      </c>
      <c r="AF23" s="74">
        <f>-IS!AF7*IS!AF35</f>
        <v>-384.22910250000001</v>
      </c>
      <c r="AG23" s="74">
        <f>-IS!AG7*IS!AG35</f>
        <v>-382.72593124999997</v>
      </c>
      <c r="AH23" s="134">
        <f>-IS!AH7*IS!AH35</f>
        <v>-420.02863125000005</v>
      </c>
      <c r="AI23" s="74">
        <f>-IS!AI7*IS!AI35</f>
        <v>-472.32469502999993</v>
      </c>
      <c r="AJ23" s="74">
        <f>-IS!AJ7*IS!AJ35</f>
        <v>-476.60863124999997</v>
      </c>
      <c r="AK23" s="74">
        <f>-IS!AK7*IS!AK35</f>
        <v>-474.90557168999993</v>
      </c>
      <c r="AL23" s="134">
        <f>-IS!AL7*IS!AL35</f>
        <v>-520.68271359000005</v>
      </c>
      <c r="AM23" s="74"/>
      <c r="AN23" s="74"/>
      <c r="AO23" s="74"/>
      <c r="AP23" s="74"/>
      <c r="AQ23" s="74"/>
      <c r="AR23" s="74"/>
      <c r="AS23" s="99"/>
      <c r="AT23" s="99"/>
      <c r="AU23" s="99"/>
      <c r="AV23" s="99"/>
      <c r="AW23" s="99"/>
    </row>
    <row r="24" spans="1:54" s="114" customFormat="1" ht="13.5" customHeight="1">
      <c r="A24" s="729"/>
      <c r="B24" s="366" t="s">
        <v>173</v>
      </c>
      <c r="C24" s="99">
        <f t="shared" si="12"/>
        <v>0</v>
      </c>
      <c r="D24" s="99">
        <f t="shared" si="13"/>
        <v>200</v>
      </c>
      <c r="E24" s="99">
        <f t="shared" si="14"/>
        <v>-119</v>
      </c>
      <c r="F24" s="134">
        <f t="shared" si="15"/>
        <v>-7</v>
      </c>
      <c r="G24" s="728">
        <f t="shared" si="16"/>
        <v>0</v>
      </c>
      <c r="H24" s="728">
        <f t="shared" si="17"/>
        <v>0</v>
      </c>
      <c r="I24" s="728">
        <f t="shared" si="18"/>
        <v>0</v>
      </c>
      <c r="J24" s="88"/>
      <c r="K24" s="290">
        <v>0</v>
      </c>
      <c r="L24" s="98">
        <v>0</v>
      </c>
      <c r="M24" s="98">
        <v>0</v>
      </c>
      <c r="N24" s="137">
        <v>0</v>
      </c>
      <c r="O24" s="98">
        <v>0</v>
      </c>
      <c r="P24" s="98">
        <v>0</v>
      </c>
      <c r="Q24" s="98">
        <v>0</v>
      </c>
      <c r="R24" s="137">
        <v>200</v>
      </c>
      <c r="S24" s="98">
        <v>-119</v>
      </c>
      <c r="T24" s="98">
        <v>0</v>
      </c>
      <c r="U24" s="98">
        <v>0</v>
      </c>
      <c r="V24" s="137">
        <v>0</v>
      </c>
      <c r="W24" s="98">
        <v>0</v>
      </c>
      <c r="X24" s="98">
        <v>0</v>
      </c>
      <c r="Y24" s="98">
        <v>0</v>
      </c>
      <c r="Z24" s="794">
        <v>-7</v>
      </c>
      <c r="AA24" s="98">
        <v>0</v>
      </c>
      <c r="AB24" s="98">
        <v>0</v>
      </c>
      <c r="AC24" s="98">
        <v>0</v>
      </c>
      <c r="AD24" s="137">
        <v>0</v>
      </c>
      <c r="AE24" s="98">
        <v>0</v>
      </c>
      <c r="AF24" s="98">
        <v>0</v>
      </c>
      <c r="AG24" s="98">
        <v>0</v>
      </c>
      <c r="AH24" s="137">
        <v>0</v>
      </c>
      <c r="AI24" s="98">
        <v>0</v>
      </c>
      <c r="AJ24" s="98">
        <v>0</v>
      </c>
      <c r="AK24" s="98">
        <v>0</v>
      </c>
      <c r="AL24" s="137">
        <v>0</v>
      </c>
      <c r="AM24" s="74"/>
      <c r="AN24" s="74"/>
      <c r="AO24" s="74"/>
      <c r="AP24" s="74"/>
      <c r="AQ24" s="74"/>
      <c r="AR24" s="74"/>
      <c r="AS24" s="99"/>
      <c r="AT24" s="99"/>
      <c r="AU24" s="99"/>
      <c r="AV24" s="99"/>
      <c r="AW24" s="99"/>
    </row>
    <row r="25" spans="1:54" s="114" customFormat="1" ht="13.5" customHeight="1">
      <c r="A25" s="729"/>
      <c r="B25" s="366" t="s">
        <v>179</v>
      </c>
      <c r="C25" s="99">
        <f t="shared" si="12"/>
        <v>0</v>
      </c>
      <c r="D25" s="99">
        <f t="shared" si="13"/>
        <v>133</v>
      </c>
      <c r="E25" s="99">
        <f t="shared" si="14"/>
        <v>203</v>
      </c>
      <c r="F25" s="134">
        <f t="shared" si="15"/>
        <v>0</v>
      </c>
      <c r="G25" s="728">
        <f t="shared" si="16"/>
        <v>0</v>
      </c>
      <c r="H25" s="728">
        <f t="shared" si="17"/>
        <v>0</v>
      </c>
      <c r="I25" s="728">
        <f t="shared" si="18"/>
        <v>0</v>
      </c>
      <c r="J25" s="88"/>
      <c r="K25" s="290">
        <v>0</v>
      </c>
      <c r="L25" s="98">
        <v>0</v>
      </c>
      <c r="M25" s="98">
        <v>0</v>
      </c>
      <c r="N25" s="137">
        <v>0</v>
      </c>
      <c r="O25" s="98">
        <v>91</v>
      </c>
      <c r="P25" s="98">
        <v>5</v>
      </c>
      <c r="Q25" s="98">
        <v>4</v>
      </c>
      <c r="R25" s="137">
        <v>33</v>
      </c>
      <c r="S25" s="98">
        <v>56</v>
      </c>
      <c r="T25" s="98">
        <v>47</v>
      </c>
      <c r="U25" s="98">
        <v>0</v>
      </c>
      <c r="V25" s="137">
        <v>100</v>
      </c>
      <c r="W25" s="98">
        <v>0</v>
      </c>
      <c r="X25" s="98">
        <v>0</v>
      </c>
      <c r="Y25" s="98">
        <v>0</v>
      </c>
      <c r="Z25" s="794">
        <v>0</v>
      </c>
      <c r="AA25" s="98">
        <v>0</v>
      </c>
      <c r="AB25" s="98">
        <v>0</v>
      </c>
      <c r="AC25" s="98">
        <v>0</v>
      </c>
      <c r="AD25" s="137">
        <v>0</v>
      </c>
      <c r="AE25" s="98">
        <v>0</v>
      </c>
      <c r="AF25" s="98">
        <v>0</v>
      </c>
      <c r="AG25" s="98">
        <v>0</v>
      </c>
      <c r="AH25" s="137">
        <v>0</v>
      </c>
      <c r="AI25" s="98">
        <v>0</v>
      </c>
      <c r="AJ25" s="98">
        <v>0</v>
      </c>
      <c r="AK25" s="98">
        <v>0</v>
      </c>
      <c r="AL25" s="137">
        <v>0</v>
      </c>
      <c r="AM25" s="74"/>
      <c r="AN25" s="74"/>
      <c r="AO25" s="74"/>
      <c r="AP25" s="74"/>
      <c r="AQ25" s="74"/>
      <c r="AR25" s="74"/>
      <c r="AS25" s="99"/>
      <c r="AT25" s="99"/>
      <c r="AU25" s="99"/>
      <c r="AV25" s="99"/>
      <c r="AW25" s="99"/>
    </row>
    <row r="26" spans="1:54" s="114" customFormat="1" ht="13.5" customHeight="1">
      <c r="A26" s="729"/>
      <c r="B26" s="366" t="s">
        <v>1</v>
      </c>
      <c r="C26" s="727">
        <f t="shared" si="12"/>
        <v>43</v>
      </c>
      <c r="D26" s="727">
        <f t="shared" si="13"/>
        <v>-410</v>
      </c>
      <c r="E26" s="727">
        <f t="shared" si="14"/>
        <v>55</v>
      </c>
      <c r="F26" s="733">
        <f t="shared" si="15"/>
        <v>7</v>
      </c>
      <c r="G26" s="728">
        <f t="shared" si="16"/>
        <v>1000</v>
      </c>
      <c r="H26" s="728">
        <f t="shared" si="17"/>
        <v>400</v>
      </c>
      <c r="I26" s="728">
        <f t="shared" si="18"/>
        <v>400</v>
      </c>
      <c r="J26" s="88"/>
      <c r="K26" s="620">
        <v>-7</v>
      </c>
      <c r="L26" s="110">
        <v>37</v>
      </c>
      <c r="M26" s="110">
        <v>7</v>
      </c>
      <c r="N26" s="621">
        <v>6</v>
      </c>
      <c r="O26" s="110">
        <v>0</v>
      </c>
      <c r="P26" s="110">
        <v>-337</v>
      </c>
      <c r="Q26" s="110">
        <v>337</v>
      </c>
      <c r="R26" s="621">
        <v>-410</v>
      </c>
      <c r="S26" s="110">
        <v>0</v>
      </c>
      <c r="T26" s="110">
        <v>2</v>
      </c>
      <c r="U26" s="110">
        <v>27</v>
      </c>
      <c r="V26" s="621">
        <v>26</v>
      </c>
      <c r="W26" s="110">
        <v>9</v>
      </c>
      <c r="X26" s="110">
        <v>17</v>
      </c>
      <c r="Y26" s="110">
        <v>3</v>
      </c>
      <c r="Z26" s="795">
        <v>-22</v>
      </c>
      <c r="AA26" s="796">
        <v>250</v>
      </c>
      <c r="AB26" s="110">
        <f>AA26</f>
        <v>250</v>
      </c>
      <c r="AC26" s="110">
        <f>AB26</f>
        <v>250</v>
      </c>
      <c r="AD26" s="621">
        <f>AC26</f>
        <v>250</v>
      </c>
      <c r="AE26" s="796">
        <v>100</v>
      </c>
      <c r="AF26" s="110">
        <f>AE26</f>
        <v>100</v>
      </c>
      <c r="AG26" s="110">
        <f>AF26</f>
        <v>100</v>
      </c>
      <c r="AH26" s="621">
        <f t="shared" ref="AH26:AL26" si="19">AG26</f>
        <v>100</v>
      </c>
      <c r="AI26" s="796">
        <v>100</v>
      </c>
      <c r="AJ26" s="110">
        <f t="shared" si="19"/>
        <v>100</v>
      </c>
      <c r="AK26" s="110">
        <f t="shared" si="19"/>
        <v>100</v>
      </c>
      <c r="AL26" s="621">
        <f t="shared" si="19"/>
        <v>100</v>
      </c>
      <c r="AM26" s="74"/>
      <c r="AN26" s="74"/>
      <c r="AO26" s="74"/>
      <c r="AP26" s="74"/>
      <c r="AQ26" s="74"/>
      <c r="AR26" s="74"/>
      <c r="AS26" s="99"/>
      <c r="AT26" s="99"/>
      <c r="AU26" s="99"/>
      <c r="AV26" s="99"/>
      <c r="AW26" s="99"/>
    </row>
    <row r="27" spans="1:54" s="115" customFormat="1" ht="13.5" customHeight="1">
      <c r="A27" s="113"/>
      <c r="B27" s="367" t="s">
        <v>78</v>
      </c>
      <c r="C27" s="99">
        <f t="shared" ref="C27" si="20">SUM(K27:N27)</f>
        <v>-1728</v>
      </c>
      <c r="D27" s="99">
        <f t="shared" ref="D27" si="21">SUM(O27:R27)</f>
        <v>-1687</v>
      </c>
      <c r="E27" s="99">
        <f t="shared" ref="E27" si="22">SUM(S27:V27)</f>
        <v>-1483</v>
      </c>
      <c r="F27" s="134">
        <f t="shared" ref="F27" si="23">SUM(W27:Z27)</f>
        <v>-1642</v>
      </c>
      <c r="G27" s="74">
        <f t="shared" ref="G27" si="24">SUM(AA27:AD27)</f>
        <v>-839.0578999999999</v>
      </c>
      <c r="H27" s="99">
        <f t="shared" ref="H27" si="25">SUM(AE27:AH27)</f>
        <v>-1242.4744599999999</v>
      </c>
      <c r="I27" s="99">
        <f t="shared" ref="I27" si="26">SUM(AI27:AL27)</f>
        <v>-1544.5216115599999</v>
      </c>
      <c r="J27" s="368"/>
      <c r="K27" s="599">
        <f>SUM(K23:K26)</f>
        <v>-244</v>
      </c>
      <c r="L27" s="730">
        <f t="shared" ref="L27:AL27" si="27">SUM(L23:L26)</f>
        <v>-381</v>
      </c>
      <c r="M27" s="730">
        <f t="shared" si="27"/>
        <v>-619</v>
      </c>
      <c r="N27" s="731">
        <f t="shared" si="27"/>
        <v>-484</v>
      </c>
      <c r="O27" s="730">
        <f t="shared" si="27"/>
        <v>-244</v>
      </c>
      <c r="P27" s="730">
        <f t="shared" si="27"/>
        <v>-737</v>
      </c>
      <c r="Q27" s="730">
        <f t="shared" si="27"/>
        <v>-148</v>
      </c>
      <c r="R27" s="731">
        <f t="shared" si="27"/>
        <v>-558</v>
      </c>
      <c r="S27" s="730">
        <f t="shared" si="27"/>
        <v>-298</v>
      </c>
      <c r="T27" s="730">
        <f t="shared" si="27"/>
        <v>-284</v>
      </c>
      <c r="U27" s="730">
        <f t="shared" si="27"/>
        <v>-433</v>
      </c>
      <c r="V27" s="731">
        <f t="shared" si="27"/>
        <v>-468</v>
      </c>
      <c r="W27" s="730">
        <f t="shared" si="27"/>
        <v>-317</v>
      </c>
      <c r="X27" s="730">
        <f t="shared" si="27"/>
        <v>-381</v>
      </c>
      <c r="Y27" s="730">
        <f t="shared" si="27"/>
        <v>-402</v>
      </c>
      <c r="Z27" s="731">
        <f t="shared" si="27"/>
        <v>-542</v>
      </c>
      <c r="AA27" s="730">
        <f t="shared" si="27"/>
        <v>-203.22949999999997</v>
      </c>
      <c r="AB27" s="730">
        <f t="shared" si="27"/>
        <v>-200.23399999999998</v>
      </c>
      <c r="AC27" s="730">
        <f t="shared" si="27"/>
        <v>-196.49689999999998</v>
      </c>
      <c r="AD27" s="731">
        <f t="shared" si="27"/>
        <v>-239.09749999999997</v>
      </c>
      <c r="AE27" s="730">
        <f t="shared" si="27"/>
        <v>-355.49079499999999</v>
      </c>
      <c r="AF27" s="730">
        <f t="shared" si="27"/>
        <v>-284.22910250000001</v>
      </c>
      <c r="AG27" s="730">
        <f t="shared" si="27"/>
        <v>-282.72593124999997</v>
      </c>
      <c r="AH27" s="731">
        <f t="shared" si="27"/>
        <v>-320.02863125000005</v>
      </c>
      <c r="AI27" s="730">
        <f t="shared" si="27"/>
        <v>-372.32469502999993</v>
      </c>
      <c r="AJ27" s="730">
        <f t="shared" si="27"/>
        <v>-376.60863124999997</v>
      </c>
      <c r="AK27" s="730">
        <f t="shared" si="27"/>
        <v>-374.90557168999993</v>
      </c>
      <c r="AL27" s="731">
        <f t="shared" si="27"/>
        <v>-420.68271359000005</v>
      </c>
      <c r="AM27" s="637"/>
      <c r="AN27" s="637"/>
      <c r="AO27" s="637"/>
      <c r="AP27" s="637"/>
      <c r="AQ27" s="637"/>
      <c r="AR27" s="637"/>
      <c r="AS27" s="638"/>
      <c r="AT27" s="638"/>
      <c r="AU27" s="638"/>
      <c r="AV27" s="638"/>
      <c r="AW27" s="638"/>
    </row>
    <row r="28" spans="1:54" s="1" customFormat="1" ht="13.5" customHeight="1">
      <c r="A28" s="11"/>
      <c r="B28" s="37" t="s">
        <v>82</v>
      </c>
      <c r="C28" s="57"/>
      <c r="D28" s="57"/>
      <c r="E28" s="57"/>
      <c r="F28" s="687"/>
      <c r="G28" s="57"/>
      <c r="H28" s="53"/>
      <c r="I28" s="53"/>
      <c r="J28" s="8"/>
      <c r="K28" s="321"/>
      <c r="L28" s="116"/>
      <c r="M28" s="116"/>
      <c r="N28" s="322"/>
      <c r="O28" s="116"/>
      <c r="P28" s="116"/>
      <c r="Q28" s="116"/>
      <c r="R28" s="322"/>
      <c r="S28" s="116"/>
      <c r="T28" s="116"/>
      <c r="U28" s="116"/>
      <c r="V28" s="322"/>
      <c r="W28" s="116"/>
      <c r="X28" s="116"/>
      <c r="Y28" s="116"/>
      <c r="Z28" s="322"/>
      <c r="AA28" s="116"/>
      <c r="AB28" s="116"/>
      <c r="AC28" s="101"/>
      <c r="AD28" s="324"/>
      <c r="AE28" s="101"/>
      <c r="AF28" s="101"/>
      <c r="AG28" s="101"/>
      <c r="AH28" s="324"/>
      <c r="AI28" s="101"/>
      <c r="AJ28" s="101"/>
      <c r="AK28" s="101"/>
      <c r="AL28" s="324"/>
      <c r="AM28" s="101"/>
      <c r="AN28" s="101"/>
      <c r="AO28" s="101"/>
      <c r="AP28" s="101"/>
      <c r="AQ28" s="101"/>
      <c r="AR28" s="101"/>
      <c r="AS28" s="102"/>
      <c r="AT28" s="102"/>
      <c r="AU28" s="102"/>
      <c r="AV28" s="102"/>
      <c r="AW28" s="102"/>
      <c r="AX28" s="14"/>
      <c r="AY28" s="14"/>
      <c r="AZ28" s="14"/>
      <c r="BA28" s="14"/>
      <c r="BB28" s="14"/>
    </row>
    <row r="29" spans="1:54" s="89" customFormat="1" ht="13.5" customHeight="1">
      <c r="A29" s="67"/>
      <c r="B29" s="366" t="s">
        <v>176</v>
      </c>
      <c r="C29" s="99">
        <f t="shared" ref="C29:C34" si="28">SUM(K29:N29)</f>
        <v>-565</v>
      </c>
      <c r="D29" s="99">
        <f t="shared" ref="D29:D34" si="29">SUM(O29:R29)</f>
        <v>93</v>
      </c>
      <c r="E29" s="99">
        <f t="shared" ref="E29:E34" si="30">SUM(S29:V29)</f>
        <v>1377</v>
      </c>
      <c r="F29" s="134">
        <f t="shared" ref="F29:F34" si="31">SUM(W29:Z29)</f>
        <v>356</v>
      </c>
      <c r="G29" s="74">
        <f t="shared" ref="G29:G34" si="32">SUM(AA29:AD29)</f>
        <v>-871.63811341188011</v>
      </c>
      <c r="H29" s="99">
        <f t="shared" ref="H29:H34" si="33">SUM(AE29:AH29)</f>
        <v>172.85502611186689</v>
      </c>
      <c r="I29" s="99">
        <f t="shared" ref="I29:I34" si="34">SUM(AI29:AL29)</f>
        <v>425.74911246597117</v>
      </c>
      <c r="J29" s="88"/>
      <c r="K29" s="290">
        <v>1054</v>
      </c>
      <c r="L29" s="98">
        <v>-577</v>
      </c>
      <c r="M29" s="98">
        <v>-332</v>
      </c>
      <c r="N29" s="137">
        <v>-710</v>
      </c>
      <c r="O29" s="98">
        <v>3134</v>
      </c>
      <c r="P29" s="98">
        <v>-3068</v>
      </c>
      <c r="Q29" s="98">
        <v>15</v>
      </c>
      <c r="R29" s="137">
        <v>12</v>
      </c>
      <c r="S29" s="98">
        <v>-66</v>
      </c>
      <c r="T29" s="98">
        <v>563</v>
      </c>
      <c r="U29" s="98">
        <v>1107</v>
      </c>
      <c r="V29" s="137">
        <v>-227</v>
      </c>
      <c r="W29" s="98">
        <v>865</v>
      </c>
      <c r="X29" s="98">
        <v>-457</v>
      </c>
      <c r="Y29" s="98">
        <v>-215</v>
      </c>
      <c r="Z29" s="137">
        <v>163</v>
      </c>
      <c r="AA29" s="106">
        <f>Debt!G17+Debt!G18</f>
        <v>368.35534808833461</v>
      </c>
      <c r="AB29" s="106">
        <f>Debt!H17+Debt!H18</f>
        <v>-319.35065718112355</v>
      </c>
      <c r="AC29" s="106">
        <f>Debt!I17+Debt!I18</f>
        <v>286.26856633496584</v>
      </c>
      <c r="AD29" s="622">
        <f>Debt!J17+Debt!J18</f>
        <v>-1206.911370654057</v>
      </c>
      <c r="AE29" s="106">
        <f>Debt!K17+Debt!K18</f>
        <v>1381.2761422594181</v>
      </c>
      <c r="AF29" s="106">
        <f>Debt!L17+Debt!L18</f>
        <v>-256.80994804518969</v>
      </c>
      <c r="AG29" s="106">
        <f>Debt!M17+Debt!M18</f>
        <v>304.619778175909</v>
      </c>
      <c r="AH29" s="622">
        <f>Debt!N17+Debt!N18</f>
        <v>-1256.2309462782705</v>
      </c>
      <c r="AI29" s="106">
        <f>Debt!O17+Debt!O18</f>
        <v>1518.036929695319</v>
      </c>
      <c r="AJ29" s="106">
        <f>Debt!P17+Debt!P18</f>
        <v>-223.15111864414189</v>
      </c>
      <c r="AK29" s="106">
        <f>Debt!Q17+Debt!Q18</f>
        <v>368.03579358938805</v>
      </c>
      <c r="AL29" s="622">
        <f>Debt!R17+Debt!R18</f>
        <v>-1237.172492174594</v>
      </c>
      <c r="AM29" s="74"/>
      <c r="AN29" s="74"/>
      <c r="AO29" s="74"/>
      <c r="AP29" s="74"/>
      <c r="AQ29" s="74"/>
      <c r="AR29" s="74"/>
      <c r="AS29" s="99"/>
      <c r="AT29" s="99"/>
      <c r="AU29" s="99"/>
      <c r="AV29" s="99"/>
      <c r="AW29" s="99"/>
      <c r="AX29" s="114"/>
      <c r="AY29" s="114"/>
      <c r="AZ29" s="114"/>
      <c r="BA29" s="114"/>
      <c r="BB29" s="114"/>
    </row>
    <row r="30" spans="1:54" s="89" customFormat="1" ht="13.5" customHeight="1">
      <c r="A30" s="67"/>
      <c r="B30" s="366" t="s">
        <v>177</v>
      </c>
      <c r="C30" s="99">
        <f t="shared" si="28"/>
        <v>36</v>
      </c>
      <c r="D30" s="99">
        <f t="shared" si="29"/>
        <v>6775</v>
      </c>
      <c r="E30" s="99">
        <f t="shared" si="30"/>
        <v>3248</v>
      </c>
      <c r="F30" s="134">
        <f t="shared" si="31"/>
        <v>5114</v>
      </c>
      <c r="G30" s="728">
        <f t="shared" si="32"/>
        <v>0</v>
      </c>
      <c r="H30" s="728">
        <f t="shared" si="33"/>
        <v>0</v>
      </c>
      <c r="I30" s="728">
        <f t="shared" si="34"/>
        <v>0</v>
      </c>
      <c r="J30" s="88"/>
      <c r="K30" s="290">
        <v>10</v>
      </c>
      <c r="L30" s="98">
        <v>15</v>
      </c>
      <c r="M30" s="98">
        <v>10</v>
      </c>
      <c r="N30" s="137">
        <v>1</v>
      </c>
      <c r="O30" s="98">
        <v>802</v>
      </c>
      <c r="P30" s="98">
        <v>5970</v>
      </c>
      <c r="Q30" s="98">
        <v>-5</v>
      </c>
      <c r="R30" s="137">
        <v>8</v>
      </c>
      <c r="S30" s="98">
        <v>6</v>
      </c>
      <c r="T30" s="98">
        <v>-6</v>
      </c>
      <c r="U30" s="98">
        <v>726</v>
      </c>
      <c r="V30" s="137">
        <v>2522</v>
      </c>
      <c r="W30" s="98">
        <v>2994</v>
      </c>
      <c r="X30" s="98">
        <v>35</v>
      </c>
      <c r="Y30" s="98">
        <v>3</v>
      </c>
      <c r="Z30" s="137">
        <v>2082</v>
      </c>
      <c r="AA30" s="103">
        <v>0</v>
      </c>
      <c r="AB30" s="98">
        <f>AA30</f>
        <v>0</v>
      </c>
      <c r="AC30" s="98">
        <v>0</v>
      </c>
      <c r="AD30" s="137">
        <v>0</v>
      </c>
      <c r="AE30" s="98">
        <v>0</v>
      </c>
      <c r="AF30" s="98">
        <v>0</v>
      </c>
      <c r="AG30" s="98">
        <v>0</v>
      </c>
      <c r="AH30" s="137">
        <v>0</v>
      </c>
      <c r="AI30" s="98">
        <v>0</v>
      </c>
      <c r="AJ30" s="98">
        <v>0</v>
      </c>
      <c r="AK30" s="98">
        <v>0</v>
      </c>
      <c r="AL30" s="137">
        <v>0</v>
      </c>
      <c r="AM30" s="74"/>
      <c r="AN30" s="74"/>
      <c r="AO30" s="74"/>
      <c r="AP30" s="74"/>
      <c r="AQ30" s="74"/>
      <c r="AR30" s="74"/>
      <c r="AS30" s="99"/>
      <c r="AT30" s="99"/>
      <c r="AU30" s="99"/>
      <c r="AV30" s="99"/>
      <c r="AW30" s="99"/>
      <c r="AX30" s="114"/>
      <c r="AY30" s="114"/>
      <c r="AZ30" s="114"/>
      <c r="BA30" s="114"/>
      <c r="BB30" s="114"/>
    </row>
    <row r="31" spans="1:54" s="89" customFormat="1" ht="13.5" customHeight="1">
      <c r="A31" s="67"/>
      <c r="B31" s="366" t="s">
        <v>178</v>
      </c>
      <c r="C31" s="99">
        <f t="shared" si="28"/>
        <v>-1114</v>
      </c>
      <c r="D31" s="99">
        <f t="shared" si="29"/>
        <v>-4495</v>
      </c>
      <c r="E31" s="99">
        <f t="shared" si="30"/>
        <v>-7559</v>
      </c>
      <c r="F31" s="134">
        <f t="shared" si="31"/>
        <v>-5730</v>
      </c>
      <c r="G31" s="728">
        <f t="shared" si="32"/>
        <v>0</v>
      </c>
      <c r="H31" s="728">
        <f t="shared" si="33"/>
        <v>0</v>
      </c>
      <c r="I31" s="728">
        <f t="shared" si="34"/>
        <v>0</v>
      </c>
      <c r="J31" s="88"/>
      <c r="K31" s="290">
        <v>-3</v>
      </c>
      <c r="L31" s="98">
        <v>-4</v>
      </c>
      <c r="M31" s="98">
        <v>-3</v>
      </c>
      <c r="N31" s="137">
        <v>-1104</v>
      </c>
      <c r="O31" s="98">
        <v>-2639</v>
      </c>
      <c r="P31" s="98">
        <v>-903</v>
      </c>
      <c r="Q31" s="98">
        <v>-794</v>
      </c>
      <c r="R31" s="137">
        <v>-159</v>
      </c>
      <c r="S31" s="98">
        <v>-752</v>
      </c>
      <c r="T31" s="98">
        <v>-997</v>
      </c>
      <c r="U31" s="98">
        <v>-71</v>
      </c>
      <c r="V31" s="137">
        <v>-5739</v>
      </c>
      <c r="W31" s="98">
        <v>-2514</v>
      </c>
      <c r="X31" s="98">
        <v>-2</v>
      </c>
      <c r="Y31" s="98">
        <v>-8</v>
      </c>
      <c r="Z31" s="137">
        <v>-3206</v>
      </c>
      <c r="AA31" s="103">
        <v>0</v>
      </c>
      <c r="AB31" s="98">
        <f>AA31</f>
        <v>0</v>
      </c>
      <c r="AC31" s="98">
        <v>0</v>
      </c>
      <c r="AD31" s="137">
        <v>0</v>
      </c>
      <c r="AE31" s="98">
        <v>0</v>
      </c>
      <c r="AF31" s="98">
        <v>0</v>
      </c>
      <c r="AG31" s="98">
        <v>0</v>
      </c>
      <c r="AH31" s="137">
        <v>0</v>
      </c>
      <c r="AI31" s="98">
        <v>0</v>
      </c>
      <c r="AJ31" s="98">
        <v>0</v>
      </c>
      <c r="AK31" s="98">
        <v>0</v>
      </c>
      <c r="AL31" s="137">
        <v>0</v>
      </c>
      <c r="AM31" s="74"/>
      <c r="AN31" s="74"/>
      <c r="AO31" s="74"/>
      <c r="AP31" s="74"/>
      <c r="AQ31" s="74"/>
      <c r="AR31" s="74"/>
      <c r="AS31" s="99"/>
      <c r="AT31" s="99"/>
      <c r="AU31" s="99"/>
      <c r="AV31" s="99"/>
      <c r="AW31" s="99"/>
      <c r="AX31" s="114"/>
      <c r="AY31" s="114"/>
      <c r="AZ31" s="114"/>
      <c r="BA31" s="114"/>
      <c r="BB31" s="114"/>
    </row>
    <row r="32" spans="1:54" s="89" customFormat="1" ht="13.5" customHeight="1">
      <c r="A32" s="67"/>
      <c r="B32" s="366" t="s">
        <v>175</v>
      </c>
      <c r="C32" s="99">
        <f t="shared" si="28"/>
        <v>0</v>
      </c>
      <c r="D32" s="99">
        <f t="shared" si="29"/>
        <v>0</v>
      </c>
      <c r="E32" s="99">
        <f t="shared" si="30"/>
        <v>-2900</v>
      </c>
      <c r="F32" s="134">
        <f t="shared" si="31"/>
        <v>-1700</v>
      </c>
      <c r="G32" s="74">
        <f t="shared" si="32"/>
        <v>-1800</v>
      </c>
      <c r="H32" s="99">
        <f t="shared" si="33"/>
        <v>-1600</v>
      </c>
      <c r="I32" s="99">
        <f t="shared" si="34"/>
        <v>-1600</v>
      </c>
      <c r="J32" s="88"/>
      <c r="K32" s="290">
        <v>0</v>
      </c>
      <c r="L32" s="98">
        <v>0</v>
      </c>
      <c r="M32" s="98">
        <v>0</v>
      </c>
      <c r="N32" s="137">
        <v>0</v>
      </c>
      <c r="O32" s="98">
        <v>0</v>
      </c>
      <c r="P32" s="98">
        <v>0</v>
      </c>
      <c r="Q32" s="98">
        <v>0</v>
      </c>
      <c r="R32" s="137">
        <v>0</v>
      </c>
      <c r="S32" s="98">
        <v>0</v>
      </c>
      <c r="T32" s="98">
        <v>-92</v>
      </c>
      <c r="U32" s="98">
        <v>-701</v>
      </c>
      <c r="V32" s="137">
        <v>-2107</v>
      </c>
      <c r="W32" s="98">
        <v>-468</v>
      </c>
      <c r="X32" s="98">
        <v>-252</v>
      </c>
      <c r="Y32" s="98">
        <v>-300</v>
      </c>
      <c r="Z32" s="137">
        <v>-680</v>
      </c>
      <c r="AA32" s="106">
        <f>Equity!G9</f>
        <v>-450</v>
      </c>
      <c r="AB32" s="106">
        <f>Equity!H9</f>
        <v>-450</v>
      </c>
      <c r="AC32" s="106">
        <f>Equity!I9</f>
        <v>-450</v>
      </c>
      <c r="AD32" s="622">
        <f>Equity!J9</f>
        <v>-450</v>
      </c>
      <c r="AE32" s="106">
        <f>Equity!K9</f>
        <v>-400</v>
      </c>
      <c r="AF32" s="106">
        <f>Equity!L9</f>
        <v>-400</v>
      </c>
      <c r="AG32" s="106">
        <f>Equity!M9</f>
        <v>-400</v>
      </c>
      <c r="AH32" s="622">
        <f>Equity!N9</f>
        <v>-400</v>
      </c>
      <c r="AI32" s="106">
        <f>Equity!O9</f>
        <v>-400</v>
      </c>
      <c r="AJ32" s="106">
        <f>Equity!P9</f>
        <v>-400</v>
      </c>
      <c r="AK32" s="106">
        <f>Equity!Q9</f>
        <v>-400</v>
      </c>
      <c r="AL32" s="622">
        <f>Equity!R9</f>
        <v>-400</v>
      </c>
      <c r="AM32" s="74"/>
      <c r="AN32" s="74"/>
      <c r="AO32" s="74"/>
      <c r="AP32" s="74"/>
      <c r="AQ32" s="74"/>
      <c r="AR32" s="74"/>
      <c r="AS32" s="99"/>
      <c r="AT32" s="99"/>
      <c r="AU32" s="99"/>
      <c r="AV32" s="99"/>
      <c r="AW32" s="99"/>
      <c r="AX32" s="114"/>
      <c r="AY32" s="114"/>
      <c r="AZ32" s="114"/>
      <c r="BA32" s="114"/>
      <c r="BB32" s="114"/>
    </row>
    <row r="33" spans="1:54" s="89" customFormat="1" ht="13.5" customHeight="1">
      <c r="A33" s="67"/>
      <c r="B33" s="366" t="s">
        <v>59</v>
      </c>
      <c r="C33" s="99">
        <f t="shared" si="28"/>
        <v>-2043</v>
      </c>
      <c r="D33" s="99">
        <f t="shared" si="29"/>
        <v>-2058</v>
      </c>
      <c r="E33" s="99">
        <f t="shared" si="30"/>
        <v>-943</v>
      </c>
      <c r="F33" s="134">
        <f t="shared" si="31"/>
        <v>-964</v>
      </c>
      <c r="G33" s="74">
        <f t="shared" si="32"/>
        <v>-998.83221026165006</v>
      </c>
      <c r="H33" s="99">
        <f t="shared" si="33"/>
        <v>-1035.7608180207008</v>
      </c>
      <c r="I33" s="99">
        <f t="shared" si="34"/>
        <v>-1074.1516850611426</v>
      </c>
      <c r="J33" s="88"/>
      <c r="K33" s="290">
        <v>-507</v>
      </c>
      <c r="L33" s="98">
        <v>-510</v>
      </c>
      <c r="M33" s="98">
        <v>-518</v>
      </c>
      <c r="N33" s="137">
        <v>-508</v>
      </c>
      <c r="O33" s="98">
        <v>-514</v>
      </c>
      <c r="P33" s="98">
        <v>-511</v>
      </c>
      <c r="Q33" s="98">
        <v>-517</v>
      </c>
      <c r="R33" s="137">
        <v>-516</v>
      </c>
      <c r="S33" s="98">
        <v>-232</v>
      </c>
      <c r="T33" s="98">
        <v>-232</v>
      </c>
      <c r="U33" s="98">
        <v>-232</v>
      </c>
      <c r="V33" s="137">
        <v>-247</v>
      </c>
      <c r="W33" s="98">
        <v>-238</v>
      </c>
      <c r="X33" s="98">
        <v>-238</v>
      </c>
      <c r="Y33" s="98">
        <v>-237</v>
      </c>
      <c r="Z33" s="137">
        <v>-251</v>
      </c>
      <c r="AA33" s="106">
        <f>Equity!G10</f>
        <v>-252.6</v>
      </c>
      <c r="AB33" s="106">
        <f>Equity!H10</f>
        <v>-250.63550640279391</v>
      </c>
      <c r="AC33" s="106">
        <f>Equity!I10</f>
        <v>-248.72656975121023</v>
      </c>
      <c r="AD33" s="622">
        <f>Equity!J10</f>
        <v>-246.87013410764587</v>
      </c>
      <c r="AE33" s="106">
        <f>Equity!K10</f>
        <v>-261.4009481873419</v>
      </c>
      <c r="AF33" s="106">
        <f>Equity!L10</f>
        <v>-259.7325435992293</v>
      </c>
      <c r="AG33" s="106">
        <f>Equity!M10</f>
        <v>-258.1065273390667</v>
      </c>
      <c r="AH33" s="622">
        <f>Equity!N10</f>
        <v>-256.52079889506274</v>
      </c>
      <c r="AI33" s="106">
        <f>Equity!O10</f>
        <v>-270.90924824573341</v>
      </c>
      <c r="AJ33" s="106">
        <f>Equity!P10</f>
        <v>-269.30396023817906</v>
      </c>
      <c r="AK33" s="106">
        <f>Equity!Q10</f>
        <v>-267.73569455552223</v>
      </c>
      <c r="AL33" s="622">
        <f>Equity!R10</f>
        <v>-266.20278202170795</v>
      </c>
      <c r="AM33" s="74"/>
      <c r="AN33" s="74"/>
      <c r="AO33" s="74"/>
      <c r="AP33" s="74"/>
      <c r="AQ33" s="74"/>
      <c r="AR33" s="74"/>
      <c r="AS33" s="99"/>
      <c r="AT33" s="99"/>
      <c r="AU33" s="99"/>
      <c r="AV33" s="99"/>
      <c r="AW33" s="99"/>
      <c r="AX33" s="114"/>
      <c r="AY33" s="114"/>
      <c r="AZ33" s="114"/>
      <c r="BA33" s="114"/>
      <c r="BB33" s="114"/>
    </row>
    <row r="34" spans="1:54" s="89" customFormat="1" ht="13.5" customHeight="1">
      <c r="A34" s="67"/>
      <c r="B34" s="366" t="s">
        <v>1</v>
      </c>
      <c r="C34" s="99">
        <f t="shared" si="28"/>
        <v>511</v>
      </c>
      <c r="D34" s="99">
        <f t="shared" si="29"/>
        <v>-111</v>
      </c>
      <c r="E34" s="99">
        <f t="shared" si="30"/>
        <v>132</v>
      </c>
      <c r="F34" s="134">
        <f t="shared" si="31"/>
        <v>194</v>
      </c>
      <c r="G34" s="728">
        <f t="shared" si="32"/>
        <v>0</v>
      </c>
      <c r="H34" s="728">
        <f t="shared" si="33"/>
        <v>0</v>
      </c>
      <c r="I34" s="728">
        <f t="shared" si="34"/>
        <v>0</v>
      </c>
      <c r="J34" s="88"/>
      <c r="K34" s="290">
        <v>241</v>
      </c>
      <c r="L34" s="98">
        <v>321</v>
      </c>
      <c r="M34" s="98">
        <v>-40</v>
      </c>
      <c r="N34" s="137">
        <v>-11</v>
      </c>
      <c r="O34" s="98">
        <v>134</v>
      </c>
      <c r="P34" s="98">
        <v>-279</v>
      </c>
      <c r="Q34" s="98">
        <v>3</v>
      </c>
      <c r="R34" s="137">
        <v>31</v>
      </c>
      <c r="S34" s="98">
        <v>51</v>
      </c>
      <c r="T34" s="98">
        <v>29</v>
      </c>
      <c r="U34" s="98">
        <v>18</v>
      </c>
      <c r="V34" s="137">
        <v>34</v>
      </c>
      <c r="W34" s="98">
        <v>40</v>
      </c>
      <c r="X34" s="98">
        <v>72</v>
      </c>
      <c r="Y34" s="98">
        <v>51</v>
      </c>
      <c r="Z34" s="137">
        <v>31</v>
      </c>
      <c r="AA34" s="98">
        <v>0</v>
      </c>
      <c r="AB34" s="98">
        <v>0</v>
      </c>
      <c r="AC34" s="98">
        <v>0</v>
      </c>
      <c r="AD34" s="137">
        <v>0</v>
      </c>
      <c r="AE34" s="98">
        <v>0</v>
      </c>
      <c r="AF34" s="98">
        <v>0</v>
      </c>
      <c r="AG34" s="98">
        <v>0</v>
      </c>
      <c r="AH34" s="137">
        <v>0</v>
      </c>
      <c r="AI34" s="98">
        <v>0</v>
      </c>
      <c r="AJ34" s="98">
        <v>0</v>
      </c>
      <c r="AK34" s="98">
        <v>0</v>
      </c>
      <c r="AL34" s="137">
        <v>0</v>
      </c>
      <c r="AM34" s="74"/>
      <c r="AN34" s="74"/>
      <c r="AO34" s="74"/>
      <c r="AP34" s="74"/>
      <c r="AQ34" s="74"/>
      <c r="AR34" s="74"/>
      <c r="AS34" s="99"/>
      <c r="AT34" s="99"/>
      <c r="AU34" s="99"/>
      <c r="AV34" s="99"/>
      <c r="AW34" s="99"/>
      <c r="AX34" s="114"/>
      <c r="AY34" s="114"/>
      <c r="AZ34" s="114"/>
      <c r="BA34" s="114"/>
      <c r="BB34" s="114"/>
    </row>
    <row r="35" spans="1:54" s="115" customFormat="1" ht="13.5" customHeight="1">
      <c r="A35" s="113"/>
      <c r="B35" s="367" t="s">
        <v>79</v>
      </c>
      <c r="C35" s="638">
        <f t="shared" ref="C35" si="35">SUM(K35:N35)</f>
        <v>-3175</v>
      </c>
      <c r="D35" s="638">
        <f t="shared" ref="D35" si="36">SUM(O35:R35)</f>
        <v>204</v>
      </c>
      <c r="E35" s="638">
        <f t="shared" ref="E35" si="37">SUM(S35:V35)</f>
        <v>-6645</v>
      </c>
      <c r="F35" s="736">
        <f t="shared" ref="F35" si="38">SUM(W35:Z35)</f>
        <v>-2730</v>
      </c>
      <c r="G35" s="637">
        <f t="shared" ref="G35" si="39">SUM(AA35:AD35)</f>
        <v>-3670.4703236735299</v>
      </c>
      <c r="H35" s="638">
        <f t="shared" ref="H35" si="40">SUM(AE35:AH35)</f>
        <v>-2462.9057919088336</v>
      </c>
      <c r="I35" s="638">
        <f t="shared" ref="I35" si="41">SUM(AI35:AL35)</f>
        <v>-2248.4025725951715</v>
      </c>
      <c r="J35" s="368"/>
      <c r="K35" s="599">
        <f t="shared" ref="K35:AL35" si="42">SUM(K29:K34)</f>
        <v>795</v>
      </c>
      <c r="L35" s="730">
        <f t="shared" si="42"/>
        <v>-755</v>
      </c>
      <c r="M35" s="730">
        <f t="shared" si="42"/>
        <v>-883</v>
      </c>
      <c r="N35" s="731">
        <f t="shared" si="42"/>
        <v>-2332</v>
      </c>
      <c r="O35" s="730">
        <f t="shared" si="42"/>
        <v>917</v>
      </c>
      <c r="P35" s="730">
        <f t="shared" si="42"/>
        <v>1209</v>
      </c>
      <c r="Q35" s="730">
        <f t="shared" si="42"/>
        <v>-1298</v>
      </c>
      <c r="R35" s="731">
        <f t="shared" si="42"/>
        <v>-624</v>
      </c>
      <c r="S35" s="730">
        <f t="shared" si="42"/>
        <v>-993</v>
      </c>
      <c r="T35" s="730">
        <f t="shared" si="42"/>
        <v>-735</v>
      </c>
      <c r="U35" s="730">
        <f t="shared" si="42"/>
        <v>847</v>
      </c>
      <c r="V35" s="731">
        <f t="shared" si="42"/>
        <v>-5764</v>
      </c>
      <c r="W35" s="730">
        <f t="shared" si="42"/>
        <v>679</v>
      </c>
      <c r="X35" s="730">
        <f t="shared" si="42"/>
        <v>-842</v>
      </c>
      <c r="Y35" s="730">
        <f t="shared" si="42"/>
        <v>-706</v>
      </c>
      <c r="Z35" s="731">
        <f t="shared" si="42"/>
        <v>-1861</v>
      </c>
      <c r="AA35" s="730">
        <f t="shared" si="42"/>
        <v>-334.24465191166541</v>
      </c>
      <c r="AB35" s="730">
        <f t="shared" si="42"/>
        <v>-1019.9861635839175</v>
      </c>
      <c r="AC35" s="730">
        <f t="shared" si="42"/>
        <v>-412.45800341624442</v>
      </c>
      <c r="AD35" s="731">
        <f t="shared" si="42"/>
        <v>-1903.7815047617028</v>
      </c>
      <c r="AE35" s="730">
        <f t="shared" si="42"/>
        <v>719.87519407207617</v>
      </c>
      <c r="AF35" s="730">
        <f t="shared" si="42"/>
        <v>-916.54249164441899</v>
      </c>
      <c r="AG35" s="730">
        <f t="shared" si="42"/>
        <v>-353.4867491631577</v>
      </c>
      <c r="AH35" s="731">
        <f t="shared" si="42"/>
        <v>-1912.7517451733333</v>
      </c>
      <c r="AI35" s="730">
        <f t="shared" si="42"/>
        <v>847.12768144958568</v>
      </c>
      <c r="AJ35" s="730">
        <f t="shared" si="42"/>
        <v>-892.455078882321</v>
      </c>
      <c r="AK35" s="730">
        <f t="shared" si="42"/>
        <v>-299.69990096613418</v>
      </c>
      <c r="AL35" s="731">
        <f t="shared" si="42"/>
        <v>-1903.3752741963019</v>
      </c>
      <c r="AM35" s="637"/>
      <c r="AN35" s="637"/>
      <c r="AO35" s="637"/>
      <c r="AP35" s="637"/>
      <c r="AQ35" s="637"/>
      <c r="AR35" s="637"/>
      <c r="AS35" s="638"/>
      <c r="AT35" s="638"/>
      <c r="AU35" s="638"/>
      <c r="AV35" s="638"/>
      <c r="AW35" s="638"/>
    </row>
    <row r="36" spans="1:54" s="89" customFormat="1" ht="13.5" customHeight="1">
      <c r="A36" s="67"/>
      <c r="B36" s="88"/>
      <c r="C36" s="88"/>
      <c r="D36" s="88"/>
      <c r="E36" s="88"/>
      <c r="F36" s="279"/>
      <c r="G36" s="73"/>
      <c r="H36" s="88"/>
      <c r="I36" s="88"/>
      <c r="J36" s="88"/>
      <c r="K36" s="132"/>
      <c r="L36" s="74"/>
      <c r="M36" s="74"/>
      <c r="N36" s="134"/>
      <c r="O36" s="74"/>
      <c r="P36" s="74"/>
      <c r="Q36" s="74"/>
      <c r="R36" s="134"/>
      <c r="S36" s="74"/>
      <c r="T36" s="74"/>
      <c r="U36" s="74"/>
      <c r="V36" s="134"/>
      <c r="W36" s="74"/>
      <c r="X36" s="74"/>
      <c r="Y36" s="74"/>
      <c r="Z36" s="134"/>
      <c r="AA36" s="74"/>
      <c r="AB36" s="74"/>
      <c r="AC36" s="74"/>
      <c r="AD36" s="134"/>
      <c r="AE36" s="74"/>
      <c r="AF36" s="74"/>
      <c r="AG36" s="74"/>
      <c r="AH36" s="134"/>
      <c r="AI36" s="74"/>
      <c r="AJ36" s="74"/>
      <c r="AK36" s="74"/>
      <c r="AL36" s="134"/>
      <c r="AM36" s="74"/>
      <c r="AN36" s="74"/>
      <c r="AO36" s="74"/>
      <c r="AP36" s="74"/>
      <c r="AQ36" s="74"/>
      <c r="AR36" s="74"/>
      <c r="AS36" s="99"/>
      <c r="AT36" s="99"/>
      <c r="AU36" s="99"/>
      <c r="AV36" s="99"/>
      <c r="AW36" s="99"/>
      <c r="AX36" s="114"/>
      <c r="AY36" s="114"/>
      <c r="AZ36" s="114"/>
      <c r="BA36" s="114"/>
      <c r="BB36" s="114"/>
    </row>
    <row r="37" spans="1:54" s="89" customFormat="1" ht="13.5" customHeight="1">
      <c r="A37" s="67"/>
      <c r="B37" s="88" t="s">
        <v>180</v>
      </c>
      <c r="C37" s="74">
        <f t="shared" ref="C37" si="43">SUM(K37:N37)</f>
        <v>-124</v>
      </c>
      <c r="D37" s="74">
        <f t="shared" ref="D37" si="44">SUM(O37:R37)</f>
        <v>61</v>
      </c>
      <c r="E37" s="74">
        <f t="shared" ref="E37" si="45">SUM(S37:V37)</f>
        <v>-93</v>
      </c>
      <c r="F37" s="134">
        <f t="shared" ref="F37" si="46">SUM(W37:Z37)</f>
        <v>-223</v>
      </c>
      <c r="G37" s="728">
        <f t="shared" ref="G37" si="47">SUM(AA37:AD37)</f>
        <v>0</v>
      </c>
      <c r="H37" s="728">
        <f t="shared" ref="H37" si="48">SUM(AE37:AH37)</f>
        <v>0</v>
      </c>
      <c r="I37" s="728">
        <f t="shared" ref="I37" si="49">SUM(AI37:AL37)</f>
        <v>0</v>
      </c>
      <c r="J37" s="88"/>
      <c r="K37" s="327">
        <v>42</v>
      </c>
      <c r="L37" s="742">
        <v>33</v>
      </c>
      <c r="M37" s="742">
        <v>-158</v>
      </c>
      <c r="N37" s="326">
        <v>-41</v>
      </c>
      <c r="O37" s="742">
        <v>56</v>
      </c>
      <c r="P37" s="742">
        <v>-77</v>
      </c>
      <c r="Q37" s="742">
        <v>46</v>
      </c>
      <c r="R37" s="326">
        <v>36</v>
      </c>
      <c r="S37" s="742">
        <v>-40</v>
      </c>
      <c r="T37" s="742">
        <v>-67</v>
      </c>
      <c r="U37" s="742">
        <v>22</v>
      </c>
      <c r="V37" s="326">
        <v>-8</v>
      </c>
      <c r="W37" s="742">
        <v>-27</v>
      </c>
      <c r="X37" s="742">
        <v>-12</v>
      </c>
      <c r="Y37" s="742">
        <v>-101</v>
      </c>
      <c r="Z37" s="326">
        <v>-83</v>
      </c>
      <c r="AA37" s="732">
        <v>0</v>
      </c>
      <c r="AB37" s="732">
        <v>0</v>
      </c>
      <c r="AC37" s="732">
        <v>0</v>
      </c>
      <c r="AD37" s="739">
        <v>0</v>
      </c>
      <c r="AE37" s="732">
        <v>0</v>
      </c>
      <c r="AF37" s="732">
        <v>0</v>
      </c>
      <c r="AG37" s="732">
        <v>0</v>
      </c>
      <c r="AH37" s="739">
        <v>0</v>
      </c>
      <c r="AI37" s="732">
        <v>0</v>
      </c>
      <c r="AJ37" s="732">
        <v>0</v>
      </c>
      <c r="AK37" s="732">
        <v>0</v>
      </c>
      <c r="AL37" s="739">
        <v>0</v>
      </c>
      <c r="AM37" s="74"/>
      <c r="AN37" s="74"/>
      <c r="AO37" s="74"/>
      <c r="AP37" s="74"/>
      <c r="AQ37" s="74"/>
      <c r="AR37" s="74"/>
      <c r="AS37" s="99"/>
      <c r="AT37" s="99"/>
      <c r="AU37" s="99"/>
      <c r="AV37" s="99"/>
      <c r="AW37" s="99"/>
      <c r="AX37" s="114"/>
      <c r="AY37" s="114"/>
      <c r="AZ37" s="114"/>
      <c r="BA37" s="114"/>
      <c r="BB37" s="114"/>
    </row>
    <row r="38" spans="1:54" s="89" customFormat="1" ht="13.5" customHeight="1">
      <c r="A38" s="67"/>
      <c r="B38" s="365" t="s">
        <v>239</v>
      </c>
      <c r="C38" s="98">
        <f t="shared" ref="C38:I38" si="50">C37+C35+C27+C21</f>
        <v>-507</v>
      </c>
      <c r="D38" s="98">
        <f t="shared" si="50"/>
        <v>2501</v>
      </c>
      <c r="E38" s="98">
        <f t="shared" si="50"/>
        <v>-1811</v>
      </c>
      <c r="F38" s="137">
        <f t="shared" si="50"/>
        <v>-1033</v>
      </c>
      <c r="G38" s="728">
        <f t="shared" si="50"/>
        <v>-631.00000000000045</v>
      </c>
      <c r="H38" s="728">
        <f t="shared" si="50"/>
        <v>0</v>
      </c>
      <c r="I38" s="728">
        <f t="shared" si="50"/>
        <v>0</v>
      </c>
      <c r="J38" s="88"/>
      <c r="K38" s="290">
        <f t="shared" ref="K38:AL38" si="51">K37+K35+K27+K21</f>
        <v>-393</v>
      </c>
      <c r="L38" s="98">
        <f t="shared" si="51"/>
        <v>179</v>
      </c>
      <c r="M38" s="98">
        <f t="shared" si="51"/>
        <v>-291</v>
      </c>
      <c r="N38" s="137">
        <f t="shared" si="51"/>
        <v>-2</v>
      </c>
      <c r="O38" s="98">
        <f t="shared" si="51"/>
        <v>-122</v>
      </c>
      <c r="P38" s="98">
        <f t="shared" si="51"/>
        <v>2454</v>
      </c>
      <c r="Q38" s="98">
        <f t="shared" si="51"/>
        <v>-433</v>
      </c>
      <c r="R38" s="137">
        <f t="shared" si="51"/>
        <v>602</v>
      </c>
      <c r="S38" s="98">
        <f t="shared" si="51"/>
        <v>-1716</v>
      </c>
      <c r="T38" s="98">
        <f t="shared" si="51"/>
        <v>-283</v>
      </c>
      <c r="U38" s="98">
        <f t="shared" si="51"/>
        <v>1216</v>
      </c>
      <c r="V38" s="137">
        <f t="shared" si="51"/>
        <v>-1028</v>
      </c>
      <c r="W38" s="98">
        <f t="shared" si="51"/>
        <v>-242</v>
      </c>
      <c r="X38" s="98">
        <f t="shared" si="51"/>
        <v>-290</v>
      </c>
      <c r="Y38" s="98">
        <f t="shared" si="51"/>
        <v>-428</v>
      </c>
      <c r="Z38" s="137">
        <f t="shared" si="51"/>
        <v>-73</v>
      </c>
      <c r="AA38" s="98">
        <f t="shared" si="51"/>
        <v>-631</v>
      </c>
      <c r="AB38" s="98">
        <f t="shared" si="51"/>
        <v>0</v>
      </c>
      <c r="AC38" s="98">
        <f t="shared" si="51"/>
        <v>0</v>
      </c>
      <c r="AD38" s="137">
        <f t="shared" si="51"/>
        <v>0</v>
      </c>
      <c r="AE38" s="98">
        <f t="shared" si="51"/>
        <v>0</v>
      </c>
      <c r="AF38" s="98">
        <f t="shared" si="51"/>
        <v>0</v>
      </c>
      <c r="AG38" s="98">
        <f t="shared" si="51"/>
        <v>0</v>
      </c>
      <c r="AH38" s="137">
        <f t="shared" si="51"/>
        <v>0</v>
      </c>
      <c r="AI38" s="98">
        <f t="shared" si="51"/>
        <v>0</v>
      </c>
      <c r="AJ38" s="98">
        <f t="shared" si="51"/>
        <v>0</v>
      </c>
      <c r="AK38" s="98">
        <f t="shared" si="51"/>
        <v>0</v>
      </c>
      <c r="AL38" s="137">
        <f t="shared" si="51"/>
        <v>0</v>
      </c>
      <c r="AM38" s="74"/>
      <c r="AN38" s="74"/>
      <c r="AO38" s="74"/>
      <c r="AP38" s="74"/>
      <c r="AQ38" s="74"/>
      <c r="AR38" s="74"/>
      <c r="AS38" s="99"/>
      <c r="AT38" s="99"/>
      <c r="AU38" s="99"/>
      <c r="AV38" s="99"/>
      <c r="AW38" s="99"/>
      <c r="AX38" s="114"/>
      <c r="AY38" s="114"/>
      <c r="AZ38" s="114"/>
      <c r="BA38" s="114"/>
      <c r="BB38" s="114"/>
    </row>
    <row r="39" spans="1:54" s="89" customFormat="1" ht="13.5" customHeight="1">
      <c r="A39" s="67"/>
      <c r="B39" s="366" t="s">
        <v>23</v>
      </c>
      <c r="C39" s="73">
        <v>2481</v>
      </c>
      <c r="D39" s="73">
        <f>C40</f>
        <v>1974</v>
      </c>
      <c r="E39" s="73">
        <f t="shared" ref="E39:I39" si="52">D40</f>
        <v>4475</v>
      </c>
      <c r="F39" s="279">
        <f t="shared" si="52"/>
        <v>2664</v>
      </c>
      <c r="G39" s="73">
        <f t="shared" si="52"/>
        <v>1631</v>
      </c>
      <c r="H39" s="73">
        <f t="shared" si="52"/>
        <v>999.99999999999955</v>
      </c>
      <c r="I39" s="73">
        <f t="shared" si="52"/>
        <v>999.99999999999955</v>
      </c>
      <c r="J39" s="88"/>
      <c r="K39" s="290">
        <v>2481</v>
      </c>
      <c r="L39" s="98">
        <f>K40</f>
        <v>2088</v>
      </c>
      <c r="M39" s="98">
        <f t="shared" ref="M39:AL39" si="53">L40</f>
        <v>2267</v>
      </c>
      <c r="N39" s="137">
        <f t="shared" si="53"/>
        <v>1976</v>
      </c>
      <c r="O39" s="98">
        <f t="shared" si="53"/>
        <v>1974</v>
      </c>
      <c r="P39" s="98">
        <f t="shared" si="53"/>
        <v>1852</v>
      </c>
      <c r="Q39" s="98">
        <f t="shared" si="53"/>
        <v>4306</v>
      </c>
      <c r="R39" s="137">
        <f t="shared" si="53"/>
        <v>3873</v>
      </c>
      <c r="S39" s="98">
        <f t="shared" si="53"/>
        <v>4475</v>
      </c>
      <c r="T39" s="98">
        <f t="shared" si="53"/>
        <v>2759</v>
      </c>
      <c r="U39" s="98">
        <f t="shared" si="53"/>
        <v>2476</v>
      </c>
      <c r="V39" s="137">
        <f t="shared" si="53"/>
        <v>3692</v>
      </c>
      <c r="W39" s="98">
        <f t="shared" si="53"/>
        <v>2664</v>
      </c>
      <c r="X39" s="98">
        <f t="shared" si="53"/>
        <v>2422</v>
      </c>
      <c r="Y39" s="98">
        <f t="shared" si="53"/>
        <v>2132</v>
      </c>
      <c r="Z39" s="137">
        <f t="shared" si="53"/>
        <v>1704</v>
      </c>
      <c r="AA39" s="98">
        <f t="shared" si="53"/>
        <v>1631</v>
      </c>
      <c r="AB39" s="98">
        <f t="shared" si="53"/>
        <v>1000</v>
      </c>
      <c r="AC39" s="98">
        <f t="shared" si="53"/>
        <v>1000</v>
      </c>
      <c r="AD39" s="137">
        <f t="shared" si="53"/>
        <v>1000</v>
      </c>
      <c r="AE39" s="98">
        <f t="shared" si="53"/>
        <v>1000</v>
      </c>
      <c r="AF39" s="98">
        <f t="shared" si="53"/>
        <v>1000</v>
      </c>
      <c r="AG39" s="98">
        <f t="shared" si="53"/>
        <v>1000</v>
      </c>
      <c r="AH39" s="137">
        <f t="shared" si="53"/>
        <v>1000</v>
      </c>
      <c r="AI39" s="98">
        <f t="shared" si="53"/>
        <v>1000</v>
      </c>
      <c r="AJ39" s="98">
        <f t="shared" si="53"/>
        <v>1000</v>
      </c>
      <c r="AK39" s="98">
        <f t="shared" si="53"/>
        <v>1000</v>
      </c>
      <c r="AL39" s="137">
        <f t="shared" si="53"/>
        <v>1000</v>
      </c>
      <c r="AM39" s="74"/>
      <c r="AN39" s="74"/>
      <c r="AO39" s="74"/>
      <c r="AP39" s="74"/>
      <c r="AQ39" s="74"/>
      <c r="AR39" s="74"/>
      <c r="AS39" s="99"/>
      <c r="AT39" s="99"/>
      <c r="AU39" s="99"/>
      <c r="AV39" s="99"/>
      <c r="AW39" s="99"/>
      <c r="AX39" s="114"/>
      <c r="AY39" s="114"/>
      <c r="AZ39" s="114"/>
      <c r="BA39" s="114"/>
      <c r="BB39" s="114"/>
    </row>
    <row r="40" spans="1:54" s="89" customFormat="1" ht="13.5" customHeight="1">
      <c r="A40" s="67"/>
      <c r="B40" s="365" t="s">
        <v>45</v>
      </c>
      <c r="C40" s="73">
        <f>C39+C38</f>
        <v>1974</v>
      </c>
      <c r="D40" s="73">
        <f t="shared" ref="D40:I40" si="54">D39+D38</f>
        <v>4475</v>
      </c>
      <c r="E40" s="73">
        <f t="shared" si="54"/>
        <v>2664</v>
      </c>
      <c r="F40" s="279">
        <f t="shared" si="54"/>
        <v>1631</v>
      </c>
      <c r="G40" s="73">
        <f t="shared" si="54"/>
        <v>999.99999999999955</v>
      </c>
      <c r="H40" s="73">
        <f t="shared" si="54"/>
        <v>999.99999999999955</v>
      </c>
      <c r="I40" s="73">
        <f t="shared" si="54"/>
        <v>999.99999999999955</v>
      </c>
      <c r="J40" s="88"/>
      <c r="K40" s="328">
        <f>SUM(K38:K39)</f>
        <v>2088</v>
      </c>
      <c r="L40" s="743">
        <f t="shared" ref="L40:AL40" si="55">SUM(L38:L39)</f>
        <v>2267</v>
      </c>
      <c r="M40" s="743">
        <f t="shared" si="55"/>
        <v>1976</v>
      </c>
      <c r="N40" s="744">
        <f t="shared" si="55"/>
        <v>1974</v>
      </c>
      <c r="O40" s="743">
        <f t="shared" si="55"/>
        <v>1852</v>
      </c>
      <c r="P40" s="743">
        <f t="shared" si="55"/>
        <v>4306</v>
      </c>
      <c r="Q40" s="743">
        <f t="shared" si="55"/>
        <v>3873</v>
      </c>
      <c r="R40" s="744">
        <f t="shared" si="55"/>
        <v>4475</v>
      </c>
      <c r="S40" s="743">
        <f t="shared" si="55"/>
        <v>2759</v>
      </c>
      <c r="T40" s="743">
        <f t="shared" si="55"/>
        <v>2476</v>
      </c>
      <c r="U40" s="743">
        <f t="shared" si="55"/>
        <v>3692</v>
      </c>
      <c r="V40" s="744">
        <f t="shared" si="55"/>
        <v>2664</v>
      </c>
      <c r="W40" s="743">
        <f t="shared" si="55"/>
        <v>2422</v>
      </c>
      <c r="X40" s="743">
        <f t="shared" si="55"/>
        <v>2132</v>
      </c>
      <c r="Y40" s="743">
        <f t="shared" si="55"/>
        <v>1704</v>
      </c>
      <c r="Z40" s="744">
        <f t="shared" si="55"/>
        <v>1631</v>
      </c>
      <c r="AA40" s="743">
        <f t="shared" si="55"/>
        <v>1000</v>
      </c>
      <c r="AB40" s="743">
        <f t="shared" si="55"/>
        <v>1000</v>
      </c>
      <c r="AC40" s="743">
        <f t="shared" si="55"/>
        <v>1000</v>
      </c>
      <c r="AD40" s="744">
        <f t="shared" si="55"/>
        <v>1000</v>
      </c>
      <c r="AE40" s="743">
        <f t="shared" si="55"/>
        <v>1000</v>
      </c>
      <c r="AF40" s="743">
        <f t="shared" si="55"/>
        <v>1000</v>
      </c>
      <c r="AG40" s="743">
        <f t="shared" si="55"/>
        <v>1000</v>
      </c>
      <c r="AH40" s="744">
        <f t="shared" si="55"/>
        <v>1000</v>
      </c>
      <c r="AI40" s="743">
        <f t="shared" si="55"/>
        <v>1000</v>
      </c>
      <c r="AJ40" s="743">
        <f t="shared" si="55"/>
        <v>1000</v>
      </c>
      <c r="AK40" s="743">
        <f t="shared" si="55"/>
        <v>1000</v>
      </c>
      <c r="AL40" s="744">
        <f t="shared" si="55"/>
        <v>1000</v>
      </c>
      <c r="AM40" s="74"/>
      <c r="AN40" s="74"/>
      <c r="AO40" s="74"/>
      <c r="AP40" s="74"/>
      <c r="AQ40" s="74"/>
      <c r="AR40" s="74"/>
      <c r="AS40" s="99"/>
      <c r="AT40" s="99"/>
      <c r="AU40" s="99"/>
      <c r="AV40" s="99"/>
      <c r="AW40" s="99"/>
      <c r="AX40" s="114"/>
      <c r="AY40" s="114"/>
      <c r="AZ40" s="114"/>
      <c r="BA40" s="114"/>
      <c r="BB40" s="114"/>
    </row>
    <row r="41" spans="1:54" s="89" customFormat="1" ht="13.5" customHeight="1">
      <c r="A41" s="67"/>
      <c r="B41" s="366"/>
      <c r="C41" s="740"/>
      <c r="D41" s="740"/>
      <c r="E41" s="740"/>
      <c r="F41" s="741"/>
      <c r="G41" s="414">
        <f>Z41</f>
        <v>0</v>
      </c>
      <c r="H41" s="73"/>
      <c r="I41" s="73"/>
      <c r="J41" s="88"/>
      <c r="K41" s="290"/>
      <c r="L41" s="98"/>
      <c r="M41" s="98"/>
      <c r="N41" s="137"/>
      <c r="O41" s="98"/>
      <c r="P41" s="98"/>
      <c r="Q41" s="98"/>
      <c r="R41" s="137"/>
      <c r="S41" s="98"/>
      <c r="T41" s="98"/>
      <c r="U41" s="98"/>
      <c r="V41" s="137"/>
      <c r="W41" s="98"/>
      <c r="X41" s="98"/>
      <c r="Y41" s="98"/>
      <c r="Z41" s="137"/>
      <c r="AA41" s="98"/>
      <c r="AB41" s="98"/>
      <c r="AC41" s="74"/>
      <c r="AD41" s="134"/>
      <c r="AE41" s="74"/>
      <c r="AF41" s="74"/>
      <c r="AG41" s="74"/>
      <c r="AH41" s="134"/>
      <c r="AI41" s="74"/>
      <c r="AJ41" s="74"/>
      <c r="AK41" s="74"/>
      <c r="AL41" s="134"/>
      <c r="AM41" s="74"/>
      <c r="AN41" s="74"/>
      <c r="AO41" s="74"/>
      <c r="AP41" s="74"/>
      <c r="AQ41" s="74"/>
      <c r="AR41" s="74"/>
      <c r="AS41" s="99"/>
      <c r="AT41" s="99"/>
      <c r="AU41" s="99"/>
      <c r="AV41" s="99"/>
      <c r="AW41" s="99"/>
      <c r="AX41" s="114"/>
      <c r="AY41" s="114"/>
      <c r="AZ41" s="114"/>
      <c r="BA41" s="114"/>
      <c r="BB41" s="114"/>
    </row>
    <row r="42" spans="1:54" s="89" customFormat="1" ht="13.5" customHeight="1">
      <c r="A42" s="67"/>
      <c r="B42" s="366" t="s">
        <v>84</v>
      </c>
      <c r="C42" s="73">
        <f t="shared" ref="C42:I42" si="56">C21</f>
        <v>4520</v>
      </c>
      <c r="D42" s="73">
        <f t="shared" si="56"/>
        <v>3923</v>
      </c>
      <c r="E42" s="73">
        <f t="shared" si="56"/>
        <v>6410</v>
      </c>
      <c r="F42" s="279">
        <f t="shared" si="56"/>
        <v>3562</v>
      </c>
      <c r="G42" s="73">
        <f t="shared" si="56"/>
        <v>3878.5282236735297</v>
      </c>
      <c r="H42" s="73">
        <f t="shared" si="56"/>
        <v>3705.3802519088335</v>
      </c>
      <c r="I42" s="73">
        <f t="shared" si="56"/>
        <v>3792.9241841551711</v>
      </c>
      <c r="J42" s="88"/>
      <c r="K42" s="325">
        <f t="shared" ref="K42:AL42" si="57">K21</f>
        <v>-986</v>
      </c>
      <c r="L42" s="732">
        <f t="shared" si="57"/>
        <v>1282</v>
      </c>
      <c r="M42" s="732">
        <f t="shared" si="57"/>
        <v>1369</v>
      </c>
      <c r="N42" s="739">
        <f t="shared" si="57"/>
        <v>2855</v>
      </c>
      <c r="O42" s="732">
        <f t="shared" si="57"/>
        <v>-851</v>
      </c>
      <c r="P42" s="732">
        <f t="shared" si="57"/>
        <v>2059</v>
      </c>
      <c r="Q42" s="732">
        <f t="shared" si="57"/>
        <v>967</v>
      </c>
      <c r="R42" s="739">
        <f t="shared" si="57"/>
        <v>1748</v>
      </c>
      <c r="S42" s="732">
        <f t="shared" si="57"/>
        <v>-385</v>
      </c>
      <c r="T42" s="732">
        <f t="shared" si="57"/>
        <v>803</v>
      </c>
      <c r="U42" s="732">
        <f t="shared" si="57"/>
        <v>780</v>
      </c>
      <c r="V42" s="739">
        <f t="shared" si="57"/>
        <v>5212</v>
      </c>
      <c r="W42" s="732">
        <f t="shared" si="57"/>
        <v>-577</v>
      </c>
      <c r="X42" s="732">
        <f t="shared" si="57"/>
        <v>945</v>
      </c>
      <c r="Y42" s="732">
        <f t="shared" si="57"/>
        <v>781</v>
      </c>
      <c r="Z42" s="739">
        <f t="shared" si="57"/>
        <v>2413</v>
      </c>
      <c r="AA42" s="732">
        <f t="shared" si="57"/>
        <v>-93.525848088334669</v>
      </c>
      <c r="AB42" s="732">
        <f t="shared" si="57"/>
        <v>1220.2201635839174</v>
      </c>
      <c r="AC42" s="732">
        <f t="shared" si="57"/>
        <v>608.95490341624441</v>
      </c>
      <c r="AD42" s="739">
        <f t="shared" si="57"/>
        <v>2142.8790047617026</v>
      </c>
      <c r="AE42" s="732">
        <f t="shared" si="57"/>
        <v>-364.38439907207635</v>
      </c>
      <c r="AF42" s="732">
        <f t="shared" si="57"/>
        <v>1200.7715941444189</v>
      </c>
      <c r="AG42" s="732">
        <f t="shared" si="57"/>
        <v>636.21268041315773</v>
      </c>
      <c r="AH42" s="739">
        <f t="shared" si="57"/>
        <v>2232.7803764233331</v>
      </c>
      <c r="AI42" s="732">
        <f t="shared" si="57"/>
        <v>-474.80298641958575</v>
      </c>
      <c r="AJ42" s="732">
        <f t="shared" si="57"/>
        <v>1269.0637101323209</v>
      </c>
      <c r="AK42" s="732">
        <f t="shared" si="57"/>
        <v>674.60547265613411</v>
      </c>
      <c r="AL42" s="739">
        <f t="shared" si="57"/>
        <v>2324.057987786302</v>
      </c>
      <c r="AM42" s="74"/>
      <c r="AN42" s="74"/>
      <c r="AO42" s="74"/>
      <c r="AP42" s="74"/>
      <c r="AQ42" s="74"/>
      <c r="AR42" s="74"/>
      <c r="AS42" s="99"/>
      <c r="AT42" s="99"/>
      <c r="AU42" s="99"/>
      <c r="AV42" s="99"/>
      <c r="AW42" s="99"/>
      <c r="AX42" s="114"/>
      <c r="AY42" s="114"/>
      <c r="AZ42" s="114"/>
      <c r="BA42" s="114"/>
      <c r="BB42" s="114"/>
    </row>
    <row r="43" spans="1:54" s="89" customFormat="1" ht="13.5" customHeight="1">
      <c r="A43" s="67"/>
      <c r="B43" s="370" t="s">
        <v>299</v>
      </c>
      <c r="C43" s="73">
        <f t="shared" ref="C43:F43" si="58">C23</f>
        <v>-1771</v>
      </c>
      <c r="D43" s="73">
        <f t="shared" si="58"/>
        <v>-1610</v>
      </c>
      <c r="E43" s="73">
        <f t="shared" si="58"/>
        <v>-1622</v>
      </c>
      <c r="F43" s="279">
        <f t="shared" si="58"/>
        <v>-1642</v>
      </c>
      <c r="G43" s="73">
        <f>G23-G26</f>
        <v>-2839.0578999999998</v>
      </c>
      <c r="H43" s="73">
        <f t="shared" ref="H43:I43" si="59">H23-H26</f>
        <v>-2042.4744599999999</v>
      </c>
      <c r="I43" s="73">
        <f t="shared" si="59"/>
        <v>-2344.5216115599997</v>
      </c>
      <c r="J43" s="88"/>
      <c r="K43" s="290">
        <f t="shared" ref="K43:AL43" si="60">K23</f>
        <v>-237</v>
      </c>
      <c r="L43" s="98">
        <f t="shared" si="60"/>
        <v>-418</v>
      </c>
      <c r="M43" s="98">
        <f t="shared" si="60"/>
        <v>-626</v>
      </c>
      <c r="N43" s="137">
        <f t="shared" si="60"/>
        <v>-490</v>
      </c>
      <c r="O43" s="98">
        <f t="shared" si="60"/>
        <v>-335</v>
      </c>
      <c r="P43" s="98">
        <f t="shared" si="60"/>
        <v>-405</v>
      </c>
      <c r="Q43" s="98">
        <f t="shared" si="60"/>
        <v>-489</v>
      </c>
      <c r="R43" s="137">
        <f t="shared" si="60"/>
        <v>-381</v>
      </c>
      <c r="S43" s="98">
        <f t="shared" si="60"/>
        <v>-235</v>
      </c>
      <c r="T43" s="98">
        <f t="shared" si="60"/>
        <v>-333</v>
      </c>
      <c r="U43" s="98">
        <f t="shared" si="60"/>
        <v>-460</v>
      </c>
      <c r="V43" s="137">
        <f t="shared" si="60"/>
        <v>-594</v>
      </c>
      <c r="W43" s="98">
        <f t="shared" si="60"/>
        <v>-326</v>
      </c>
      <c r="X43" s="98">
        <f t="shared" si="60"/>
        <v>-398</v>
      </c>
      <c r="Y43" s="98">
        <f t="shared" si="60"/>
        <v>-405</v>
      </c>
      <c r="Z43" s="137">
        <f t="shared" si="60"/>
        <v>-513</v>
      </c>
      <c r="AA43" s="98">
        <f t="shared" si="60"/>
        <v>-453.22949999999997</v>
      </c>
      <c r="AB43" s="98">
        <f t="shared" si="60"/>
        <v>-450.23399999999998</v>
      </c>
      <c r="AC43" s="98">
        <f t="shared" si="60"/>
        <v>-446.49689999999998</v>
      </c>
      <c r="AD43" s="137">
        <f t="shared" si="60"/>
        <v>-489.09749999999997</v>
      </c>
      <c r="AE43" s="98">
        <f t="shared" si="60"/>
        <v>-455.49079499999999</v>
      </c>
      <c r="AF43" s="98">
        <f t="shared" si="60"/>
        <v>-384.22910250000001</v>
      </c>
      <c r="AG43" s="98">
        <f t="shared" si="60"/>
        <v>-382.72593124999997</v>
      </c>
      <c r="AH43" s="137">
        <f t="shared" si="60"/>
        <v>-420.02863125000005</v>
      </c>
      <c r="AI43" s="98">
        <f t="shared" si="60"/>
        <v>-472.32469502999993</v>
      </c>
      <c r="AJ43" s="98">
        <f t="shared" si="60"/>
        <v>-476.60863124999997</v>
      </c>
      <c r="AK43" s="98">
        <f t="shared" si="60"/>
        <v>-474.90557168999993</v>
      </c>
      <c r="AL43" s="137">
        <f t="shared" si="60"/>
        <v>-520.68271359000005</v>
      </c>
      <c r="AM43" s="74"/>
      <c r="AN43" s="74"/>
      <c r="AO43" s="74"/>
      <c r="AP43" s="74"/>
      <c r="AQ43" s="74"/>
      <c r="AR43" s="74"/>
      <c r="AS43" s="99"/>
      <c r="AT43" s="99"/>
      <c r="AU43" s="99"/>
      <c r="AV43" s="99"/>
      <c r="AW43" s="99"/>
      <c r="AX43" s="114"/>
      <c r="AY43" s="114"/>
      <c r="AZ43" s="114"/>
      <c r="BA43" s="114"/>
      <c r="BB43" s="114"/>
    </row>
    <row r="44" spans="1:54" s="115" customFormat="1" ht="13.5" customHeight="1">
      <c r="A44" s="113"/>
      <c r="B44" s="371" t="s">
        <v>47</v>
      </c>
      <c r="C44" s="369">
        <f>C42+C43</f>
        <v>2749</v>
      </c>
      <c r="D44" s="369">
        <f t="shared" ref="D44:I44" si="61">D42+D43</f>
        <v>2313</v>
      </c>
      <c r="E44" s="369">
        <f t="shared" si="61"/>
        <v>4788</v>
      </c>
      <c r="F44" s="734">
        <f t="shared" si="61"/>
        <v>1920</v>
      </c>
      <c r="G44" s="369">
        <f t="shared" si="61"/>
        <v>1039.4703236735299</v>
      </c>
      <c r="H44" s="369">
        <f t="shared" si="61"/>
        <v>1662.9057919088336</v>
      </c>
      <c r="I44" s="369">
        <f t="shared" si="61"/>
        <v>1448.4025725951715</v>
      </c>
      <c r="J44" s="368"/>
      <c r="K44" s="323">
        <f>K42+K43</f>
        <v>-1223</v>
      </c>
      <c r="L44" s="737">
        <f t="shared" ref="L44:AL44" si="62">L42+L43</f>
        <v>864</v>
      </c>
      <c r="M44" s="737">
        <f t="shared" si="62"/>
        <v>743</v>
      </c>
      <c r="N44" s="738">
        <f t="shared" si="62"/>
        <v>2365</v>
      </c>
      <c r="O44" s="737">
        <f t="shared" si="62"/>
        <v>-1186</v>
      </c>
      <c r="P44" s="737">
        <f t="shared" si="62"/>
        <v>1654</v>
      </c>
      <c r="Q44" s="737">
        <f t="shared" si="62"/>
        <v>478</v>
      </c>
      <c r="R44" s="738">
        <f t="shared" si="62"/>
        <v>1367</v>
      </c>
      <c r="S44" s="737">
        <f t="shared" si="62"/>
        <v>-620</v>
      </c>
      <c r="T44" s="737">
        <f t="shared" si="62"/>
        <v>470</v>
      </c>
      <c r="U44" s="737">
        <f t="shared" si="62"/>
        <v>320</v>
      </c>
      <c r="V44" s="738">
        <f t="shared" si="62"/>
        <v>4618</v>
      </c>
      <c r="W44" s="737">
        <f t="shared" si="62"/>
        <v>-903</v>
      </c>
      <c r="X44" s="737">
        <f t="shared" si="62"/>
        <v>547</v>
      </c>
      <c r="Y44" s="737">
        <f t="shared" si="62"/>
        <v>376</v>
      </c>
      <c r="Z44" s="738">
        <f t="shared" si="62"/>
        <v>1900</v>
      </c>
      <c r="AA44" s="737">
        <f t="shared" si="62"/>
        <v>-546.75534808833459</v>
      </c>
      <c r="AB44" s="737">
        <f t="shared" si="62"/>
        <v>769.98616358391746</v>
      </c>
      <c r="AC44" s="737">
        <f t="shared" si="62"/>
        <v>162.45800341624442</v>
      </c>
      <c r="AD44" s="738">
        <f t="shared" si="62"/>
        <v>1653.7815047617028</v>
      </c>
      <c r="AE44" s="737">
        <f t="shared" si="62"/>
        <v>-819.87519407207628</v>
      </c>
      <c r="AF44" s="737">
        <f t="shared" si="62"/>
        <v>816.54249164441899</v>
      </c>
      <c r="AG44" s="737">
        <f t="shared" si="62"/>
        <v>253.48674916315775</v>
      </c>
      <c r="AH44" s="738">
        <f t="shared" si="62"/>
        <v>1812.7517451733331</v>
      </c>
      <c r="AI44" s="737">
        <f t="shared" si="62"/>
        <v>-947.12768144958568</v>
      </c>
      <c r="AJ44" s="737">
        <f t="shared" si="62"/>
        <v>792.455078882321</v>
      </c>
      <c r="AK44" s="737">
        <f t="shared" si="62"/>
        <v>199.69990096613418</v>
      </c>
      <c r="AL44" s="738">
        <f t="shared" si="62"/>
        <v>1803.3752741963019</v>
      </c>
      <c r="AM44" s="637"/>
      <c r="AN44" s="637"/>
      <c r="AO44" s="637"/>
      <c r="AP44" s="637"/>
      <c r="AQ44" s="637"/>
      <c r="AR44" s="637"/>
      <c r="AS44" s="638"/>
      <c r="AT44" s="638"/>
      <c r="AU44" s="638"/>
      <c r="AV44" s="638"/>
      <c r="AW44" s="638"/>
    </row>
    <row r="45" spans="1:54" s="1" customFormat="1" ht="13.5" customHeight="1">
      <c r="A45" s="11"/>
      <c r="B45" s="372"/>
      <c r="C45" s="2"/>
      <c r="D45" s="2"/>
      <c r="E45" s="2"/>
      <c r="F45" s="2"/>
      <c r="G45" s="3"/>
      <c r="H45" s="2"/>
      <c r="I45" s="2"/>
      <c r="J45" s="2"/>
      <c r="K45" s="101"/>
      <c r="L45" s="101"/>
      <c r="M45" s="101"/>
      <c r="N45" s="101"/>
      <c r="O45" s="101"/>
      <c r="P45" s="101"/>
      <c r="Q45" s="101"/>
      <c r="R45" s="101"/>
      <c r="S45" s="101"/>
      <c r="T45" s="101"/>
      <c r="U45" s="101"/>
      <c r="V45" s="101"/>
      <c r="W45" s="101"/>
      <c r="X45" s="101"/>
      <c r="Y45" s="101"/>
      <c r="Z45" s="101"/>
      <c r="AA45" s="101"/>
      <c r="AB45" s="101"/>
      <c r="AC45" s="101"/>
      <c r="AD45" s="101"/>
      <c r="AE45" s="101"/>
      <c r="AF45" s="101"/>
      <c r="AG45" s="101"/>
      <c r="AH45" s="101"/>
      <c r="AI45" s="101"/>
      <c r="AJ45" s="101"/>
      <c r="AK45" s="101"/>
      <c r="AL45" s="101"/>
      <c r="AM45" s="101"/>
      <c r="AN45" s="101"/>
      <c r="AO45" s="101"/>
      <c r="AP45" s="101"/>
      <c r="AQ45" s="101"/>
      <c r="AR45" s="101"/>
      <c r="AS45" s="102"/>
      <c r="AT45" s="102"/>
      <c r="AU45" s="102"/>
      <c r="AV45" s="102"/>
      <c r="AW45" s="102"/>
      <c r="AX45" s="14"/>
      <c r="AY45" s="14"/>
      <c r="AZ45" s="14"/>
      <c r="BA45" s="14"/>
      <c r="BB45" s="14"/>
    </row>
    <row r="46" spans="1:54" ht="13.5" customHeight="1">
      <c r="B46" s="381" t="s">
        <v>181</v>
      </c>
      <c r="C46" s="382">
        <f>C40-BS!C8</f>
        <v>0</v>
      </c>
      <c r="D46" s="382">
        <f>D40-BS!D8</f>
        <v>0</v>
      </c>
      <c r="E46" s="382">
        <f>E40-BS!E8</f>
        <v>0</v>
      </c>
      <c r="F46" s="382">
        <f>F40-BS!F8</f>
        <v>0</v>
      </c>
      <c r="G46" s="382">
        <f>G40-BS!G8</f>
        <v>0</v>
      </c>
      <c r="H46" s="382">
        <f>H40-BS!H8</f>
        <v>0</v>
      </c>
      <c r="I46" s="382">
        <f>I40-BS!I8</f>
        <v>0</v>
      </c>
      <c r="J46" s="49"/>
      <c r="K46" s="755">
        <f>K40-BS!K8</f>
        <v>0</v>
      </c>
      <c r="L46" s="756">
        <f>L40-BS!L8</f>
        <v>0</v>
      </c>
      <c r="M46" s="756">
        <f>M40-BS!M8</f>
        <v>0</v>
      </c>
      <c r="N46" s="756">
        <f>N40-BS!N8</f>
        <v>0</v>
      </c>
      <c r="O46" s="756">
        <f>O40-BS!O8</f>
        <v>0</v>
      </c>
      <c r="P46" s="756">
        <f>P40-BS!P8</f>
        <v>0</v>
      </c>
      <c r="Q46" s="756">
        <f>Q40-BS!Q8</f>
        <v>0</v>
      </c>
      <c r="R46" s="756">
        <f>R40-BS!R8</f>
        <v>0</v>
      </c>
      <c r="S46" s="756">
        <f>S40-BS!S8</f>
        <v>0</v>
      </c>
      <c r="T46" s="756">
        <f>T40-BS!T8</f>
        <v>0</v>
      </c>
      <c r="U46" s="756">
        <f>U40-BS!U8</f>
        <v>0</v>
      </c>
      <c r="V46" s="756">
        <f>V40-BS!V8</f>
        <v>0</v>
      </c>
      <c r="W46" s="756">
        <f>W40-BS!W8</f>
        <v>0</v>
      </c>
      <c r="X46" s="756">
        <f>X40-BS!X8</f>
        <v>0</v>
      </c>
      <c r="Y46" s="756">
        <f>Y40-BS!Y8</f>
        <v>0</v>
      </c>
      <c r="Z46" s="756">
        <f>Z40-BS!Z8</f>
        <v>0</v>
      </c>
      <c r="AA46" s="756">
        <f>AA40-BS!AA8</f>
        <v>0</v>
      </c>
      <c r="AB46" s="756">
        <f>AB40-BS!AB8</f>
        <v>0</v>
      </c>
      <c r="AC46" s="756">
        <f>AC40-BS!AC8</f>
        <v>0</v>
      </c>
      <c r="AD46" s="756">
        <f>AD40-BS!AD8</f>
        <v>0</v>
      </c>
      <c r="AE46" s="756">
        <f>AE40-BS!AE8</f>
        <v>0</v>
      </c>
      <c r="AF46" s="756">
        <f>AF40-BS!AF8</f>
        <v>0</v>
      </c>
      <c r="AG46" s="756">
        <f>AG40-BS!AG8</f>
        <v>0</v>
      </c>
      <c r="AH46" s="756">
        <f>AH40-BS!AH8</f>
        <v>0</v>
      </c>
      <c r="AI46" s="756">
        <f>AI40-BS!AI8</f>
        <v>0</v>
      </c>
      <c r="AJ46" s="756">
        <f>AJ40-BS!AJ8</f>
        <v>0</v>
      </c>
      <c r="AK46" s="756">
        <f>AK40-BS!AK8</f>
        <v>0</v>
      </c>
      <c r="AL46" s="757">
        <f>AL40-BS!AL8</f>
        <v>0</v>
      </c>
      <c r="AM46" s="101"/>
      <c r="AN46" s="101"/>
      <c r="AO46" s="102"/>
      <c r="AP46" s="102"/>
      <c r="AQ46" s="102"/>
      <c r="AR46" s="102"/>
      <c r="AS46" s="102"/>
      <c r="AT46" s="102"/>
      <c r="AU46" s="102"/>
      <c r="AV46" s="102"/>
      <c r="AW46" s="102"/>
    </row>
    <row r="47" spans="1:54" ht="13.5" customHeight="1">
      <c r="B47" s="2"/>
      <c r="C47" s="2"/>
      <c r="D47" s="2"/>
      <c r="E47" s="2"/>
      <c r="F47" s="2"/>
      <c r="G47" s="3"/>
      <c r="H47" s="2"/>
      <c r="I47" s="2"/>
      <c r="J47" s="2"/>
      <c r="K47" s="102"/>
      <c r="L47" s="102"/>
      <c r="M47" s="102"/>
      <c r="N47" s="102"/>
      <c r="O47" s="102"/>
      <c r="P47" s="102"/>
      <c r="Q47" s="102"/>
      <c r="R47" s="102"/>
      <c r="S47" s="102"/>
      <c r="T47" s="102"/>
      <c r="U47" s="102"/>
      <c r="V47" s="102"/>
      <c r="W47" s="102"/>
      <c r="X47" s="102"/>
      <c r="Y47" s="102"/>
      <c r="Z47" s="102"/>
      <c r="AA47" s="102"/>
      <c r="AB47" s="102"/>
      <c r="AC47" s="102"/>
      <c r="AD47" s="102"/>
      <c r="AE47" s="102"/>
      <c r="AF47" s="102"/>
      <c r="AG47" s="102"/>
      <c r="AH47" s="102"/>
      <c r="AI47" s="102"/>
      <c r="AJ47" s="102"/>
      <c r="AK47" s="102"/>
      <c r="AL47" s="102"/>
      <c r="AM47" s="102"/>
      <c r="AN47" s="102"/>
      <c r="AO47" s="102"/>
      <c r="AP47" s="102"/>
      <c r="AQ47" s="102"/>
      <c r="AR47" s="102"/>
      <c r="AS47" s="102"/>
      <c r="AT47" s="102"/>
      <c r="AU47" s="102"/>
      <c r="AV47" s="102"/>
      <c r="AW47" s="102"/>
    </row>
    <row r="48" spans="1:54" ht="13.5" customHeight="1">
      <c r="B48" s="2"/>
      <c r="C48" s="2"/>
      <c r="D48" s="2"/>
      <c r="E48" s="2"/>
      <c r="F48" s="2"/>
      <c r="G48" s="3"/>
      <c r="H48" s="2"/>
      <c r="I48" s="2"/>
      <c r="J48" s="2"/>
      <c r="K48" s="102"/>
      <c r="L48" s="102"/>
      <c r="M48" s="102"/>
      <c r="N48" s="102"/>
      <c r="O48" s="102"/>
      <c r="P48" s="102"/>
      <c r="Q48" s="102"/>
      <c r="R48" s="102"/>
      <c r="S48" s="102"/>
      <c r="T48" s="102"/>
      <c r="U48" s="102"/>
      <c r="V48" s="102"/>
      <c r="W48" s="102"/>
      <c r="X48" s="102"/>
      <c r="Y48" s="102"/>
      <c r="Z48" s="102"/>
      <c r="AA48" s="102"/>
      <c r="AB48" s="102"/>
      <c r="AC48" s="102"/>
      <c r="AD48" s="102"/>
      <c r="AE48" s="102"/>
      <c r="AF48" s="102"/>
      <c r="AG48" s="102"/>
      <c r="AH48" s="102"/>
      <c r="AI48" s="102"/>
      <c r="AJ48" s="102"/>
      <c r="AK48" s="102"/>
      <c r="AL48" s="102"/>
      <c r="AM48" s="102"/>
      <c r="AN48" s="102"/>
      <c r="AO48" s="102"/>
      <c r="AP48" s="102"/>
      <c r="AQ48" s="102"/>
      <c r="AR48" s="102"/>
      <c r="AS48" s="102"/>
      <c r="AT48" s="102"/>
      <c r="AU48" s="102"/>
      <c r="AV48" s="102"/>
      <c r="AW48" s="102"/>
    </row>
    <row r="49" spans="2:49" ht="13.5" customHeight="1">
      <c r="B49" s="2"/>
      <c r="C49" s="2"/>
      <c r="D49" s="2"/>
      <c r="E49" s="2"/>
      <c r="F49" s="2"/>
      <c r="G49" s="3"/>
      <c r="H49" s="2"/>
      <c r="I49" s="2"/>
      <c r="J49" s="2"/>
      <c r="K49" s="102"/>
      <c r="L49" s="102"/>
      <c r="M49" s="102"/>
      <c r="N49" s="102"/>
      <c r="O49" s="102"/>
      <c r="P49" s="102"/>
      <c r="Q49" s="102"/>
      <c r="R49" s="102"/>
      <c r="S49" s="102"/>
      <c r="T49" s="102"/>
      <c r="U49" s="102"/>
      <c r="V49" s="102"/>
      <c r="W49" s="102"/>
      <c r="X49" s="102"/>
      <c r="Y49" s="102"/>
      <c r="Z49" s="102"/>
      <c r="AA49" s="102"/>
      <c r="AB49" s="102"/>
      <c r="AC49" s="102"/>
      <c r="AD49" s="102"/>
      <c r="AE49" s="102"/>
      <c r="AF49" s="102"/>
      <c r="AG49" s="102"/>
      <c r="AH49" s="102"/>
      <c r="AI49" s="102"/>
      <c r="AJ49" s="102"/>
      <c r="AK49" s="102"/>
      <c r="AL49" s="102"/>
      <c r="AM49" s="102"/>
      <c r="AN49" s="102"/>
      <c r="AO49" s="102"/>
      <c r="AP49" s="102"/>
      <c r="AQ49" s="102"/>
      <c r="AR49" s="102"/>
      <c r="AS49" s="102"/>
      <c r="AT49" s="102"/>
      <c r="AU49" s="102"/>
      <c r="AV49" s="102"/>
      <c r="AW49" s="102"/>
    </row>
    <row r="50" spans="2:49" ht="13.5" customHeight="1">
      <c r="B50" s="2"/>
      <c r="C50" s="2"/>
      <c r="D50" s="2"/>
      <c r="E50" s="2"/>
      <c r="F50" s="2"/>
      <c r="G50" s="3"/>
      <c r="H50" s="2"/>
      <c r="I50" s="2"/>
      <c r="J50" s="2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</row>
    <row r="51" spans="2:49" ht="13.5" customHeight="1">
      <c r="B51" s="2"/>
      <c r="C51" s="2"/>
      <c r="D51" s="2"/>
      <c r="E51" s="2"/>
      <c r="F51" s="2"/>
      <c r="G51" s="3"/>
      <c r="H51" s="2"/>
      <c r="I51" s="2"/>
      <c r="J51" s="2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</row>
    <row r="52" spans="2:49" ht="13.5" customHeight="1">
      <c r="B52" s="2"/>
      <c r="C52" s="2"/>
      <c r="D52" s="2"/>
      <c r="E52" s="2"/>
      <c r="F52" s="2"/>
      <c r="G52" s="3"/>
      <c r="H52" s="2"/>
      <c r="I52" s="2"/>
      <c r="J52" s="2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</row>
    <row r="53" spans="2:49" ht="13.5" customHeight="1">
      <c r="B53" s="2"/>
      <c r="C53" s="2"/>
      <c r="D53" s="2"/>
      <c r="E53" s="2"/>
      <c r="F53" s="2"/>
      <c r="G53" s="2"/>
      <c r="H53" s="2"/>
      <c r="I53" s="2"/>
      <c r="J53" s="2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</row>
    <row r="54" spans="2:49" ht="13.5" customHeight="1">
      <c r="B54" s="2"/>
      <c r="C54" s="2"/>
      <c r="D54" s="2"/>
      <c r="E54" s="2"/>
      <c r="F54" s="2"/>
      <c r="G54" s="2"/>
      <c r="H54" s="2"/>
      <c r="I54" s="2"/>
      <c r="J54" s="2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</row>
    <row r="55" spans="2:49" ht="13.5" customHeight="1">
      <c r="B55" s="2"/>
      <c r="C55" s="2"/>
      <c r="D55" s="2"/>
      <c r="E55" s="2"/>
      <c r="F55" s="2"/>
      <c r="G55" s="2"/>
      <c r="H55" s="2"/>
      <c r="I55" s="2"/>
      <c r="J55" s="2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</row>
    <row r="56" spans="2:49" ht="13.5" customHeight="1">
      <c r="B56" s="2"/>
      <c r="C56" s="2"/>
      <c r="D56" s="2"/>
      <c r="E56" s="2"/>
      <c r="F56" s="2"/>
      <c r="G56" s="2"/>
      <c r="H56" s="2"/>
      <c r="I56" s="2"/>
      <c r="J56" s="2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</row>
    <row r="57" spans="2:49" ht="13.5" customHeight="1">
      <c r="B57" s="2"/>
      <c r="C57" s="2"/>
      <c r="D57" s="2"/>
      <c r="E57" s="2"/>
      <c r="F57" s="2"/>
      <c r="G57" s="2"/>
      <c r="H57" s="2"/>
      <c r="I57" s="2"/>
      <c r="J57" s="2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</row>
    <row r="58" spans="2:49" ht="13.5" customHeight="1">
      <c r="D58" s="2"/>
    </row>
  </sheetData>
  <pageMargins left="0.7" right="0.7" top="0.75" bottom="0.75" header="0.3" footer="0.3"/>
  <pageSetup scale="93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0"/>
  <dimension ref="A1:BB53"/>
  <sheetViews>
    <sheetView showGridLines="0" view="pageBreakPreview" zoomScaleNormal="100" zoomScaleSheetLayoutView="100" workbookViewId="0">
      <pane xSplit="2" ySplit="6" topLeftCell="C7" activePane="bottomRight" state="frozen"/>
      <selection activeCell="J1" sqref="J1:AP1048576"/>
      <selection pane="topRight" activeCell="J1" sqref="J1:AP1048576"/>
      <selection pane="bottomLeft" activeCell="J1" sqref="J1:AP1048576"/>
      <selection pane="bottomRight"/>
    </sheetView>
  </sheetViews>
  <sheetFormatPr defaultColWidth="9.83203125" defaultRowHeight="13.5" customHeight="1"/>
  <cols>
    <col min="1" max="1" width="5.83203125" style="8" customWidth="1"/>
    <col min="2" max="2" width="41.5" style="2" customWidth="1"/>
    <col min="3" max="9" width="11.83203125" style="2" customWidth="1"/>
    <col min="11" max="38" width="9.83203125" style="8" customWidth="1"/>
    <col min="39" max="54" width="9.83203125" style="8"/>
    <col min="55" max="16384" width="9.83203125" style="2"/>
  </cols>
  <sheetData>
    <row r="1" spans="2:44" ht="13.5" customHeight="1">
      <c r="K1" s="30">
        <v>40633</v>
      </c>
      <c r="L1" s="30">
        <f t="shared" ref="L1:AL1" si="0">EOMONTH(K1,3)</f>
        <v>40724</v>
      </c>
      <c r="M1" s="30">
        <f t="shared" si="0"/>
        <v>40816</v>
      </c>
      <c r="N1" s="30">
        <f t="shared" si="0"/>
        <v>40908</v>
      </c>
      <c r="O1" s="30">
        <f t="shared" si="0"/>
        <v>40999</v>
      </c>
      <c r="P1" s="30">
        <f t="shared" si="0"/>
        <v>41090</v>
      </c>
      <c r="Q1" s="30">
        <f t="shared" si="0"/>
        <v>41182</v>
      </c>
      <c r="R1" s="30">
        <f t="shared" si="0"/>
        <v>41274</v>
      </c>
      <c r="S1" s="30">
        <f t="shared" si="0"/>
        <v>41364</v>
      </c>
      <c r="T1" s="30">
        <f t="shared" si="0"/>
        <v>41455</v>
      </c>
      <c r="U1" s="30">
        <f t="shared" si="0"/>
        <v>41547</v>
      </c>
      <c r="V1" s="30">
        <f t="shared" si="0"/>
        <v>41639</v>
      </c>
      <c r="W1" s="30">
        <f t="shared" si="0"/>
        <v>41729</v>
      </c>
      <c r="X1" s="30">
        <f t="shared" si="0"/>
        <v>41820</v>
      </c>
      <c r="Y1" s="30">
        <f t="shared" si="0"/>
        <v>41912</v>
      </c>
      <c r="Z1" s="30">
        <f t="shared" si="0"/>
        <v>42004</v>
      </c>
      <c r="AA1" s="30">
        <f t="shared" si="0"/>
        <v>42094</v>
      </c>
      <c r="AB1" s="30">
        <f t="shared" si="0"/>
        <v>42185</v>
      </c>
      <c r="AC1" s="30">
        <f t="shared" si="0"/>
        <v>42277</v>
      </c>
      <c r="AD1" s="30">
        <f t="shared" si="0"/>
        <v>42369</v>
      </c>
      <c r="AE1" s="30">
        <f t="shared" si="0"/>
        <v>42460</v>
      </c>
      <c r="AF1" s="30">
        <f t="shared" si="0"/>
        <v>42551</v>
      </c>
      <c r="AG1" s="30">
        <f t="shared" si="0"/>
        <v>42643</v>
      </c>
      <c r="AH1" s="30">
        <f t="shared" si="0"/>
        <v>42735</v>
      </c>
      <c r="AI1" s="30">
        <f t="shared" si="0"/>
        <v>42825</v>
      </c>
      <c r="AJ1" s="30">
        <f t="shared" si="0"/>
        <v>42916</v>
      </c>
      <c r="AK1" s="30">
        <f t="shared" si="0"/>
        <v>43008</v>
      </c>
      <c r="AL1" s="30">
        <f t="shared" si="0"/>
        <v>43100</v>
      </c>
    </row>
    <row r="2" spans="2:44" ht="13.5" customHeight="1">
      <c r="B2" s="344" t="str">
        <f>CF!B2</f>
        <v>Mondelez International, Inc. (MDLZ)</v>
      </c>
      <c r="J2" s="2"/>
    </row>
    <row r="3" spans="2:44" ht="13.5" customHeight="1">
      <c r="B3" s="13" t="s">
        <v>16</v>
      </c>
      <c r="J3" s="2"/>
    </row>
    <row r="4" spans="2:44" ht="13.5" customHeight="1">
      <c r="B4" s="13" t="s">
        <v>8</v>
      </c>
      <c r="C4" s="8"/>
      <c r="D4" s="8"/>
      <c r="E4" s="8"/>
      <c r="F4" s="8"/>
      <c r="G4" s="8"/>
      <c r="H4" s="8"/>
      <c r="I4" s="8"/>
      <c r="J4" s="8"/>
    </row>
    <row r="5" spans="2:44" ht="13.5" customHeight="1">
      <c r="B5" s="8"/>
      <c r="C5" s="5" t="s">
        <v>11</v>
      </c>
      <c r="D5" s="4"/>
      <c r="E5" s="4"/>
      <c r="F5" s="318"/>
      <c r="G5" s="4"/>
      <c r="H5" s="4"/>
      <c r="I5" s="4"/>
      <c r="J5" s="8"/>
      <c r="K5" s="29">
        <v>2011</v>
      </c>
      <c r="L5" s="27"/>
      <c r="M5" s="27"/>
      <c r="N5" s="28"/>
      <c r="O5" s="29">
        <f>K5+1</f>
        <v>2012</v>
      </c>
      <c r="P5" s="27"/>
      <c r="Q5" s="27"/>
      <c r="R5" s="28"/>
      <c r="S5" s="29">
        <f>O5+1</f>
        <v>2013</v>
      </c>
      <c r="T5" s="27"/>
      <c r="U5" s="27"/>
      <c r="V5" s="28"/>
      <c r="W5" s="29">
        <f>S5+1</f>
        <v>2014</v>
      </c>
      <c r="X5" s="27"/>
      <c r="Y5" s="27"/>
      <c r="Z5" s="28"/>
      <c r="AA5" s="29">
        <f>W5+1</f>
        <v>2015</v>
      </c>
      <c r="AB5" s="27"/>
      <c r="AC5" s="27"/>
      <c r="AD5" s="28"/>
      <c r="AE5" s="29">
        <f>AA5+1</f>
        <v>2016</v>
      </c>
      <c r="AF5" s="27"/>
      <c r="AG5" s="27"/>
      <c r="AH5" s="28"/>
      <c r="AI5" s="29">
        <f>AE5+1</f>
        <v>2017</v>
      </c>
      <c r="AJ5" s="27"/>
      <c r="AK5" s="27"/>
      <c r="AL5" s="28"/>
    </row>
    <row r="6" spans="2:44" ht="13.5" customHeight="1">
      <c r="B6" s="65"/>
      <c r="C6" s="17">
        <v>2011</v>
      </c>
      <c r="D6" s="17">
        <f t="shared" ref="D6:I6" si="1">+C6+1</f>
        <v>2012</v>
      </c>
      <c r="E6" s="17">
        <f t="shared" si="1"/>
        <v>2013</v>
      </c>
      <c r="F6" s="17">
        <f t="shared" si="1"/>
        <v>2014</v>
      </c>
      <c r="G6" s="15">
        <f t="shared" si="1"/>
        <v>2015</v>
      </c>
      <c r="H6" s="12">
        <f t="shared" si="1"/>
        <v>2016</v>
      </c>
      <c r="I6" s="12">
        <f t="shared" si="1"/>
        <v>2017</v>
      </c>
      <c r="J6" s="8"/>
      <c r="K6" s="39">
        <v>1</v>
      </c>
      <c r="L6" s="39">
        <f>K6+1</f>
        <v>2</v>
      </c>
      <c r="M6" s="39">
        <f>L6+1</f>
        <v>3</v>
      </c>
      <c r="N6" s="39">
        <f>M6+1</f>
        <v>4</v>
      </c>
      <c r="O6" s="39">
        <v>1</v>
      </c>
      <c r="P6" s="39">
        <f>O6+1</f>
        <v>2</v>
      </c>
      <c r="Q6" s="39">
        <f>P6+1</f>
        <v>3</v>
      </c>
      <c r="R6" s="39">
        <f>Q6+1</f>
        <v>4</v>
      </c>
      <c r="S6" s="39">
        <v>1</v>
      </c>
      <c r="T6" s="39">
        <f>S6+1</f>
        <v>2</v>
      </c>
      <c r="U6" s="39">
        <f>T6+1</f>
        <v>3</v>
      </c>
      <c r="V6" s="39">
        <f>U6+1</f>
        <v>4</v>
      </c>
      <c r="W6" s="39">
        <v>1</v>
      </c>
      <c r="X6" s="39">
        <f>W6+1</f>
        <v>2</v>
      </c>
      <c r="Y6" s="39">
        <f>X6+1</f>
        <v>3</v>
      </c>
      <c r="Z6" s="39">
        <f>Y6+1</f>
        <v>4</v>
      </c>
      <c r="AA6" s="39">
        <v>1</v>
      </c>
      <c r="AB6" s="39">
        <f>AA6+1</f>
        <v>2</v>
      </c>
      <c r="AC6" s="39">
        <f>AB6+1</f>
        <v>3</v>
      </c>
      <c r="AD6" s="39">
        <f>AC6+1</f>
        <v>4</v>
      </c>
      <c r="AE6" s="39">
        <v>1</v>
      </c>
      <c r="AF6" s="39">
        <f>AE6+1</f>
        <v>2</v>
      </c>
      <c r="AG6" s="39">
        <f>AF6+1</f>
        <v>3</v>
      </c>
      <c r="AH6" s="39">
        <f>AG6+1</f>
        <v>4</v>
      </c>
      <c r="AI6" s="39">
        <v>1</v>
      </c>
      <c r="AJ6" s="39">
        <f>AI6+1</f>
        <v>2</v>
      </c>
      <c r="AK6" s="39">
        <f>AJ6+1</f>
        <v>3</v>
      </c>
      <c r="AL6" s="39">
        <f>AK6+1</f>
        <v>4</v>
      </c>
    </row>
    <row r="7" spans="2:44" s="66" customFormat="1" ht="13.5" customHeight="1">
      <c r="B7" s="121" t="s">
        <v>6</v>
      </c>
      <c r="C7" s="523">
        <f>BS!C9</f>
        <v>6361</v>
      </c>
      <c r="D7" s="523">
        <f>BS!D9</f>
        <v>6129</v>
      </c>
      <c r="E7" s="523">
        <f>BS!E9</f>
        <v>5403</v>
      </c>
      <c r="F7" s="524">
        <f>BS!F9</f>
        <v>4708</v>
      </c>
      <c r="G7" s="525">
        <f>AD7</f>
        <v>4255.7288237699759</v>
      </c>
      <c r="H7" s="94">
        <f>AH7</f>
        <v>4339.0273666124012</v>
      </c>
      <c r="I7" s="94">
        <f>AL7</f>
        <v>4482.3463122531621</v>
      </c>
      <c r="K7" s="345">
        <f>BS!K9</f>
        <v>7131</v>
      </c>
      <c r="L7" s="346">
        <f>BS!L9</f>
        <v>6830</v>
      </c>
      <c r="M7" s="346">
        <f>BS!M9</f>
        <v>6835</v>
      </c>
      <c r="N7" s="347">
        <f>BS!N9</f>
        <v>6361</v>
      </c>
      <c r="O7" s="345">
        <f>BS!O9</f>
        <v>7314</v>
      </c>
      <c r="P7" s="346">
        <f>BS!P9</f>
        <v>5314</v>
      </c>
      <c r="Q7" s="346">
        <f>BS!Q9</f>
        <v>7110</v>
      </c>
      <c r="R7" s="347">
        <f>BS!R9</f>
        <v>6129</v>
      </c>
      <c r="S7" s="345">
        <f>BS!S9</f>
        <v>6265</v>
      </c>
      <c r="T7" s="346">
        <f>BS!T9</f>
        <v>5989</v>
      </c>
      <c r="U7" s="346">
        <f>BS!U9</f>
        <v>6245</v>
      </c>
      <c r="V7" s="347">
        <f>BS!V9</f>
        <v>5403</v>
      </c>
      <c r="W7" s="345">
        <f>BS!W9</f>
        <v>5900</v>
      </c>
      <c r="X7" s="346">
        <f>BS!X9</f>
        <v>5248</v>
      </c>
      <c r="Y7" s="346">
        <f>BS!Y9</f>
        <v>5352</v>
      </c>
      <c r="Z7" s="347">
        <f>BS!Z9</f>
        <v>4708</v>
      </c>
      <c r="AA7" s="345">
        <f t="shared" ref="AA7:AL7" si="2">(AA8*AA21)/90</f>
        <v>5073.7549321387705</v>
      </c>
      <c r="AB7" s="346">
        <f t="shared" si="2"/>
        <v>4584.7678568041729</v>
      </c>
      <c r="AC7" s="346">
        <f t="shared" si="2"/>
        <v>4694.5162381152286</v>
      </c>
      <c r="AD7" s="347">
        <f t="shared" si="2"/>
        <v>4255.7288237699759</v>
      </c>
      <c r="AE7" s="345">
        <f t="shared" si="2"/>
        <v>5056.8943110495511</v>
      </c>
      <c r="AF7" s="346">
        <f t="shared" si="2"/>
        <v>4652.4696967958753</v>
      </c>
      <c r="AG7" s="346">
        <f t="shared" si="2"/>
        <v>4786.3006258913565</v>
      </c>
      <c r="AH7" s="347">
        <f t="shared" si="2"/>
        <v>4339.0273666124012</v>
      </c>
      <c r="AI7" s="345">
        <f t="shared" si="2"/>
        <v>5243.7855813648684</v>
      </c>
      <c r="AJ7" s="346">
        <f t="shared" si="2"/>
        <v>4809.2123503363564</v>
      </c>
      <c r="AK7" s="346">
        <f t="shared" si="2"/>
        <v>4949.2353174574273</v>
      </c>
      <c r="AL7" s="347">
        <f t="shared" si="2"/>
        <v>4482.3463122531621</v>
      </c>
      <c r="AM7" s="68"/>
      <c r="AN7" s="68"/>
      <c r="AO7" s="68"/>
      <c r="AP7" s="68"/>
      <c r="AQ7" s="68"/>
      <c r="AR7" s="68"/>
    </row>
    <row r="8" spans="2:44" s="47" customFormat="1" ht="13.5" customHeight="1">
      <c r="B8" s="117" t="s">
        <v>31</v>
      </c>
      <c r="C8" s="60">
        <f t="shared" ref="C8:I8" si="3">(C7/C21)*365</f>
        <v>64.835660430047469</v>
      </c>
      <c r="D8" s="60">
        <f t="shared" si="3"/>
        <v>63.889333142938739</v>
      </c>
      <c r="E8" s="60">
        <f t="shared" si="3"/>
        <v>55.868296552310262</v>
      </c>
      <c r="F8" s="341">
        <f t="shared" si="3"/>
        <v>50.181637659151967</v>
      </c>
      <c r="G8" s="60">
        <f t="shared" si="3"/>
        <v>50.678372464816086</v>
      </c>
      <c r="H8" s="60">
        <f t="shared" si="3"/>
        <v>50.548516133792148</v>
      </c>
      <c r="I8" s="60">
        <f t="shared" si="3"/>
        <v>50.482022752934235</v>
      </c>
      <c r="K8" s="331">
        <f t="shared" ref="K8:Z8" si="4">K7/(K21/90)</f>
        <v>78.362637362637358</v>
      </c>
      <c r="L8" s="348">
        <f t="shared" si="4"/>
        <v>67.085015824511615</v>
      </c>
      <c r="M8" s="348">
        <f t="shared" si="4"/>
        <v>70.078605604921393</v>
      </c>
      <c r="N8" s="349">
        <f t="shared" si="4"/>
        <v>59.147639218927573</v>
      </c>
      <c r="O8" s="331">
        <f t="shared" si="4"/>
        <v>75.950155763239877</v>
      </c>
      <c r="P8" s="348">
        <f t="shared" si="4"/>
        <v>56.087721355693681</v>
      </c>
      <c r="Q8" s="348">
        <f t="shared" si="4"/>
        <v>76.855632957002172</v>
      </c>
      <c r="R8" s="349">
        <f t="shared" si="4"/>
        <v>58.094786729857823</v>
      </c>
      <c r="S8" s="331">
        <f t="shared" si="4"/>
        <v>64.484217749313814</v>
      </c>
      <c r="T8" s="348">
        <f t="shared" si="4"/>
        <v>62.712041884816756</v>
      </c>
      <c r="U8" s="348">
        <f t="shared" si="4"/>
        <v>66.342067988668546</v>
      </c>
      <c r="V8" s="349">
        <f t="shared" si="4"/>
        <v>51.251053962900507</v>
      </c>
      <c r="W8" s="331">
        <f t="shared" si="4"/>
        <v>61.451220923504231</v>
      </c>
      <c r="X8" s="348">
        <f t="shared" si="4"/>
        <v>55.988620199146517</v>
      </c>
      <c r="Y8" s="348">
        <f t="shared" si="4"/>
        <v>57.77617848146815</v>
      </c>
      <c r="Z8" s="349">
        <f t="shared" si="4"/>
        <v>47.986409966024915</v>
      </c>
      <c r="AA8" s="331">
        <f>W8+AA9</f>
        <v>60.451220923504231</v>
      </c>
      <c r="AB8" s="348">
        <f t="shared" ref="AB8:AL8" si="5">X8+AB9</f>
        <v>54.988620199146517</v>
      </c>
      <c r="AC8" s="348">
        <f t="shared" si="5"/>
        <v>56.77617848146815</v>
      </c>
      <c r="AD8" s="349">
        <f t="shared" si="5"/>
        <v>46.986409966024915</v>
      </c>
      <c r="AE8" s="331">
        <f t="shared" si="5"/>
        <v>59.951220923504231</v>
      </c>
      <c r="AF8" s="348">
        <f t="shared" si="5"/>
        <v>54.488620199146517</v>
      </c>
      <c r="AG8" s="348">
        <f t="shared" si="5"/>
        <v>56.27617848146815</v>
      </c>
      <c r="AH8" s="349">
        <f t="shared" si="5"/>
        <v>46.486409966024915</v>
      </c>
      <c r="AI8" s="331">
        <f t="shared" si="5"/>
        <v>59.951220923504231</v>
      </c>
      <c r="AJ8" s="348">
        <f t="shared" si="5"/>
        <v>54.488620199146517</v>
      </c>
      <c r="AK8" s="348">
        <f t="shared" si="5"/>
        <v>56.27617848146815</v>
      </c>
      <c r="AL8" s="349">
        <f t="shared" si="5"/>
        <v>46.486409966024915</v>
      </c>
      <c r="AM8" s="350"/>
      <c r="AN8" s="350"/>
    </row>
    <row r="9" spans="2:44" s="88" customFormat="1" ht="13.5" customHeight="1">
      <c r="B9" s="512" t="s">
        <v>200</v>
      </c>
      <c r="C9" s="73"/>
      <c r="D9" s="73">
        <f t="shared" ref="D9:I9" si="6">D8-C8</f>
        <v>-0.94632728710872982</v>
      </c>
      <c r="E9" s="73">
        <f t="shared" si="6"/>
        <v>-8.0210365906284764</v>
      </c>
      <c r="F9" s="279">
        <f t="shared" si="6"/>
        <v>-5.6866588931582953</v>
      </c>
      <c r="G9" s="73">
        <f t="shared" si="6"/>
        <v>0.49673480566411854</v>
      </c>
      <c r="H9" s="73">
        <f t="shared" si="6"/>
        <v>-0.12985633102393734</v>
      </c>
      <c r="I9" s="73">
        <f t="shared" si="6"/>
        <v>-6.6493380857913564E-2</v>
      </c>
      <c r="K9" s="532"/>
      <c r="L9" s="533"/>
      <c r="M9" s="533"/>
      <c r="N9" s="534"/>
      <c r="O9" s="532">
        <f>O8-K8</f>
        <v>-2.4124815993974806</v>
      </c>
      <c r="P9" s="533">
        <f t="shared" ref="P9:Z9" si="7">P8-L8</f>
        <v>-10.997294468817934</v>
      </c>
      <c r="Q9" s="533">
        <f t="shared" si="7"/>
        <v>6.7770273520807791</v>
      </c>
      <c r="R9" s="534">
        <f t="shared" si="7"/>
        <v>-1.0528524890697497</v>
      </c>
      <c r="S9" s="532">
        <f t="shared" si="7"/>
        <v>-11.465938013926063</v>
      </c>
      <c r="T9" s="533">
        <f t="shared" si="7"/>
        <v>6.6243205291230751</v>
      </c>
      <c r="U9" s="533">
        <f t="shared" si="7"/>
        <v>-10.513564968333625</v>
      </c>
      <c r="V9" s="534">
        <f t="shared" si="7"/>
        <v>-6.8437327669573165</v>
      </c>
      <c r="W9" s="532">
        <f t="shared" si="7"/>
        <v>-3.0329968258095832</v>
      </c>
      <c r="X9" s="533">
        <f t="shared" si="7"/>
        <v>-6.7234216856702389</v>
      </c>
      <c r="Y9" s="533">
        <f t="shared" si="7"/>
        <v>-8.5658895072003958</v>
      </c>
      <c r="Z9" s="534">
        <f t="shared" si="7"/>
        <v>-3.2646439968755914</v>
      </c>
      <c r="AA9" s="535">
        <v>-1</v>
      </c>
      <c r="AB9" s="536">
        <v>-1</v>
      </c>
      <c r="AC9" s="536">
        <v>-1</v>
      </c>
      <c r="AD9" s="537">
        <v>-1</v>
      </c>
      <c r="AE9" s="535">
        <v>-0.5</v>
      </c>
      <c r="AF9" s="536">
        <v>-0.5</v>
      </c>
      <c r="AG9" s="536">
        <v>-0.5</v>
      </c>
      <c r="AH9" s="537">
        <v>-0.5</v>
      </c>
      <c r="AI9" s="535">
        <v>0</v>
      </c>
      <c r="AJ9" s="536">
        <v>0</v>
      </c>
      <c r="AK9" s="536">
        <v>0</v>
      </c>
      <c r="AL9" s="537">
        <v>0</v>
      </c>
      <c r="AM9" s="522"/>
      <c r="AN9" s="522"/>
    </row>
    <row r="10" spans="2:44" s="511" customFormat="1" ht="13.5" customHeight="1">
      <c r="B10" s="512"/>
      <c r="C10" s="513"/>
      <c r="D10" s="513"/>
      <c r="E10" s="513"/>
      <c r="F10" s="514"/>
      <c r="G10" s="513"/>
      <c r="H10" s="513"/>
      <c r="I10" s="513"/>
      <c r="K10" s="515"/>
      <c r="L10" s="516"/>
      <c r="M10" s="516"/>
      <c r="N10" s="517"/>
      <c r="O10" s="515"/>
      <c r="P10" s="516"/>
      <c r="Q10" s="516"/>
      <c r="R10" s="517"/>
      <c r="S10" s="515"/>
      <c r="T10" s="516"/>
      <c r="U10" s="516"/>
      <c r="V10" s="517"/>
      <c r="W10" s="515"/>
      <c r="X10" s="516"/>
      <c r="Y10" s="516"/>
      <c r="Z10" s="517"/>
      <c r="AA10" s="520"/>
      <c r="AB10" s="518"/>
      <c r="AC10" s="518"/>
      <c r="AD10" s="521"/>
      <c r="AE10" s="520"/>
      <c r="AF10" s="518"/>
      <c r="AG10" s="518"/>
      <c r="AH10" s="521"/>
      <c r="AI10" s="520"/>
      <c r="AJ10" s="518"/>
      <c r="AK10" s="518"/>
      <c r="AL10" s="521"/>
      <c r="AM10" s="519"/>
      <c r="AN10" s="519"/>
    </row>
    <row r="11" spans="2:44" s="66" customFormat="1" ht="13.5" customHeight="1">
      <c r="B11" s="121" t="s">
        <v>13</v>
      </c>
      <c r="C11" s="346">
        <f>BS!C10</f>
        <v>5706</v>
      </c>
      <c r="D11" s="346">
        <f>BS!D10</f>
        <v>3741</v>
      </c>
      <c r="E11" s="346">
        <f>BS!E10</f>
        <v>3743</v>
      </c>
      <c r="F11" s="347">
        <f>BS!F10</f>
        <v>3480</v>
      </c>
      <c r="G11" s="525">
        <f>AD11</f>
        <v>3038.1346672335599</v>
      </c>
      <c r="H11" s="94">
        <f>AH11</f>
        <v>3076.9668842927294</v>
      </c>
      <c r="I11" s="94">
        <f>AL11</f>
        <v>3152.7574445159576</v>
      </c>
      <c r="K11" s="529">
        <f>BS!K10</f>
        <v>6116</v>
      </c>
      <c r="L11" s="530">
        <f>BS!L10</f>
        <v>6414</v>
      </c>
      <c r="M11" s="530">
        <f>BS!M10</f>
        <v>6399</v>
      </c>
      <c r="N11" s="531">
        <f>BS!N10</f>
        <v>5706</v>
      </c>
      <c r="O11" s="529">
        <f>BS!O10</f>
        <v>6286</v>
      </c>
      <c r="P11" s="530">
        <f>BS!P10</f>
        <v>4117</v>
      </c>
      <c r="Q11" s="530">
        <f>BS!Q10</f>
        <v>6429</v>
      </c>
      <c r="R11" s="531">
        <f>BS!R10</f>
        <v>3741</v>
      </c>
      <c r="S11" s="529">
        <f>BS!S10</f>
        <v>3849</v>
      </c>
      <c r="T11" s="530">
        <f>BS!T10</f>
        <v>3937</v>
      </c>
      <c r="U11" s="530">
        <f>BS!U10</f>
        <v>4161</v>
      </c>
      <c r="V11" s="531">
        <f>BS!V10</f>
        <v>3743</v>
      </c>
      <c r="W11" s="529">
        <f>BS!W10</f>
        <v>4027</v>
      </c>
      <c r="X11" s="530">
        <f>BS!X10</f>
        <v>4088</v>
      </c>
      <c r="Y11" s="530">
        <f>BS!Y10</f>
        <v>4122</v>
      </c>
      <c r="Z11" s="531">
        <f>BS!Z10</f>
        <v>3480</v>
      </c>
      <c r="AA11" s="529">
        <f t="shared" ref="AA11:AL11" si="8">(AA12*-AA22)/90</f>
        <v>3466.374033338494</v>
      </c>
      <c r="AB11" s="530">
        <f t="shared" si="8"/>
        <v>3515.9457058338021</v>
      </c>
      <c r="AC11" s="530">
        <f t="shared" si="8"/>
        <v>3609.5803839600044</v>
      </c>
      <c r="AD11" s="531">
        <f t="shared" si="8"/>
        <v>3038.1346672335599</v>
      </c>
      <c r="AE11" s="529">
        <f t="shared" si="8"/>
        <v>3429.6594240973704</v>
      </c>
      <c r="AF11" s="530">
        <f t="shared" si="8"/>
        <v>3545.3113351591373</v>
      </c>
      <c r="AG11" s="530">
        <f t="shared" si="8"/>
        <v>3656.7547259481771</v>
      </c>
      <c r="AH11" s="531">
        <f t="shared" si="8"/>
        <v>3076.9668842927294</v>
      </c>
      <c r="AI11" s="529">
        <f t="shared" si="8"/>
        <v>3533.6142959090848</v>
      </c>
      <c r="AJ11" s="530">
        <f t="shared" si="8"/>
        <v>3634.9588528565528</v>
      </c>
      <c r="AK11" s="530">
        <f t="shared" si="8"/>
        <v>3750.4957781370531</v>
      </c>
      <c r="AL11" s="531">
        <f t="shared" si="8"/>
        <v>3152.7574445159576</v>
      </c>
    </row>
    <row r="12" spans="2:44" s="47" customFormat="1" ht="13.5" customHeight="1">
      <c r="B12" s="117" t="s">
        <v>28</v>
      </c>
      <c r="C12" s="60">
        <f t="shared" ref="C12:I12" si="9">-(C11/C22)*365</f>
        <v>92.966856377636418</v>
      </c>
      <c r="D12" s="60">
        <f t="shared" si="9"/>
        <v>62.239163134144668</v>
      </c>
      <c r="E12" s="60">
        <f t="shared" si="9"/>
        <v>61.570823380954529</v>
      </c>
      <c r="F12" s="341">
        <f t="shared" si="9"/>
        <v>58.677876842056641</v>
      </c>
      <c r="G12" s="60">
        <f t="shared" si="9"/>
        <v>58.145103609393772</v>
      </c>
      <c r="H12" s="60">
        <f t="shared" si="9"/>
        <v>58.079987502926414</v>
      </c>
      <c r="I12" s="60">
        <f t="shared" si="9"/>
        <v>57.97839003568081</v>
      </c>
      <c r="K12" s="331">
        <f t="shared" ref="K12:Z12" si="10">-K11/K22*90</f>
        <v>107.23031218039254</v>
      </c>
      <c r="L12" s="348">
        <f t="shared" si="10"/>
        <v>102.16539091190654</v>
      </c>
      <c r="M12" s="348">
        <f t="shared" si="10"/>
        <v>105.45870719648417</v>
      </c>
      <c r="N12" s="349">
        <f t="shared" si="10"/>
        <v>83.393959077622597</v>
      </c>
      <c r="O12" s="331">
        <f t="shared" si="10"/>
        <v>103.38815789473685</v>
      </c>
      <c r="P12" s="348">
        <f t="shared" si="10"/>
        <v>69.70090293453724</v>
      </c>
      <c r="Q12" s="348">
        <f t="shared" si="10"/>
        <v>111.14291202458701</v>
      </c>
      <c r="R12" s="349">
        <f t="shared" si="10"/>
        <v>56.634146341463413</v>
      </c>
      <c r="S12" s="331">
        <f t="shared" si="10"/>
        <v>62.960741548527807</v>
      </c>
      <c r="T12" s="348">
        <f t="shared" si="10"/>
        <v>66.057046979865774</v>
      </c>
      <c r="U12" s="348">
        <f t="shared" si="10"/>
        <v>70.287162162162161</v>
      </c>
      <c r="V12" s="349">
        <f t="shared" si="10"/>
        <v>56.191826522101756</v>
      </c>
      <c r="W12" s="331">
        <f t="shared" si="10"/>
        <v>66.659922751517385</v>
      </c>
      <c r="X12" s="348">
        <f t="shared" si="10"/>
        <v>69.015194147439502</v>
      </c>
      <c r="Y12" s="348">
        <f t="shared" si="10"/>
        <v>71.410972088546686</v>
      </c>
      <c r="Z12" s="349">
        <f t="shared" si="10"/>
        <v>55.102040816326529</v>
      </c>
      <c r="AA12" s="331">
        <f>W12+AA13</f>
        <v>65.659922751517385</v>
      </c>
      <c r="AB12" s="348">
        <f t="shared" ref="AB12:AL12" si="11">X12+AB13</f>
        <v>68.015194147439502</v>
      </c>
      <c r="AC12" s="348">
        <f t="shared" si="11"/>
        <v>70.410972088546686</v>
      </c>
      <c r="AD12" s="349">
        <f t="shared" si="11"/>
        <v>54.102040816326529</v>
      </c>
      <c r="AE12" s="331">
        <f t="shared" si="11"/>
        <v>65.159922751517385</v>
      </c>
      <c r="AF12" s="348">
        <f t="shared" si="11"/>
        <v>67.515194147439502</v>
      </c>
      <c r="AG12" s="348">
        <f t="shared" si="11"/>
        <v>69.910972088546686</v>
      </c>
      <c r="AH12" s="349">
        <f t="shared" si="11"/>
        <v>53.602040816326529</v>
      </c>
      <c r="AI12" s="331">
        <f t="shared" si="11"/>
        <v>65.159922751517385</v>
      </c>
      <c r="AJ12" s="348">
        <f t="shared" si="11"/>
        <v>67.515194147439502</v>
      </c>
      <c r="AK12" s="348">
        <f t="shared" si="11"/>
        <v>69.910972088546686</v>
      </c>
      <c r="AL12" s="349">
        <f t="shared" si="11"/>
        <v>53.602040816326529</v>
      </c>
    </row>
    <row r="13" spans="2:44" s="88" customFormat="1" ht="13.5" customHeight="1">
      <c r="B13" s="512" t="s">
        <v>200</v>
      </c>
      <c r="C13" s="73"/>
      <c r="D13" s="73">
        <f t="shared" ref="D13:I13" si="12">D12-C12</f>
        <v>-30.72769324349175</v>
      </c>
      <c r="E13" s="73">
        <f t="shared" si="12"/>
        <v>-0.66833975319013916</v>
      </c>
      <c r="F13" s="279">
        <f t="shared" si="12"/>
        <v>-2.8929465388978883</v>
      </c>
      <c r="G13" s="73">
        <f t="shared" si="12"/>
        <v>-0.53277323266286913</v>
      </c>
      <c r="H13" s="73">
        <f t="shared" si="12"/>
        <v>-6.5116106467357326E-2</v>
      </c>
      <c r="I13" s="73">
        <f t="shared" si="12"/>
        <v>-0.10159746724560392</v>
      </c>
      <c r="K13" s="532"/>
      <c r="L13" s="533"/>
      <c r="M13" s="533"/>
      <c r="N13" s="534"/>
      <c r="O13" s="532">
        <f>O12-K12</f>
        <v>-3.8421542856556954</v>
      </c>
      <c r="P13" s="533">
        <f t="shared" ref="P13" si="13">P12-L12</f>
        <v>-32.464487977369302</v>
      </c>
      <c r="Q13" s="533">
        <f t="shared" ref="Q13" si="14">Q12-M12</f>
        <v>5.6842048281028354</v>
      </c>
      <c r="R13" s="534">
        <f t="shared" ref="R13" si="15">R12-N12</f>
        <v>-26.759812736159184</v>
      </c>
      <c r="S13" s="532">
        <f t="shared" ref="S13" si="16">S12-O12</f>
        <v>-40.427416346209043</v>
      </c>
      <c r="T13" s="533">
        <f t="shared" ref="T13" si="17">T12-P12</f>
        <v>-3.6438559546714657</v>
      </c>
      <c r="U13" s="533">
        <f t="shared" ref="U13" si="18">U12-Q12</f>
        <v>-40.855749862424844</v>
      </c>
      <c r="V13" s="534">
        <f t="shared" ref="V13" si="19">V12-R12</f>
        <v>-0.4423198193616571</v>
      </c>
      <c r="W13" s="532">
        <f t="shared" ref="W13" si="20">W12-S12</f>
        <v>3.6991812029895783</v>
      </c>
      <c r="X13" s="533">
        <f t="shared" ref="X13" si="21">X12-T12</f>
        <v>2.9581471675737276</v>
      </c>
      <c r="Y13" s="533">
        <f t="shared" ref="Y13" si="22">Y12-U12</f>
        <v>1.1238099263845243</v>
      </c>
      <c r="Z13" s="534">
        <f t="shared" ref="Z13" si="23">Z12-V12</f>
        <v>-1.0897857057752276</v>
      </c>
      <c r="AA13" s="535">
        <v>-1</v>
      </c>
      <c r="AB13" s="536">
        <v>-1</v>
      </c>
      <c r="AC13" s="536">
        <v>-1</v>
      </c>
      <c r="AD13" s="537">
        <v>-1</v>
      </c>
      <c r="AE13" s="535">
        <v>-0.5</v>
      </c>
      <c r="AF13" s="536">
        <v>-0.5</v>
      </c>
      <c r="AG13" s="536">
        <v>-0.5</v>
      </c>
      <c r="AH13" s="537">
        <v>-0.5</v>
      </c>
      <c r="AI13" s="535">
        <v>0</v>
      </c>
      <c r="AJ13" s="536">
        <v>0</v>
      </c>
      <c r="AK13" s="536">
        <v>0</v>
      </c>
      <c r="AL13" s="537">
        <v>0</v>
      </c>
      <c r="AM13" s="522"/>
      <c r="AN13" s="522"/>
    </row>
    <row r="14" spans="2:44" s="511" customFormat="1" ht="13.5" customHeight="1">
      <c r="B14" s="512"/>
      <c r="C14" s="513"/>
      <c r="D14" s="513"/>
      <c r="E14" s="513"/>
      <c r="F14" s="514"/>
      <c r="G14" s="513"/>
      <c r="H14" s="513"/>
      <c r="I14" s="513"/>
      <c r="K14" s="539"/>
      <c r="L14" s="540"/>
      <c r="M14" s="540"/>
      <c r="N14" s="541"/>
      <c r="O14" s="539"/>
      <c r="P14" s="540"/>
      <c r="Q14" s="540"/>
      <c r="R14" s="541"/>
      <c r="S14" s="539"/>
      <c r="T14" s="540"/>
      <c r="U14" s="540"/>
      <c r="V14" s="541"/>
      <c r="W14" s="539"/>
      <c r="X14" s="540"/>
      <c r="Y14" s="540"/>
      <c r="Z14" s="541"/>
      <c r="AA14" s="542"/>
      <c r="AB14" s="543"/>
      <c r="AC14" s="543"/>
      <c r="AD14" s="544"/>
      <c r="AE14" s="542"/>
      <c r="AF14" s="543"/>
      <c r="AG14" s="543"/>
      <c r="AH14" s="544"/>
      <c r="AI14" s="542"/>
      <c r="AJ14" s="543"/>
      <c r="AK14" s="543"/>
      <c r="AL14" s="544"/>
      <c r="AM14" s="519"/>
      <c r="AN14" s="519"/>
    </row>
    <row r="15" spans="2:44" s="66" customFormat="1" ht="13.5" customHeight="1">
      <c r="B15" s="121" t="s">
        <v>3</v>
      </c>
      <c r="C15" s="346">
        <f>BS!C25</f>
        <v>5525</v>
      </c>
      <c r="D15" s="346">
        <f>BS!D25</f>
        <v>4642</v>
      </c>
      <c r="E15" s="346">
        <f>BS!E25</f>
        <v>5345</v>
      </c>
      <c r="F15" s="347">
        <f>BS!F25</f>
        <v>5299</v>
      </c>
      <c r="G15" s="525">
        <f>AD15</f>
        <v>4767.8350446770655</v>
      </c>
      <c r="H15" s="94">
        <f>AH15</f>
        <v>4902.5203871794947</v>
      </c>
      <c r="I15" s="94">
        <f>AL15</f>
        <v>5023.2772170780845</v>
      </c>
      <c r="K15" s="345">
        <f>BS!K25</f>
        <v>5535</v>
      </c>
      <c r="L15" s="346">
        <f>BS!L25</f>
        <v>5308</v>
      </c>
      <c r="M15" s="346">
        <f>BS!M25</f>
        <v>5293</v>
      </c>
      <c r="N15" s="347">
        <f>BS!N25</f>
        <v>5525</v>
      </c>
      <c r="O15" s="345">
        <f>BS!O25</f>
        <v>5545</v>
      </c>
      <c r="P15" s="346">
        <f>BS!P25</f>
        <v>3528</v>
      </c>
      <c r="Q15" s="346">
        <f>BS!Q25</f>
        <v>3884.7368421052629</v>
      </c>
      <c r="R15" s="347">
        <f>BS!R25</f>
        <v>4642</v>
      </c>
      <c r="S15" s="345">
        <f>BS!S25</f>
        <v>4378</v>
      </c>
      <c r="T15" s="346">
        <f>BS!T25</f>
        <v>4316</v>
      </c>
      <c r="U15" s="346">
        <f>BS!U25</f>
        <v>4533</v>
      </c>
      <c r="V15" s="347">
        <f>BS!V25</f>
        <v>5345</v>
      </c>
      <c r="W15" s="345">
        <f>BS!W25</f>
        <v>5372</v>
      </c>
      <c r="X15" s="346">
        <f>BS!X25</f>
        <v>5303</v>
      </c>
      <c r="Y15" s="346">
        <f>BS!Y25</f>
        <v>5184</v>
      </c>
      <c r="Z15" s="347">
        <f>BS!Z25</f>
        <v>5299</v>
      </c>
      <c r="AA15" s="346">
        <f>-(AA22*AA16)/90</f>
        <v>4747.3457273889298</v>
      </c>
      <c r="AB15" s="346">
        <f t="shared" ref="AB15:AL15" si="24">-(AB22*AB16)/90</f>
        <v>4679.6756481335578</v>
      </c>
      <c r="AC15" s="346">
        <f t="shared" si="24"/>
        <v>4655.2964009870602</v>
      </c>
      <c r="AD15" s="347">
        <f t="shared" si="24"/>
        <v>4767.8350446770655</v>
      </c>
      <c r="AE15" s="345">
        <f t="shared" si="24"/>
        <v>4759.4233448803752</v>
      </c>
      <c r="AF15" s="346">
        <f t="shared" si="24"/>
        <v>4779.9624726448856</v>
      </c>
      <c r="AG15" s="346">
        <f t="shared" si="24"/>
        <v>4776.0199515135646</v>
      </c>
      <c r="AH15" s="347">
        <f t="shared" si="24"/>
        <v>4902.5203871794947</v>
      </c>
      <c r="AI15" s="345">
        <f t="shared" si="24"/>
        <v>4903.6840957404802</v>
      </c>
      <c r="AJ15" s="346">
        <f t="shared" si="24"/>
        <v>4900.8296489940622</v>
      </c>
      <c r="AK15" s="346">
        <f t="shared" si="24"/>
        <v>4898.4534120771123</v>
      </c>
      <c r="AL15" s="347">
        <f t="shared" si="24"/>
        <v>5023.2772170780845</v>
      </c>
    </row>
    <row r="16" spans="2:44" s="47" customFormat="1" ht="13.5" customHeight="1">
      <c r="B16" s="118" t="s">
        <v>32</v>
      </c>
      <c r="C16" s="60">
        <f t="shared" ref="C16:I16" si="25">-(C15/C22)*365</f>
        <v>90.01785515009486</v>
      </c>
      <c r="D16" s="60">
        <f t="shared" si="25"/>
        <v>77.229135329778018</v>
      </c>
      <c r="E16" s="60">
        <f t="shared" si="25"/>
        <v>87.923069989634499</v>
      </c>
      <c r="F16" s="341">
        <f t="shared" si="25"/>
        <v>89.348870513235084</v>
      </c>
      <c r="G16" s="60">
        <f t="shared" si="25"/>
        <v>91.248839511673452</v>
      </c>
      <c r="H16" s="60">
        <f t="shared" si="25"/>
        <v>92.538637407427572</v>
      </c>
      <c r="I16" s="60">
        <f t="shared" si="25"/>
        <v>92.376762524405578</v>
      </c>
      <c r="K16" s="331">
        <f t="shared" ref="K16:Z16" si="26">-K15/(K22/90)</f>
        <v>97.043783178298355</v>
      </c>
      <c r="L16" s="348">
        <f t="shared" si="26"/>
        <v>84.548471306579344</v>
      </c>
      <c r="M16" s="348">
        <f t="shared" si="26"/>
        <v>87.231276323017767</v>
      </c>
      <c r="N16" s="349">
        <f t="shared" si="26"/>
        <v>80.748619681714842</v>
      </c>
      <c r="O16" s="331">
        <f t="shared" si="26"/>
        <v>91.20065789473685</v>
      </c>
      <c r="P16" s="348">
        <f t="shared" si="26"/>
        <v>59.729119638826184</v>
      </c>
      <c r="Q16" s="348">
        <f t="shared" si="26"/>
        <v>67.158339567705283</v>
      </c>
      <c r="R16" s="349">
        <f t="shared" si="26"/>
        <v>70.274179983179138</v>
      </c>
      <c r="S16" s="331">
        <f t="shared" si="26"/>
        <v>71.613958560523443</v>
      </c>
      <c r="T16" s="348">
        <f t="shared" si="26"/>
        <v>72.416107382550337</v>
      </c>
      <c r="U16" s="348">
        <f t="shared" si="26"/>
        <v>76.570945945945937</v>
      </c>
      <c r="V16" s="349">
        <f t="shared" si="26"/>
        <v>80.241868223519589</v>
      </c>
      <c r="W16" s="331">
        <f t="shared" si="26"/>
        <v>88.924038992091226</v>
      </c>
      <c r="X16" s="348">
        <f t="shared" si="26"/>
        <v>89.527293190770962</v>
      </c>
      <c r="Y16" s="348">
        <f t="shared" si="26"/>
        <v>89.809432146294512</v>
      </c>
      <c r="Z16" s="349">
        <f t="shared" si="26"/>
        <v>83.903940886699502</v>
      </c>
      <c r="AA16" s="331">
        <f>W16+AA17</f>
        <v>89.924038992091226</v>
      </c>
      <c r="AB16" s="348">
        <f t="shared" ref="AB16:AL16" si="27">X16+AB17</f>
        <v>90.527293190770962</v>
      </c>
      <c r="AC16" s="348">
        <f t="shared" si="27"/>
        <v>90.809432146294512</v>
      </c>
      <c r="AD16" s="349">
        <f t="shared" si="27"/>
        <v>84.903940886699502</v>
      </c>
      <c r="AE16" s="331">
        <f t="shared" si="27"/>
        <v>90.424038992091226</v>
      </c>
      <c r="AF16" s="348">
        <f t="shared" si="27"/>
        <v>91.027293190770962</v>
      </c>
      <c r="AG16" s="348">
        <f t="shared" si="27"/>
        <v>91.309432146294512</v>
      </c>
      <c r="AH16" s="349">
        <f t="shared" si="27"/>
        <v>85.403940886699502</v>
      </c>
      <c r="AI16" s="331">
        <f t="shared" si="27"/>
        <v>90.424038992091226</v>
      </c>
      <c r="AJ16" s="348">
        <f t="shared" si="27"/>
        <v>91.027293190770962</v>
      </c>
      <c r="AK16" s="348">
        <f t="shared" si="27"/>
        <v>91.309432146294512</v>
      </c>
      <c r="AL16" s="349">
        <f t="shared" si="27"/>
        <v>85.403940886699502</v>
      </c>
    </row>
    <row r="17" spans="1:54" s="88" customFormat="1" ht="13.5" customHeight="1">
      <c r="B17" s="512" t="s">
        <v>200</v>
      </c>
      <c r="C17" s="73"/>
      <c r="D17" s="73">
        <f t="shared" ref="D17:I17" si="28">D16-C16</f>
        <v>-12.788719820316842</v>
      </c>
      <c r="E17" s="73">
        <f t="shared" si="28"/>
        <v>10.693934659856481</v>
      </c>
      <c r="F17" s="279">
        <f t="shared" si="28"/>
        <v>1.4258005236005857</v>
      </c>
      <c r="G17" s="73">
        <f t="shared" si="28"/>
        <v>1.8999689984383679</v>
      </c>
      <c r="H17" s="73">
        <f t="shared" si="28"/>
        <v>1.2897978957541198</v>
      </c>
      <c r="I17" s="73">
        <f t="shared" si="28"/>
        <v>-0.16187488302199426</v>
      </c>
      <c r="K17" s="532"/>
      <c r="L17" s="533"/>
      <c r="M17" s="533"/>
      <c r="N17" s="538"/>
      <c r="O17" s="533">
        <f>O16-K16</f>
        <v>-5.8431252835615055</v>
      </c>
      <c r="P17" s="533">
        <f t="shared" ref="P17" si="29">P16-L16</f>
        <v>-24.81935166775316</v>
      </c>
      <c r="Q17" s="533">
        <f t="shared" ref="Q17" si="30">Q16-M16</f>
        <v>-20.072936755312483</v>
      </c>
      <c r="R17" s="534">
        <f t="shared" ref="R17" si="31">R16-N16</f>
        <v>-10.474439698535704</v>
      </c>
      <c r="S17" s="533">
        <f t="shared" ref="S17" si="32">S16-O16</f>
        <v>-19.586699334213407</v>
      </c>
      <c r="T17" s="533">
        <f t="shared" ref="T17" si="33">T16-P16</f>
        <v>12.686987743724153</v>
      </c>
      <c r="U17" s="533">
        <f t="shared" ref="U17" si="34">U16-Q16</f>
        <v>9.4126063782406533</v>
      </c>
      <c r="V17" s="534">
        <f t="shared" ref="V17" si="35">V16-R16</f>
        <v>9.9676882403404505</v>
      </c>
      <c r="W17" s="533">
        <f t="shared" ref="W17" si="36">W16-S16</f>
        <v>17.310080431567783</v>
      </c>
      <c r="X17" s="533">
        <f t="shared" ref="X17" si="37">X16-T16</f>
        <v>17.111185808220625</v>
      </c>
      <c r="Y17" s="533">
        <f t="shared" ref="Y17" si="38">Y16-U16</f>
        <v>13.238486200348575</v>
      </c>
      <c r="Z17" s="534">
        <f t="shared" ref="Z17" si="39">Z16-V16</f>
        <v>3.662072663179913</v>
      </c>
      <c r="AA17" s="536">
        <v>1</v>
      </c>
      <c r="AB17" s="536">
        <v>1</v>
      </c>
      <c r="AC17" s="536">
        <v>1</v>
      </c>
      <c r="AD17" s="537">
        <v>1</v>
      </c>
      <c r="AE17" s="536">
        <v>0.5</v>
      </c>
      <c r="AF17" s="536">
        <v>0.5</v>
      </c>
      <c r="AG17" s="536">
        <v>0.5</v>
      </c>
      <c r="AH17" s="537">
        <v>0.5</v>
      </c>
      <c r="AI17" s="536">
        <v>0</v>
      </c>
      <c r="AJ17" s="536">
        <v>0</v>
      </c>
      <c r="AK17" s="536">
        <v>0</v>
      </c>
      <c r="AL17" s="537">
        <v>0</v>
      </c>
      <c r="AM17" s="522"/>
      <c r="AN17" s="522"/>
    </row>
    <row r="18" spans="1:54" s="511" customFormat="1" ht="13.5" customHeight="1">
      <c r="B18" s="512"/>
      <c r="C18" s="513"/>
      <c r="D18" s="513"/>
      <c r="E18" s="513"/>
      <c r="F18" s="514"/>
      <c r="G18" s="513"/>
      <c r="H18" s="513"/>
      <c r="I18" s="513"/>
      <c r="K18" s="515"/>
      <c r="L18" s="516"/>
      <c r="M18" s="516"/>
      <c r="N18" s="517"/>
      <c r="O18" s="515"/>
      <c r="P18" s="516"/>
      <c r="Q18" s="516"/>
      <c r="R18" s="517"/>
      <c r="S18" s="515"/>
      <c r="T18" s="516"/>
      <c r="U18" s="516"/>
      <c r="V18" s="517"/>
      <c r="W18" s="515"/>
      <c r="X18" s="516"/>
      <c r="Y18" s="516"/>
      <c r="Z18" s="517"/>
      <c r="AA18" s="515"/>
      <c r="AB18" s="516"/>
      <c r="AC18" s="518"/>
      <c r="AD18" s="517"/>
      <c r="AE18" s="515"/>
      <c r="AF18" s="516"/>
      <c r="AG18" s="516"/>
      <c r="AH18" s="517"/>
      <c r="AI18" s="515"/>
      <c r="AJ18" s="516"/>
      <c r="AK18" s="516"/>
      <c r="AL18" s="517"/>
      <c r="AM18" s="519"/>
      <c r="AN18" s="519"/>
    </row>
    <row r="19" spans="1:54" s="66" customFormat="1" ht="13.5" customHeight="1">
      <c r="B19" s="265" t="s">
        <v>54</v>
      </c>
      <c r="C19" s="277">
        <f t="shared" ref="C19:I19" si="40">C8+C12-C16</f>
        <v>67.784661657589041</v>
      </c>
      <c r="D19" s="277">
        <f t="shared" si="40"/>
        <v>48.899360947305382</v>
      </c>
      <c r="E19" s="277">
        <f t="shared" si="40"/>
        <v>29.516049943630293</v>
      </c>
      <c r="F19" s="495">
        <f t="shared" si="40"/>
        <v>19.510643987973523</v>
      </c>
      <c r="G19" s="289">
        <f t="shared" si="40"/>
        <v>17.574636562536398</v>
      </c>
      <c r="H19" s="289">
        <f t="shared" si="40"/>
        <v>16.08986622929099</v>
      </c>
      <c r="I19" s="289">
        <f t="shared" si="40"/>
        <v>16.083650264209467</v>
      </c>
      <c r="K19" s="894">
        <f t="shared" ref="K19:AL19" si="41">K8+K12-K16</f>
        <v>88.549166364731548</v>
      </c>
      <c r="L19" s="289">
        <f t="shared" si="41"/>
        <v>84.701935429838798</v>
      </c>
      <c r="M19" s="289">
        <f t="shared" si="41"/>
        <v>88.306036478387796</v>
      </c>
      <c r="N19" s="895">
        <f t="shared" si="41"/>
        <v>61.792978614835334</v>
      </c>
      <c r="O19" s="894">
        <f t="shared" si="41"/>
        <v>88.137655763239877</v>
      </c>
      <c r="P19" s="289">
        <f t="shared" si="41"/>
        <v>66.059504651404751</v>
      </c>
      <c r="Q19" s="289">
        <f t="shared" si="41"/>
        <v>120.84020541388391</v>
      </c>
      <c r="R19" s="895">
        <f t="shared" si="41"/>
        <v>44.454753088142098</v>
      </c>
      <c r="S19" s="894">
        <f t="shared" si="41"/>
        <v>55.831000737318178</v>
      </c>
      <c r="T19" s="289">
        <f t="shared" si="41"/>
        <v>56.352981482132208</v>
      </c>
      <c r="U19" s="289">
        <f t="shared" si="41"/>
        <v>60.058284204884785</v>
      </c>
      <c r="V19" s="895">
        <f t="shared" si="41"/>
        <v>27.201012261482674</v>
      </c>
      <c r="W19" s="894">
        <f t="shared" si="41"/>
        <v>39.187104682930396</v>
      </c>
      <c r="X19" s="289">
        <f t="shared" si="41"/>
        <v>35.47652115581505</v>
      </c>
      <c r="Y19" s="289">
        <f t="shared" si="41"/>
        <v>39.377718423720324</v>
      </c>
      <c r="Z19" s="895">
        <f t="shared" si="41"/>
        <v>19.184509895651942</v>
      </c>
      <c r="AA19" s="894">
        <f t="shared" si="41"/>
        <v>36.187104682930396</v>
      </c>
      <c r="AB19" s="289">
        <f t="shared" si="41"/>
        <v>32.47652115581505</v>
      </c>
      <c r="AC19" s="289">
        <f t="shared" si="41"/>
        <v>36.377718423720324</v>
      </c>
      <c r="AD19" s="895">
        <f t="shared" si="41"/>
        <v>16.184509895651942</v>
      </c>
      <c r="AE19" s="894">
        <f t="shared" si="41"/>
        <v>34.687104682930396</v>
      </c>
      <c r="AF19" s="289">
        <f t="shared" si="41"/>
        <v>30.97652115581505</v>
      </c>
      <c r="AG19" s="289">
        <f t="shared" si="41"/>
        <v>34.877718423720324</v>
      </c>
      <c r="AH19" s="895">
        <f t="shared" si="41"/>
        <v>14.684509895651942</v>
      </c>
      <c r="AI19" s="894">
        <f t="shared" si="41"/>
        <v>34.687104682930396</v>
      </c>
      <c r="AJ19" s="289">
        <f t="shared" si="41"/>
        <v>30.97652115581505</v>
      </c>
      <c r="AK19" s="289">
        <f t="shared" si="41"/>
        <v>34.877718423720324</v>
      </c>
      <c r="AL19" s="895">
        <f t="shared" si="41"/>
        <v>14.684509895651942</v>
      </c>
      <c r="AM19" s="896"/>
    </row>
    <row r="20" spans="1:54" s="50" customFormat="1" ht="13.5" customHeight="1">
      <c r="B20" s="373"/>
      <c r="C20" s="351"/>
      <c r="D20" s="351"/>
      <c r="E20" s="351"/>
      <c r="F20" s="352"/>
      <c r="G20" s="351"/>
      <c r="H20" s="351"/>
      <c r="I20" s="351"/>
      <c r="J20" s="33"/>
      <c r="K20" s="353"/>
      <c r="L20" s="351"/>
      <c r="M20" s="351"/>
      <c r="N20" s="352"/>
      <c r="O20" s="353"/>
      <c r="P20" s="351"/>
      <c r="Q20" s="351"/>
      <c r="R20" s="352"/>
      <c r="S20" s="353"/>
      <c r="T20" s="351"/>
      <c r="U20" s="351"/>
      <c r="V20" s="352"/>
      <c r="W20" s="353"/>
      <c r="X20" s="351"/>
      <c r="Y20" s="351"/>
      <c r="Z20" s="352"/>
      <c r="AA20" s="353"/>
      <c r="AB20" s="351"/>
      <c r="AC20" s="280"/>
      <c r="AD20" s="352"/>
      <c r="AE20" s="353"/>
      <c r="AF20" s="351"/>
      <c r="AG20" s="351"/>
      <c r="AH20" s="352"/>
      <c r="AI20" s="353"/>
      <c r="AJ20" s="351"/>
      <c r="AK20" s="351"/>
      <c r="AL20" s="352"/>
      <c r="AM20" s="33"/>
      <c r="AN20" s="33"/>
      <c r="AO20" s="33"/>
    </row>
    <row r="21" spans="1:54" s="87" customFormat="1" ht="13.5" customHeight="1">
      <c r="A21" s="86"/>
      <c r="B21" s="119" t="s">
        <v>53</v>
      </c>
      <c r="C21" s="329">
        <f>IS!C7</f>
        <v>35810</v>
      </c>
      <c r="D21" s="329">
        <f>IS!D7</f>
        <v>35015</v>
      </c>
      <c r="E21" s="329">
        <f>IS!E7</f>
        <v>35299</v>
      </c>
      <c r="F21" s="342">
        <f>IS!F7</f>
        <v>34244</v>
      </c>
      <c r="G21" s="526">
        <f>IS!G7</f>
        <v>30650.964999999997</v>
      </c>
      <c r="H21" s="329">
        <f>IS!H7</f>
        <v>31331.186549999999</v>
      </c>
      <c r="I21" s="329">
        <f>IS!I7</f>
        <v>32408.693525999995</v>
      </c>
      <c r="J21" s="968"/>
      <c r="K21" s="526">
        <f>IS!K7</f>
        <v>8190</v>
      </c>
      <c r="L21" s="329">
        <f>IS!L7</f>
        <v>9163</v>
      </c>
      <c r="M21" s="329">
        <f>IS!M7</f>
        <v>8778</v>
      </c>
      <c r="N21" s="342">
        <f>IS!N7</f>
        <v>9679</v>
      </c>
      <c r="O21" s="526">
        <f>IS!O7</f>
        <v>8667</v>
      </c>
      <c r="P21" s="329">
        <f>IS!P7</f>
        <v>8527</v>
      </c>
      <c r="Q21" s="329">
        <f>IS!Q7</f>
        <v>8326</v>
      </c>
      <c r="R21" s="342">
        <f>IS!R7</f>
        <v>9495</v>
      </c>
      <c r="S21" s="526">
        <f>IS!S7</f>
        <v>8744</v>
      </c>
      <c r="T21" s="329">
        <f>IS!T7</f>
        <v>8595</v>
      </c>
      <c r="U21" s="329">
        <f>IS!U7</f>
        <v>8472</v>
      </c>
      <c r="V21" s="342">
        <f>IS!V7</f>
        <v>9488</v>
      </c>
      <c r="W21" s="526">
        <f>IS!W7</f>
        <v>8641</v>
      </c>
      <c r="X21" s="329">
        <f>IS!X7</f>
        <v>8436</v>
      </c>
      <c r="Y21" s="329">
        <f>IS!Y7</f>
        <v>8337</v>
      </c>
      <c r="Z21" s="342">
        <f>IS!Z7</f>
        <v>8830</v>
      </c>
      <c r="AA21" s="526">
        <f>IS!AA7</f>
        <v>7553.8249999999998</v>
      </c>
      <c r="AB21" s="329">
        <f>IS!AB7</f>
        <v>7503.9</v>
      </c>
      <c r="AC21" s="329">
        <f>IS!AC7</f>
        <v>7441.6149999999998</v>
      </c>
      <c r="AD21" s="342">
        <f>IS!AD7</f>
        <v>8151.625</v>
      </c>
      <c r="AE21" s="526">
        <f>IS!AE7</f>
        <v>7591.51325</v>
      </c>
      <c r="AF21" s="329">
        <f>IS!AF7</f>
        <v>7684.58205</v>
      </c>
      <c r="AG21" s="329">
        <f>IS!AG7</f>
        <v>7654.5186249999988</v>
      </c>
      <c r="AH21" s="342">
        <f>IS!AH7</f>
        <v>8400.5726250000007</v>
      </c>
      <c r="AI21" s="526">
        <f>IS!AI7</f>
        <v>7872.0782504999988</v>
      </c>
      <c r="AJ21" s="329">
        <f>IS!AJ7</f>
        <v>7943.4771874999997</v>
      </c>
      <c r="AK21" s="329">
        <f>IS!AK7</f>
        <v>7915.0928614999993</v>
      </c>
      <c r="AL21" s="342">
        <f>IS!AL7</f>
        <v>8678.0452265000004</v>
      </c>
      <c r="AM21" s="968"/>
      <c r="AN21" s="86"/>
      <c r="AO21" s="86"/>
      <c r="AP21" s="86"/>
      <c r="AQ21" s="86"/>
      <c r="AR21" s="86"/>
      <c r="AS21" s="86"/>
      <c r="AT21" s="86"/>
      <c r="AU21" s="86"/>
      <c r="AV21" s="86"/>
      <c r="AW21" s="86"/>
      <c r="AX21" s="86"/>
      <c r="AY21" s="86"/>
      <c r="AZ21" s="86"/>
      <c r="BA21" s="86"/>
      <c r="BB21" s="86"/>
    </row>
    <row r="22" spans="1:54" s="87" customFormat="1" ht="13.5" customHeight="1" thickBot="1">
      <c r="A22" s="86"/>
      <c r="B22" s="120" t="s">
        <v>48</v>
      </c>
      <c r="C22" s="330">
        <f>IS!C9</f>
        <v>-22402.5</v>
      </c>
      <c r="D22" s="330">
        <f>IS!D9</f>
        <v>-21939</v>
      </c>
      <c r="E22" s="330">
        <f>IS!E9</f>
        <v>-22189</v>
      </c>
      <c r="F22" s="343">
        <f>IS!F9</f>
        <v>-21647</v>
      </c>
      <c r="G22" s="527">
        <f>IS!G9</f>
        <v>-19071.582725</v>
      </c>
      <c r="H22" s="528">
        <f>IS!H9</f>
        <v>-19337.003347499998</v>
      </c>
      <c r="I22" s="330">
        <f>IS!I9</f>
        <v>-19848.023833365001</v>
      </c>
      <c r="J22" s="968"/>
      <c r="K22" s="969">
        <f>IS!K9</f>
        <v>-5133.25</v>
      </c>
      <c r="L22" s="970">
        <f>IS!L9</f>
        <v>-5650.25</v>
      </c>
      <c r="M22" s="970">
        <f>IS!M9</f>
        <v>-5461</v>
      </c>
      <c r="N22" s="971">
        <f>IS!N9</f>
        <v>-6158</v>
      </c>
      <c r="O22" s="969">
        <f>IS!O9</f>
        <v>-5472</v>
      </c>
      <c r="P22" s="970">
        <f>IS!P9</f>
        <v>-5316</v>
      </c>
      <c r="Q22" s="970">
        <f>IS!Q9</f>
        <v>-5206</v>
      </c>
      <c r="R22" s="971">
        <f>IS!R9</f>
        <v>-5945</v>
      </c>
      <c r="S22" s="969">
        <f>IS!S9</f>
        <v>-5502</v>
      </c>
      <c r="T22" s="970">
        <f>IS!T9</f>
        <v>-5364</v>
      </c>
      <c r="U22" s="970">
        <f>IS!U9</f>
        <v>-5328</v>
      </c>
      <c r="V22" s="971">
        <f>IS!V9</f>
        <v>-5995</v>
      </c>
      <c r="W22" s="969">
        <f>IS!W9</f>
        <v>-5437</v>
      </c>
      <c r="X22" s="970">
        <f>IS!X9</f>
        <v>-5331</v>
      </c>
      <c r="Y22" s="970">
        <f>IS!Y9</f>
        <v>-5195</v>
      </c>
      <c r="Z22" s="971">
        <f>IS!Z9</f>
        <v>-5684</v>
      </c>
      <c r="AA22" s="969">
        <f>IS!AA9</f>
        <v>-4751.3559249999998</v>
      </c>
      <c r="AB22" s="970">
        <f>IS!AB9</f>
        <v>-4652.4179999999997</v>
      </c>
      <c r="AC22" s="970">
        <f>IS!AC9</f>
        <v>-4613.8013000000001</v>
      </c>
      <c r="AD22" s="971">
        <f>IS!AD9</f>
        <v>-5054.0074999999997</v>
      </c>
      <c r="AE22" s="969">
        <f>IS!AE9</f>
        <v>-4737.104268</v>
      </c>
      <c r="AF22" s="970">
        <f>IS!AF9</f>
        <v>-4726.0179607499995</v>
      </c>
      <c r="AG22" s="970">
        <f>IS!AG9</f>
        <v>-4707.5289543749996</v>
      </c>
      <c r="AH22" s="971">
        <f>IS!AH9</f>
        <v>-5166.352164375</v>
      </c>
      <c r="AI22" s="969">
        <f>IS!AI9</f>
        <v>-4880.6885153099993</v>
      </c>
      <c r="AJ22" s="970">
        <f>IS!AJ9</f>
        <v>-4845.5210843750001</v>
      </c>
      <c r="AK22" s="970">
        <f>IS!AK9</f>
        <v>-4828.2066455149998</v>
      </c>
      <c r="AL22" s="971">
        <f>IS!AL9</f>
        <v>-5293.6075881650004</v>
      </c>
      <c r="AM22" s="968"/>
      <c r="AN22" s="86"/>
      <c r="AO22" s="86"/>
      <c r="AP22" s="86"/>
      <c r="AQ22" s="86"/>
      <c r="AR22" s="86"/>
      <c r="AS22" s="86"/>
      <c r="AT22" s="86"/>
      <c r="AU22" s="86"/>
      <c r="AV22" s="86"/>
      <c r="AW22" s="86"/>
      <c r="AX22" s="86"/>
      <c r="AY22" s="86"/>
      <c r="AZ22" s="86"/>
      <c r="BA22" s="86"/>
      <c r="BB22" s="86"/>
    </row>
    <row r="23" spans="1:54" ht="13.5" customHeight="1">
      <c r="B23" s="8"/>
      <c r="C23" s="8"/>
      <c r="D23" s="8"/>
      <c r="E23" s="8"/>
      <c r="F23" s="8"/>
      <c r="G23" s="8"/>
      <c r="H23" s="8"/>
      <c r="I23" s="8"/>
      <c r="J23" s="8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</row>
    <row r="24" spans="1:54" ht="13.5" customHeight="1">
      <c r="B24" s="8"/>
      <c r="C24" s="8"/>
      <c r="D24" s="8"/>
      <c r="E24" s="8"/>
      <c r="F24" s="8"/>
      <c r="G24" s="8"/>
      <c r="H24" s="8"/>
      <c r="I24" s="8"/>
      <c r="J24" s="8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</row>
    <row r="25" spans="1:54" s="3" customFormat="1" ht="13.5" customHeight="1">
      <c r="A25" s="55"/>
      <c r="B25" s="55"/>
      <c r="C25" s="55"/>
      <c r="D25" s="55"/>
      <c r="E25" s="55"/>
      <c r="F25" s="55"/>
      <c r="G25" s="55"/>
      <c r="H25" s="55"/>
      <c r="I25" s="55"/>
      <c r="J25" s="55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55"/>
      <c r="AD25" s="55"/>
      <c r="AE25" s="55"/>
      <c r="AF25" s="55"/>
      <c r="AG25" s="55"/>
      <c r="AH25" s="55"/>
      <c r="AI25" s="55"/>
      <c r="AJ25" s="55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  <c r="BB25" s="55"/>
    </row>
    <row r="26" spans="1:54" s="3" customFormat="1" ht="13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  <c r="BB26" s="55"/>
    </row>
    <row r="27" spans="1:54" s="3" customFormat="1" ht="13.5" customHeight="1">
      <c r="A27" s="55"/>
      <c r="B27" s="55"/>
      <c r="C27" s="55"/>
      <c r="D27" s="55"/>
      <c r="E27" s="55"/>
      <c r="F27" s="55"/>
      <c r="G27" s="55"/>
      <c r="H27" s="55"/>
      <c r="I27" s="55"/>
      <c r="J27" s="55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  <c r="BB27" s="55"/>
    </row>
    <row r="28" spans="1:54" s="3" customFormat="1" ht="13.5" customHeight="1">
      <c r="A28" s="55"/>
      <c r="B28" s="55"/>
      <c r="C28" s="55"/>
      <c r="D28" s="55"/>
      <c r="E28" s="55"/>
      <c r="F28" s="55"/>
      <c r="G28" s="55"/>
      <c r="H28" s="55"/>
      <c r="I28" s="55"/>
      <c r="J28" s="55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  <c r="BB28" s="55"/>
    </row>
    <row r="29" spans="1:54" s="3" customFormat="1" ht="13.5" customHeight="1">
      <c r="A29" s="55"/>
      <c r="B29" s="55"/>
      <c r="C29" s="55"/>
      <c r="D29" s="55"/>
      <c r="E29" s="55"/>
      <c r="F29" s="55"/>
      <c r="G29" s="55"/>
      <c r="H29" s="55"/>
      <c r="I29" s="55"/>
      <c r="J29" s="55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  <c r="BB29" s="55"/>
    </row>
    <row r="30" spans="1:54" s="3" customFormat="1" ht="13.5" customHeight="1">
      <c r="A30" s="55"/>
      <c r="B30" s="55"/>
      <c r="C30" s="55"/>
      <c r="D30" s="55"/>
      <c r="E30" s="55"/>
      <c r="F30" s="55"/>
      <c r="G30" s="55"/>
      <c r="H30" s="55"/>
      <c r="I30" s="55"/>
      <c r="J30" s="55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  <c r="BB30" s="55"/>
    </row>
    <row r="31" spans="1:54" s="3" customFormat="1" ht="13.5" customHeight="1">
      <c r="A31" s="55"/>
      <c r="B31" s="55"/>
      <c r="C31" s="55"/>
      <c r="D31" s="55"/>
      <c r="E31" s="55"/>
      <c r="F31" s="55"/>
      <c r="G31" s="55"/>
      <c r="H31" s="55"/>
      <c r="I31" s="55"/>
      <c r="J31" s="55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  <c r="BB31" s="55"/>
    </row>
    <row r="32" spans="1:54" s="3" customFormat="1" ht="13.5" customHeight="1">
      <c r="A32" s="55"/>
      <c r="B32" s="55"/>
      <c r="C32" s="55"/>
      <c r="D32" s="55"/>
      <c r="E32" s="55"/>
      <c r="F32" s="55"/>
      <c r="G32" s="55"/>
      <c r="H32" s="55"/>
      <c r="I32" s="55"/>
      <c r="J32" s="55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  <c r="BB32" s="55"/>
    </row>
    <row r="33" spans="1:54" s="3" customFormat="1" ht="13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  <c r="BB33" s="55"/>
    </row>
    <row r="34" spans="1:54" s="3" customFormat="1" ht="13.5" customHeight="1">
      <c r="A34" s="55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  <c r="AZ34" s="55"/>
      <c r="BA34" s="55"/>
      <c r="BB34" s="55"/>
    </row>
    <row r="35" spans="1:54" s="3" customFormat="1" ht="13.5" customHeight="1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</row>
    <row r="36" spans="1:54" s="3" customFormat="1" ht="13.5" customHeight="1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  <c r="BB36" s="55"/>
    </row>
    <row r="37" spans="1:54" s="3" customFormat="1" ht="13.5" customHeight="1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  <c r="BB37" s="55"/>
    </row>
    <row r="38" spans="1:54" s="3" customFormat="1" ht="13.5" customHeight="1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  <c r="BB38" s="55"/>
    </row>
    <row r="39" spans="1:54" s="3" customFormat="1" ht="13.5" customHeight="1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  <c r="BB39" s="55"/>
    </row>
    <row r="40" spans="1:54" s="3" customFormat="1" ht="13.5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  <c r="BB40" s="55"/>
    </row>
    <row r="41" spans="1:54" s="3" customFormat="1" ht="13.5" customHeight="1">
      <c r="A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</row>
    <row r="42" spans="1:54" s="3" customFormat="1" ht="13.5" customHeight="1">
      <c r="A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  <c r="BB42" s="55"/>
    </row>
    <row r="43" spans="1:54" s="3" customFormat="1" ht="13.5" customHeight="1">
      <c r="A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  <c r="BB43" s="55"/>
    </row>
    <row r="44" spans="1:54" s="3" customFormat="1" ht="13.5" customHeight="1">
      <c r="A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  <c r="BB44" s="55"/>
    </row>
    <row r="45" spans="1:54" s="3" customFormat="1" ht="13.5" customHeight="1">
      <c r="A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  <c r="BB45" s="55"/>
    </row>
    <row r="46" spans="1:54" s="3" customFormat="1" ht="13.5" customHeight="1">
      <c r="A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  <c r="BB46" s="55"/>
    </row>
    <row r="47" spans="1:54" s="3" customFormat="1" ht="13.5" customHeight="1">
      <c r="A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  <c r="BB47" s="55"/>
    </row>
    <row r="48" spans="1:54" s="3" customFormat="1" ht="13.5" customHeight="1">
      <c r="A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  <c r="AK48" s="55"/>
      <c r="AL48" s="55"/>
      <c r="AM48" s="55"/>
      <c r="AN48" s="55"/>
      <c r="AO48" s="55"/>
      <c r="AP48" s="55"/>
      <c r="AQ48" s="55"/>
      <c r="AR48" s="55"/>
      <c r="AS48" s="55"/>
      <c r="AT48" s="55"/>
      <c r="AU48" s="55"/>
      <c r="AV48" s="55"/>
      <c r="AW48" s="55"/>
      <c r="AX48" s="55"/>
      <c r="AY48" s="55"/>
      <c r="AZ48" s="55"/>
      <c r="BA48" s="55"/>
      <c r="BB48" s="55"/>
    </row>
    <row r="49" spans="1:54" s="3" customFormat="1" ht="13.5" customHeight="1">
      <c r="A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  <c r="BB49" s="55"/>
    </row>
    <row r="50" spans="1:54" s="3" customFormat="1" ht="13.5" customHeight="1">
      <c r="A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  <c r="BB50" s="55"/>
    </row>
    <row r="51" spans="1:54" ht="13.5" customHeight="1">
      <c r="J51" s="2"/>
    </row>
    <row r="52" spans="1:54" ht="13.5" customHeight="1"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</row>
    <row r="53" spans="1:54" ht="13.5" customHeight="1"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</row>
  </sheetData>
  <pageMargins left="0.7" right="0.7" top="0.75" bottom="0.75" header="0.3" footer="0.3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1">
    <pageSetUpPr fitToPage="1"/>
  </sheetPr>
  <dimension ref="A1:BH41"/>
  <sheetViews>
    <sheetView showGridLines="0" view="pageBreakPreview" zoomScaleNormal="100" zoomScaleSheetLayoutView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defaultRowHeight="13.5" customHeight="1"/>
  <cols>
    <col min="1" max="1" width="5.83203125" style="2" customWidth="1"/>
    <col min="2" max="2" width="47" style="2" customWidth="1"/>
    <col min="3" max="5" width="11" style="2" customWidth="1"/>
    <col min="6" max="6" width="9.83203125" style="1" customWidth="1"/>
    <col min="7" max="12" width="9.83203125" style="2" customWidth="1"/>
    <col min="13" max="42" width="9.83203125" style="8" customWidth="1"/>
    <col min="43" max="60" width="9.33203125" style="8"/>
    <col min="61" max="16384" width="9.33203125" style="2"/>
  </cols>
  <sheetData>
    <row r="1" spans="2:18" ht="13.5" customHeight="1">
      <c r="G1" s="30">
        <v>42094</v>
      </c>
      <c r="H1" s="30">
        <v>42185</v>
      </c>
      <c r="I1" s="30">
        <v>42277</v>
      </c>
      <c r="J1" s="30">
        <v>42369</v>
      </c>
      <c r="K1" s="30">
        <v>42460</v>
      </c>
      <c r="L1" s="30">
        <v>42551</v>
      </c>
      <c r="M1" s="30">
        <v>42643</v>
      </c>
      <c r="N1" s="30">
        <v>42735</v>
      </c>
      <c r="O1" s="30">
        <v>42825</v>
      </c>
      <c r="P1" s="30">
        <v>42916</v>
      </c>
      <c r="Q1" s="30">
        <v>43008</v>
      </c>
      <c r="R1" s="30">
        <v>43100</v>
      </c>
    </row>
    <row r="2" spans="2:18" ht="13.5" customHeight="1">
      <c r="B2" s="344" t="str">
        <f>WC!B2</f>
        <v>Mondelez International, Inc. (MDLZ)</v>
      </c>
      <c r="F2" s="2"/>
    </row>
    <row r="3" spans="2:18" ht="13.5" customHeight="1">
      <c r="B3" s="2" t="s">
        <v>328</v>
      </c>
      <c r="F3" s="2"/>
    </row>
    <row r="4" spans="2:18" ht="13.5" customHeight="1">
      <c r="B4" s="2" t="s">
        <v>8</v>
      </c>
      <c r="F4" s="2"/>
    </row>
    <row r="5" spans="2:18" s="8" customFormat="1" ht="13.5" customHeight="1">
      <c r="C5" s="5" t="s">
        <v>11</v>
      </c>
      <c r="D5" s="4"/>
      <c r="E5" s="4"/>
      <c r="F5" s="354"/>
      <c r="G5" s="29">
        <v>2015</v>
      </c>
      <c r="H5" s="27"/>
      <c r="I5" s="27"/>
      <c r="J5" s="28"/>
      <c r="K5" s="29">
        <v>2016</v>
      </c>
      <c r="L5" s="27"/>
      <c r="M5" s="27"/>
      <c r="N5" s="28"/>
      <c r="O5" s="29">
        <v>2017</v>
      </c>
      <c r="P5" s="27"/>
      <c r="Q5" s="27"/>
      <c r="R5" s="28"/>
    </row>
    <row r="6" spans="2:18" s="8" customFormat="1" ht="13.5" customHeight="1">
      <c r="B6" s="65"/>
      <c r="C6" s="12">
        <v>2015</v>
      </c>
      <c r="D6" s="12">
        <f>C6+1</f>
        <v>2016</v>
      </c>
      <c r="E6" s="12">
        <f t="shared" ref="E6" si="0">D6+1</f>
        <v>2017</v>
      </c>
      <c r="G6" s="39">
        <v>1</v>
      </c>
      <c r="H6" s="39">
        <v>2</v>
      </c>
      <c r="I6" s="39">
        <v>3</v>
      </c>
      <c r="J6" s="39">
        <v>4</v>
      </c>
      <c r="K6" s="39">
        <v>1</v>
      </c>
      <c r="L6" s="39">
        <v>2</v>
      </c>
      <c r="M6" s="39">
        <v>3</v>
      </c>
      <c r="N6" s="39">
        <v>4</v>
      </c>
      <c r="O6" s="39">
        <v>1</v>
      </c>
      <c r="P6" s="39">
        <v>2</v>
      </c>
      <c r="Q6" s="39">
        <v>3</v>
      </c>
      <c r="R6" s="39">
        <v>4</v>
      </c>
    </row>
    <row r="7" spans="2:18" s="8" customFormat="1" ht="13.5" customHeight="1">
      <c r="B7" s="355" t="s">
        <v>85</v>
      </c>
      <c r="C7" s="575">
        <f>BS!F33</f>
        <v>27853</v>
      </c>
      <c r="D7" s="575">
        <f>BS!G33</f>
        <v>27650.195509738354</v>
      </c>
      <c r="E7" s="575">
        <f>BS!H33</f>
        <v>27767.324764525649</v>
      </c>
      <c r="F7" s="66"/>
      <c r="G7" s="187">
        <f>BS!Z33</f>
        <v>27853</v>
      </c>
      <c r="H7" s="188">
        <f>G11</f>
        <v>27734.04264</v>
      </c>
      <c r="I7" s="188">
        <f t="shared" ref="I7:R7" si="1">H11</f>
        <v>27656.764973597208</v>
      </c>
      <c r="J7" s="189">
        <f t="shared" si="1"/>
        <v>27571.507163845999</v>
      </c>
      <c r="K7" s="188">
        <f t="shared" si="1"/>
        <v>27650.195509738354</v>
      </c>
      <c r="L7" s="188">
        <f t="shared" si="1"/>
        <v>27597.766708919011</v>
      </c>
      <c r="M7" s="188">
        <f t="shared" si="1"/>
        <v>27598.956467007782</v>
      </c>
      <c r="N7" s="189">
        <f t="shared" si="1"/>
        <v>27596.643902347714</v>
      </c>
      <c r="O7" s="188">
        <f t="shared" si="1"/>
        <v>27767.324764525649</v>
      </c>
      <c r="P7" s="188">
        <f t="shared" si="1"/>
        <v>27745.692100153166</v>
      </c>
      <c r="Q7" s="188">
        <f t="shared" si="1"/>
        <v>27776.773307087682</v>
      </c>
      <c r="R7" s="189">
        <f t="shared" si="1"/>
        <v>27804.126428661817</v>
      </c>
    </row>
    <row r="8" spans="2:18" s="8" customFormat="1" ht="13.5" customHeight="1">
      <c r="B8" s="356" t="s">
        <v>0</v>
      </c>
      <c r="C8" s="73">
        <f>IS!G23</f>
        <v>2596.02772</v>
      </c>
      <c r="D8" s="73">
        <f>IS!H23</f>
        <v>2752.8900728079998</v>
      </c>
      <c r="E8" s="73">
        <f>IS!I23</f>
        <v>2919.0160543405709</v>
      </c>
      <c r="F8" s="88"/>
      <c r="G8" s="172">
        <f>IS!AA23</f>
        <v>583.64264000000003</v>
      </c>
      <c r="H8" s="126">
        <f>IS!AB23</f>
        <v>623.35784000000001</v>
      </c>
      <c r="I8" s="126">
        <f>IS!AC23</f>
        <v>613.46875999999997</v>
      </c>
      <c r="J8" s="178">
        <f>IS!AD23</f>
        <v>775.55848000000003</v>
      </c>
      <c r="K8" s="126">
        <f>IS!AE23</f>
        <v>608.97214736799981</v>
      </c>
      <c r="L8" s="126">
        <f>IS!AF23</f>
        <v>660.92230168799983</v>
      </c>
      <c r="M8" s="126">
        <f>IS!AG23</f>
        <v>655.79396267899972</v>
      </c>
      <c r="N8" s="178">
        <f>IS!AH23</f>
        <v>827.20166107299997</v>
      </c>
      <c r="O8" s="126">
        <f>IS!AI23</f>
        <v>649.27658387325141</v>
      </c>
      <c r="P8" s="126">
        <f>IS!AJ23</f>
        <v>700.38516717269488</v>
      </c>
      <c r="Q8" s="126">
        <f>IS!AK23</f>
        <v>695.08881612965524</v>
      </c>
      <c r="R8" s="178">
        <f>IS!AL23</f>
        <v>874.26548716496904</v>
      </c>
    </row>
    <row r="9" spans="2:18" s="8" customFormat="1" ht="13.5" customHeight="1">
      <c r="B9" s="356" t="s">
        <v>86</v>
      </c>
      <c r="C9" s="73">
        <f>C19</f>
        <v>-1800</v>
      </c>
      <c r="D9" s="73">
        <f>D19</f>
        <v>-1600</v>
      </c>
      <c r="E9" s="73">
        <f>E19</f>
        <v>-1600</v>
      </c>
      <c r="F9" s="88"/>
      <c r="G9" s="380">
        <f>G19</f>
        <v>-450</v>
      </c>
      <c r="H9" s="90">
        <f t="shared" ref="H9:R9" si="2">H19</f>
        <v>-450</v>
      </c>
      <c r="I9" s="90">
        <f t="shared" si="2"/>
        <v>-450</v>
      </c>
      <c r="J9" s="278">
        <f t="shared" si="2"/>
        <v>-450</v>
      </c>
      <c r="K9" s="90">
        <f t="shared" si="2"/>
        <v>-400</v>
      </c>
      <c r="L9" s="90">
        <f t="shared" si="2"/>
        <v>-400</v>
      </c>
      <c r="M9" s="90">
        <f t="shared" si="2"/>
        <v>-400</v>
      </c>
      <c r="N9" s="278">
        <f t="shared" si="2"/>
        <v>-400</v>
      </c>
      <c r="O9" s="90">
        <f t="shared" si="2"/>
        <v>-400</v>
      </c>
      <c r="P9" s="90">
        <f t="shared" si="2"/>
        <v>-400</v>
      </c>
      <c r="Q9" s="90">
        <f t="shared" si="2"/>
        <v>-400</v>
      </c>
      <c r="R9" s="278">
        <f t="shared" si="2"/>
        <v>-400</v>
      </c>
    </row>
    <row r="10" spans="2:18" s="8" customFormat="1" ht="13.5" customHeight="1">
      <c r="B10" s="356" t="s">
        <v>60</v>
      </c>
      <c r="C10" s="92">
        <f>SUM(G10:J10)</f>
        <v>-998.83221026165006</v>
      </c>
      <c r="D10" s="92">
        <f>SUM(K10:N10)</f>
        <v>-1035.7608180207008</v>
      </c>
      <c r="E10" s="92">
        <f>SUM(O10:R10)</f>
        <v>-1074.1516850611426</v>
      </c>
      <c r="F10" s="88"/>
      <c r="G10" s="173">
        <f t="shared" ref="G10:R10" si="3">G27</f>
        <v>-252.6</v>
      </c>
      <c r="H10" s="92">
        <f t="shared" si="3"/>
        <v>-250.63550640279391</v>
      </c>
      <c r="I10" s="92">
        <f t="shared" si="3"/>
        <v>-248.72656975121023</v>
      </c>
      <c r="J10" s="179">
        <f t="shared" si="3"/>
        <v>-246.87013410764587</v>
      </c>
      <c r="K10" s="92">
        <f t="shared" si="3"/>
        <v>-261.4009481873419</v>
      </c>
      <c r="L10" s="92">
        <f t="shared" si="3"/>
        <v>-259.7325435992293</v>
      </c>
      <c r="M10" s="92">
        <f t="shared" si="3"/>
        <v>-258.1065273390667</v>
      </c>
      <c r="N10" s="179">
        <f t="shared" si="3"/>
        <v>-256.52079889506274</v>
      </c>
      <c r="O10" s="92">
        <f t="shared" si="3"/>
        <v>-270.90924824573341</v>
      </c>
      <c r="P10" s="92">
        <f t="shared" si="3"/>
        <v>-269.30396023817906</v>
      </c>
      <c r="Q10" s="92">
        <f t="shared" si="3"/>
        <v>-267.73569455552223</v>
      </c>
      <c r="R10" s="179">
        <f t="shared" si="3"/>
        <v>-266.20278202170795</v>
      </c>
    </row>
    <row r="11" spans="2:18" s="8" customFormat="1" ht="13.5" customHeight="1">
      <c r="B11" s="357" t="s">
        <v>87</v>
      </c>
      <c r="C11" s="124">
        <f>SUM(C7:C10)</f>
        <v>27650.195509738347</v>
      </c>
      <c r="D11" s="124">
        <f>SUM(D7:D10)</f>
        <v>27767.324764525656</v>
      </c>
      <c r="E11" s="124">
        <f>SUM(E7:E10)</f>
        <v>28012.189133805077</v>
      </c>
      <c r="F11" s="125"/>
      <c r="G11" s="190">
        <f>SUM(G7:G10)</f>
        <v>27734.04264</v>
      </c>
      <c r="H11" s="191">
        <f t="shared" ref="H11:R11" si="4">SUM(H7:H10)</f>
        <v>27656.764973597208</v>
      </c>
      <c r="I11" s="191">
        <f t="shared" si="4"/>
        <v>27571.507163845999</v>
      </c>
      <c r="J11" s="192">
        <f t="shared" si="4"/>
        <v>27650.195509738354</v>
      </c>
      <c r="K11" s="191">
        <f t="shared" si="4"/>
        <v>27597.766708919011</v>
      </c>
      <c r="L11" s="191">
        <f t="shared" si="4"/>
        <v>27598.956467007782</v>
      </c>
      <c r="M11" s="191">
        <f t="shared" si="4"/>
        <v>27596.643902347714</v>
      </c>
      <c r="N11" s="192">
        <f t="shared" si="4"/>
        <v>27767.324764525649</v>
      </c>
      <c r="O11" s="191">
        <f t="shared" si="4"/>
        <v>27745.692100153166</v>
      </c>
      <c r="P11" s="191">
        <f t="shared" si="4"/>
        <v>27776.773307087682</v>
      </c>
      <c r="Q11" s="191">
        <f t="shared" si="4"/>
        <v>27804.126428661817</v>
      </c>
      <c r="R11" s="192">
        <f t="shared" si="4"/>
        <v>28012.189133805077</v>
      </c>
    </row>
    <row r="12" spans="2:18" s="8" customFormat="1" ht="13.5" customHeight="1">
      <c r="B12" s="55"/>
      <c r="C12" s="15"/>
      <c r="D12" s="15"/>
      <c r="E12" s="15"/>
      <c r="G12" s="579"/>
      <c r="H12" s="580"/>
      <c r="I12" s="580"/>
      <c r="J12" s="581"/>
      <c r="K12" s="580"/>
      <c r="L12" s="580"/>
      <c r="M12" s="580"/>
      <c r="N12" s="581"/>
      <c r="O12" s="580"/>
      <c r="P12" s="580"/>
      <c r="Q12" s="580"/>
      <c r="R12" s="581"/>
    </row>
    <row r="13" spans="2:18" s="8" customFormat="1" ht="13.5" customHeight="1">
      <c r="B13" s="359" t="s">
        <v>209</v>
      </c>
      <c r="C13" s="15"/>
      <c r="D13" s="15"/>
      <c r="E13" s="15"/>
      <c r="G13" s="582"/>
      <c r="H13" s="546"/>
      <c r="I13" s="546"/>
      <c r="J13" s="583"/>
      <c r="K13" s="546"/>
      <c r="L13" s="546"/>
      <c r="M13" s="546"/>
      <c r="N13" s="583"/>
      <c r="O13" s="546"/>
      <c r="P13" s="546"/>
      <c r="Q13" s="546"/>
      <c r="R13" s="583"/>
    </row>
    <row r="14" spans="2:18" s="8" customFormat="1" ht="13.5" customHeight="1">
      <c r="B14" s="55" t="s">
        <v>207</v>
      </c>
      <c r="C14" s="548">
        <f>G14</f>
        <v>1997</v>
      </c>
      <c r="D14" s="548">
        <f>H14</f>
        <v>1997</v>
      </c>
      <c r="E14" s="548">
        <f>I14</f>
        <v>1997</v>
      </c>
      <c r="G14" s="559">
        <v>1997</v>
      </c>
      <c r="H14" s="560">
        <v>1997</v>
      </c>
      <c r="I14" s="560">
        <v>1997</v>
      </c>
      <c r="J14" s="561">
        <v>1997</v>
      </c>
      <c r="K14" s="560">
        <v>1997</v>
      </c>
      <c r="L14" s="560">
        <v>1997</v>
      </c>
      <c r="M14" s="560">
        <v>1997</v>
      </c>
      <c r="N14" s="561">
        <v>1997</v>
      </c>
      <c r="O14" s="560">
        <v>1997</v>
      </c>
      <c r="P14" s="560">
        <v>1997</v>
      </c>
      <c r="Q14" s="560">
        <v>1997</v>
      </c>
      <c r="R14" s="561">
        <v>1997</v>
      </c>
    </row>
    <row r="15" spans="2:18" s="48" customFormat="1" ht="13.5" customHeight="1">
      <c r="B15" s="61" t="s">
        <v>206</v>
      </c>
      <c r="C15" s="548">
        <f>J15</f>
        <v>371.19910594902746</v>
      </c>
      <c r="D15" s="548">
        <f>N15</f>
        <v>413.74500690585802</v>
      </c>
      <c r="E15" s="548">
        <f>R15</f>
        <v>451.10128222524725</v>
      </c>
      <c r="G15" s="562">
        <v>333</v>
      </c>
      <c r="H15" s="548">
        <f>G15+G20</f>
        <v>346.09662398137368</v>
      </c>
      <c r="I15" s="548">
        <f t="shared" ref="I15:R15" si="5">H15+H20</f>
        <v>358.82286832526506</v>
      </c>
      <c r="J15" s="563">
        <f t="shared" si="5"/>
        <v>371.19910594902746</v>
      </c>
      <c r="K15" s="548">
        <f t="shared" si="5"/>
        <v>383.24407382911312</v>
      </c>
      <c r="L15" s="548">
        <f t="shared" si="5"/>
        <v>393.67160250481697</v>
      </c>
      <c r="M15" s="548">
        <f t="shared" si="5"/>
        <v>403.83420413083326</v>
      </c>
      <c r="N15" s="563">
        <f t="shared" si="5"/>
        <v>413.74500690585802</v>
      </c>
      <c r="O15" s="548">
        <f t="shared" si="5"/>
        <v>423.41618678980387</v>
      </c>
      <c r="P15" s="548">
        <f t="shared" si="5"/>
        <v>432.85905742247621</v>
      </c>
      <c r="Q15" s="548">
        <f t="shared" si="5"/>
        <v>442.08414967339871</v>
      </c>
      <c r="R15" s="563">
        <f t="shared" si="5"/>
        <v>451.10128222524725</v>
      </c>
    </row>
    <row r="16" spans="2:18" s="48" customFormat="1" ht="13.5" customHeight="1">
      <c r="B16" s="61" t="s">
        <v>210</v>
      </c>
      <c r="C16" s="548">
        <f>J16</f>
        <v>20</v>
      </c>
      <c r="D16" s="548">
        <f>N16</f>
        <v>20</v>
      </c>
      <c r="E16" s="548">
        <f>R16</f>
        <v>20</v>
      </c>
      <c r="G16" s="576">
        <v>20</v>
      </c>
      <c r="H16" s="577">
        <v>20</v>
      </c>
      <c r="I16" s="577">
        <v>20</v>
      </c>
      <c r="J16" s="578">
        <v>20</v>
      </c>
      <c r="K16" s="577">
        <v>20</v>
      </c>
      <c r="L16" s="577">
        <v>20</v>
      </c>
      <c r="M16" s="577">
        <v>20</v>
      </c>
      <c r="N16" s="578">
        <v>20</v>
      </c>
      <c r="O16" s="577">
        <v>20</v>
      </c>
      <c r="P16" s="577">
        <v>20</v>
      </c>
      <c r="Q16" s="577">
        <v>20</v>
      </c>
      <c r="R16" s="578">
        <v>20</v>
      </c>
    </row>
    <row r="17" spans="1:18" s="48" customFormat="1" ht="13.5" customHeight="1">
      <c r="B17" s="549" t="s">
        <v>36</v>
      </c>
      <c r="C17" s="550">
        <f>J17</f>
        <v>1645.8008940509726</v>
      </c>
      <c r="D17" s="550">
        <f>N17</f>
        <v>1603.254993094142</v>
      </c>
      <c r="E17" s="550">
        <f>R17</f>
        <v>1565.8987177747526</v>
      </c>
      <c r="G17" s="564">
        <f>G14-G15+G16</f>
        <v>1684</v>
      </c>
      <c r="H17" s="550">
        <f t="shared" ref="H17:R17" si="6">H14-H15+H16</f>
        <v>1670.9033760186262</v>
      </c>
      <c r="I17" s="550">
        <f t="shared" si="6"/>
        <v>1658.1771316747349</v>
      </c>
      <c r="J17" s="565">
        <f t="shared" si="6"/>
        <v>1645.8008940509726</v>
      </c>
      <c r="K17" s="550">
        <f t="shared" si="6"/>
        <v>1633.7559261708868</v>
      </c>
      <c r="L17" s="550">
        <f t="shared" si="6"/>
        <v>1623.328397495183</v>
      </c>
      <c r="M17" s="550">
        <f t="shared" si="6"/>
        <v>1613.1657958691667</v>
      </c>
      <c r="N17" s="565">
        <f t="shared" si="6"/>
        <v>1603.254993094142</v>
      </c>
      <c r="O17" s="550">
        <f t="shared" si="6"/>
        <v>1593.5838132101962</v>
      </c>
      <c r="P17" s="550">
        <f t="shared" si="6"/>
        <v>1584.1409425775237</v>
      </c>
      <c r="Q17" s="550">
        <f t="shared" si="6"/>
        <v>1574.9158503266012</v>
      </c>
      <c r="R17" s="565">
        <f t="shared" si="6"/>
        <v>1565.8987177747526</v>
      </c>
    </row>
    <row r="18" spans="1:18" s="41" customFormat="1" ht="13.5" customHeight="1">
      <c r="B18" s="56" t="s">
        <v>208</v>
      </c>
      <c r="C18" s="551">
        <f>AVERAGE(G18:J18)</f>
        <v>35.86</v>
      </c>
      <c r="D18" s="551">
        <f>AVERAGE(K18:N18)</f>
        <v>39.86</v>
      </c>
      <c r="E18" s="551">
        <f>AVERAGE(O18:R18)</f>
        <v>43.86</v>
      </c>
      <c r="G18" s="566">
        <f>Summary!E6</f>
        <v>34.36</v>
      </c>
      <c r="H18" s="551">
        <f>G18+1</f>
        <v>35.36</v>
      </c>
      <c r="I18" s="551">
        <f t="shared" ref="I18:R18" si="7">H18+1</f>
        <v>36.36</v>
      </c>
      <c r="J18" s="567">
        <f t="shared" si="7"/>
        <v>37.36</v>
      </c>
      <c r="K18" s="551">
        <f t="shared" si="7"/>
        <v>38.36</v>
      </c>
      <c r="L18" s="551">
        <f t="shared" si="7"/>
        <v>39.36</v>
      </c>
      <c r="M18" s="551">
        <f t="shared" si="7"/>
        <v>40.36</v>
      </c>
      <c r="N18" s="567">
        <f t="shared" si="7"/>
        <v>41.36</v>
      </c>
      <c r="O18" s="551">
        <f t="shared" si="7"/>
        <v>42.36</v>
      </c>
      <c r="P18" s="551">
        <f t="shared" si="7"/>
        <v>43.36</v>
      </c>
      <c r="Q18" s="551">
        <f t="shared" si="7"/>
        <v>44.36</v>
      </c>
      <c r="R18" s="567">
        <f t="shared" si="7"/>
        <v>45.36</v>
      </c>
    </row>
    <row r="19" spans="1:18" s="554" customFormat="1" ht="13.5" customHeight="1">
      <c r="B19" s="553" t="s">
        <v>203</v>
      </c>
      <c r="C19" s="758">
        <f>SUM(G19:J19)</f>
        <v>-1800</v>
      </c>
      <c r="D19" s="758">
        <f>SUM(K19:N19)</f>
        <v>-1600</v>
      </c>
      <c r="E19" s="758">
        <f>SUM(O19:R19)</f>
        <v>-1600</v>
      </c>
      <c r="G19" s="568">
        <v>-450</v>
      </c>
      <c r="H19" s="555">
        <f>G19</f>
        <v>-450</v>
      </c>
      <c r="I19" s="555">
        <f t="shared" ref="I19:R19" si="8">H19</f>
        <v>-450</v>
      </c>
      <c r="J19" s="569">
        <f t="shared" si="8"/>
        <v>-450</v>
      </c>
      <c r="K19" s="555">
        <v>-400</v>
      </c>
      <c r="L19" s="555">
        <f t="shared" si="8"/>
        <v>-400</v>
      </c>
      <c r="M19" s="555">
        <f t="shared" si="8"/>
        <v>-400</v>
      </c>
      <c r="N19" s="569">
        <f t="shared" si="8"/>
        <v>-400</v>
      </c>
      <c r="O19" s="555">
        <v>-400</v>
      </c>
      <c r="P19" s="555">
        <f t="shared" si="8"/>
        <v>-400</v>
      </c>
      <c r="Q19" s="555">
        <f t="shared" si="8"/>
        <v>-400</v>
      </c>
      <c r="R19" s="569">
        <f t="shared" si="8"/>
        <v>-400</v>
      </c>
    </row>
    <row r="20" spans="1:18" s="8" customFormat="1" ht="13.5" customHeight="1">
      <c r="B20" s="55" t="s">
        <v>204</v>
      </c>
      <c r="C20" s="758">
        <f>SUM(G20:J20)</f>
        <v>50.24407382911312</v>
      </c>
      <c r="D20" s="758">
        <f>SUM(K20:N20)</f>
        <v>40.172112960690733</v>
      </c>
      <c r="E20" s="758">
        <f>SUM(O20:R20)</f>
        <v>36.503437587118839</v>
      </c>
      <c r="G20" s="570">
        <f>-G19/G18</f>
        <v>13.096623981373691</v>
      </c>
      <c r="H20" s="547">
        <f t="shared" ref="H20:R20" si="9">-H19/H18</f>
        <v>12.726244343891404</v>
      </c>
      <c r="I20" s="547">
        <f t="shared" si="9"/>
        <v>12.376237623762377</v>
      </c>
      <c r="J20" s="571">
        <f t="shared" si="9"/>
        <v>12.044967880085654</v>
      </c>
      <c r="K20" s="547">
        <f t="shared" si="9"/>
        <v>10.427528675703858</v>
      </c>
      <c r="L20" s="547">
        <f t="shared" si="9"/>
        <v>10.16260162601626</v>
      </c>
      <c r="M20" s="547">
        <f t="shared" si="9"/>
        <v>9.9108027750247771</v>
      </c>
      <c r="N20" s="571">
        <f t="shared" si="9"/>
        <v>9.6711798839458414</v>
      </c>
      <c r="O20" s="547">
        <f t="shared" si="9"/>
        <v>9.4428706326723333</v>
      </c>
      <c r="P20" s="547">
        <f t="shared" si="9"/>
        <v>9.2250922509225095</v>
      </c>
      <c r="Q20" s="547">
        <f t="shared" si="9"/>
        <v>9.0171325518485119</v>
      </c>
      <c r="R20" s="571">
        <f t="shared" si="9"/>
        <v>8.8183421516754859</v>
      </c>
    </row>
    <row r="21" spans="1:18" s="8" customFormat="1" ht="13.5" customHeight="1">
      <c r="B21" s="55" t="s">
        <v>205</v>
      </c>
      <c r="C21" s="556">
        <v>0</v>
      </c>
      <c r="D21" s="556">
        <v>0</v>
      </c>
      <c r="E21" s="556">
        <v>0</v>
      </c>
      <c r="G21" s="572">
        <f>3115+G19</f>
        <v>2665</v>
      </c>
      <c r="H21" s="573">
        <f>G21+H19</f>
        <v>2215</v>
      </c>
      <c r="I21" s="573">
        <f t="shared" ref="I21:R21" si="10">H21+I19</f>
        <v>1765</v>
      </c>
      <c r="J21" s="574">
        <f t="shared" si="10"/>
        <v>1315</v>
      </c>
      <c r="K21" s="573">
        <f t="shared" si="10"/>
        <v>915</v>
      </c>
      <c r="L21" s="573">
        <f t="shared" si="10"/>
        <v>515</v>
      </c>
      <c r="M21" s="573">
        <f t="shared" si="10"/>
        <v>115</v>
      </c>
      <c r="N21" s="574">
        <f t="shared" si="10"/>
        <v>-285</v>
      </c>
      <c r="O21" s="573">
        <f t="shared" si="10"/>
        <v>-685</v>
      </c>
      <c r="P21" s="573">
        <f t="shared" si="10"/>
        <v>-1085</v>
      </c>
      <c r="Q21" s="573">
        <f t="shared" si="10"/>
        <v>-1485</v>
      </c>
      <c r="R21" s="574">
        <f t="shared" si="10"/>
        <v>-1885</v>
      </c>
    </row>
    <row r="22" spans="1:18" s="8" customFormat="1" ht="13.5" customHeight="1" thickBot="1">
      <c r="A22" s="55"/>
      <c r="B22" s="557"/>
      <c r="C22" s="558"/>
      <c r="D22" s="558"/>
      <c r="E22" s="558"/>
      <c r="G22" s="562"/>
      <c r="H22" s="548"/>
      <c r="I22" s="548"/>
      <c r="J22" s="563"/>
      <c r="K22" s="548"/>
      <c r="L22" s="548"/>
      <c r="M22" s="548"/>
      <c r="N22" s="563"/>
      <c r="O22" s="548"/>
      <c r="P22" s="548"/>
      <c r="Q22" s="548"/>
      <c r="R22" s="563"/>
    </row>
    <row r="23" spans="1:18" s="8" customFormat="1" ht="13.5" customHeight="1">
      <c r="B23" s="358"/>
      <c r="C23" s="16"/>
      <c r="D23" s="16"/>
      <c r="E23" s="16"/>
      <c r="G23" s="301"/>
      <c r="H23" s="302"/>
      <c r="I23" s="302"/>
      <c r="J23" s="303"/>
      <c r="K23" s="302"/>
      <c r="L23" s="302"/>
      <c r="M23" s="302"/>
      <c r="N23" s="303"/>
      <c r="O23" s="302"/>
      <c r="P23" s="302"/>
      <c r="Q23" s="302"/>
      <c r="R23" s="303"/>
    </row>
    <row r="24" spans="1:18" s="8" customFormat="1" ht="13.5" customHeight="1">
      <c r="B24" s="359" t="s">
        <v>88</v>
      </c>
      <c r="C24" s="55"/>
      <c r="D24" s="55"/>
      <c r="E24" s="55"/>
      <c r="G24" s="175"/>
      <c r="H24" s="55"/>
      <c r="I24" s="55"/>
      <c r="J24" s="180"/>
      <c r="K24" s="55"/>
      <c r="L24" s="55"/>
      <c r="M24" s="55"/>
      <c r="N24" s="180"/>
      <c r="O24" s="55"/>
      <c r="P24" s="55"/>
      <c r="Q24" s="55"/>
      <c r="R24" s="180"/>
    </row>
    <row r="25" spans="1:18" s="47" customFormat="1" ht="13.5" customHeight="1">
      <c r="B25" s="360" t="s">
        <v>36</v>
      </c>
      <c r="C25" s="60">
        <f>J25</f>
        <v>1645.8008940509726</v>
      </c>
      <c r="D25" s="60">
        <f>N25</f>
        <v>1603.254993094142</v>
      </c>
      <c r="E25" s="60">
        <f>R25</f>
        <v>1565.8987177747526</v>
      </c>
      <c r="G25" s="331">
        <f>G17</f>
        <v>1684</v>
      </c>
      <c r="H25" s="348">
        <f t="shared" ref="H25:R25" si="11">H17</f>
        <v>1670.9033760186262</v>
      </c>
      <c r="I25" s="348">
        <f t="shared" si="11"/>
        <v>1658.1771316747349</v>
      </c>
      <c r="J25" s="349">
        <f t="shared" si="11"/>
        <v>1645.8008940509726</v>
      </c>
      <c r="K25" s="348">
        <f t="shared" si="11"/>
        <v>1633.7559261708868</v>
      </c>
      <c r="L25" s="348">
        <f t="shared" si="11"/>
        <v>1623.328397495183</v>
      </c>
      <c r="M25" s="348">
        <f t="shared" si="11"/>
        <v>1613.1657958691667</v>
      </c>
      <c r="N25" s="349">
        <f t="shared" si="11"/>
        <v>1603.254993094142</v>
      </c>
      <c r="O25" s="348">
        <f t="shared" si="11"/>
        <v>1593.5838132101962</v>
      </c>
      <c r="P25" s="348">
        <f t="shared" si="11"/>
        <v>1584.1409425775237</v>
      </c>
      <c r="Q25" s="348">
        <f t="shared" si="11"/>
        <v>1574.9158503266012</v>
      </c>
      <c r="R25" s="349">
        <f t="shared" si="11"/>
        <v>1565.8987177747526</v>
      </c>
    </row>
    <row r="26" spans="1:18" s="8" customFormat="1" ht="13.5" customHeight="1">
      <c r="B26" s="361" t="s">
        <v>61</v>
      </c>
      <c r="C26" s="56">
        <f>SUM(G26:J26)</f>
        <v>0.6</v>
      </c>
      <c r="D26" s="56">
        <f>SUM(K26:N26)</f>
        <v>0.64</v>
      </c>
      <c r="E26" s="56">
        <f>SUM(O26:R26)</f>
        <v>0.68</v>
      </c>
      <c r="G26" s="545">
        <v>0.15</v>
      </c>
      <c r="H26" s="36">
        <f>G26</f>
        <v>0.15</v>
      </c>
      <c r="I26" s="36">
        <f t="shared" ref="I26:J26" si="12">H26</f>
        <v>0.15</v>
      </c>
      <c r="J26" s="181">
        <f t="shared" si="12"/>
        <v>0.15</v>
      </c>
      <c r="K26" s="44">
        <v>0.16</v>
      </c>
      <c r="L26" s="36">
        <f t="shared" ref="L26:R26" si="13">K26</f>
        <v>0.16</v>
      </c>
      <c r="M26" s="36">
        <f t="shared" si="13"/>
        <v>0.16</v>
      </c>
      <c r="N26" s="181">
        <f t="shared" si="13"/>
        <v>0.16</v>
      </c>
      <c r="O26" s="44">
        <v>0.17</v>
      </c>
      <c r="P26" s="36">
        <f t="shared" si="13"/>
        <v>0.17</v>
      </c>
      <c r="Q26" s="36">
        <f t="shared" si="13"/>
        <v>0.17</v>
      </c>
      <c r="R26" s="181">
        <f t="shared" si="13"/>
        <v>0.17</v>
      </c>
    </row>
    <row r="27" spans="1:18" s="8" customFormat="1" ht="13.5" customHeight="1">
      <c r="B27" s="362" t="s">
        <v>62</v>
      </c>
      <c r="C27" s="73">
        <f>SUM(G27:J27)</f>
        <v>-998.83221026165006</v>
      </c>
      <c r="D27" s="73">
        <f>SUM(K27:N27)</f>
        <v>-1035.7608180207008</v>
      </c>
      <c r="E27" s="73">
        <f>SUM(O27:R27)</f>
        <v>-1074.1516850611426</v>
      </c>
      <c r="G27" s="176">
        <f>-G26*G17</f>
        <v>-252.6</v>
      </c>
      <c r="H27" s="62">
        <f t="shared" ref="H27:R27" si="14">-H26*H17</f>
        <v>-250.63550640279391</v>
      </c>
      <c r="I27" s="62">
        <f t="shared" si="14"/>
        <v>-248.72656975121023</v>
      </c>
      <c r="J27" s="182">
        <f t="shared" si="14"/>
        <v>-246.87013410764587</v>
      </c>
      <c r="K27" s="62">
        <f t="shared" si="14"/>
        <v>-261.4009481873419</v>
      </c>
      <c r="L27" s="62">
        <f t="shared" si="14"/>
        <v>-259.7325435992293</v>
      </c>
      <c r="M27" s="62">
        <f t="shared" si="14"/>
        <v>-258.1065273390667</v>
      </c>
      <c r="N27" s="182">
        <f t="shared" si="14"/>
        <v>-256.52079889506274</v>
      </c>
      <c r="O27" s="62">
        <f t="shared" si="14"/>
        <v>-270.90924824573341</v>
      </c>
      <c r="P27" s="62">
        <f t="shared" si="14"/>
        <v>-269.30396023817906</v>
      </c>
      <c r="Q27" s="62">
        <f t="shared" si="14"/>
        <v>-267.73569455552223</v>
      </c>
      <c r="R27" s="182">
        <f t="shared" si="14"/>
        <v>-266.20278202170795</v>
      </c>
    </row>
    <row r="28" spans="1:18" s="46" customFormat="1" ht="13.5" customHeight="1">
      <c r="B28" s="363" t="s">
        <v>0</v>
      </c>
      <c r="C28" s="58">
        <f>C8</f>
        <v>2596.02772</v>
      </c>
      <c r="D28" s="58">
        <f>D8</f>
        <v>2752.8900728079998</v>
      </c>
      <c r="E28" s="58">
        <f>E8</f>
        <v>2919.0160543405709</v>
      </c>
      <c r="G28" s="300">
        <f>G8</f>
        <v>583.64264000000003</v>
      </c>
      <c r="H28" s="58">
        <f t="shared" ref="H28:R28" si="15">H8</f>
        <v>623.35784000000001</v>
      </c>
      <c r="I28" s="58">
        <f t="shared" si="15"/>
        <v>613.46875999999997</v>
      </c>
      <c r="J28" s="183">
        <f t="shared" si="15"/>
        <v>775.55848000000003</v>
      </c>
      <c r="K28" s="58">
        <f t="shared" si="15"/>
        <v>608.97214736799981</v>
      </c>
      <c r="L28" s="58">
        <f t="shared" si="15"/>
        <v>660.92230168799983</v>
      </c>
      <c r="M28" s="58">
        <f t="shared" si="15"/>
        <v>655.79396267899972</v>
      </c>
      <c r="N28" s="183">
        <f t="shared" si="15"/>
        <v>827.20166107299997</v>
      </c>
      <c r="O28" s="58">
        <f t="shared" si="15"/>
        <v>649.27658387325141</v>
      </c>
      <c r="P28" s="58">
        <f t="shared" si="15"/>
        <v>700.38516717269488</v>
      </c>
      <c r="Q28" s="58">
        <f t="shared" si="15"/>
        <v>695.08881612965524</v>
      </c>
      <c r="R28" s="183">
        <f t="shared" si="15"/>
        <v>874.26548716496904</v>
      </c>
    </row>
    <row r="29" spans="1:18" s="34" customFormat="1" ht="13.5" customHeight="1">
      <c r="B29" s="364" t="s">
        <v>63</v>
      </c>
      <c r="C29" s="72">
        <f>-C27/C28</f>
        <v>0.38475406197189993</v>
      </c>
      <c r="D29" s="72">
        <f>-D27/D28</f>
        <v>0.37624488832719905</v>
      </c>
      <c r="E29" s="72">
        <f>-E27/E28</f>
        <v>0.36798416489141306</v>
      </c>
      <c r="F29" s="71"/>
      <c r="G29" s="177">
        <f>-G27/G28</f>
        <v>0.43279908404224882</v>
      </c>
      <c r="H29" s="72">
        <f t="shared" ref="H29:R29" si="16">-H27/H28</f>
        <v>0.40207323999132488</v>
      </c>
      <c r="I29" s="72">
        <f t="shared" si="16"/>
        <v>0.40544292712021757</v>
      </c>
      <c r="J29" s="184">
        <f t="shared" si="16"/>
        <v>0.31831272621459294</v>
      </c>
      <c r="K29" s="72">
        <f t="shared" si="16"/>
        <v>0.42924943171395685</v>
      </c>
      <c r="L29" s="72">
        <f t="shared" si="16"/>
        <v>0.39298498921260594</v>
      </c>
      <c r="M29" s="72">
        <f t="shared" si="16"/>
        <v>0.39357868786206801</v>
      </c>
      <c r="N29" s="184">
        <f t="shared" si="16"/>
        <v>0.3101067260458813</v>
      </c>
      <c r="O29" s="72">
        <f t="shared" si="16"/>
        <v>0.41724783393485043</v>
      </c>
      <c r="P29" s="72">
        <f t="shared" si="16"/>
        <v>0.38450837176535524</v>
      </c>
      <c r="Q29" s="72">
        <f t="shared" si="16"/>
        <v>0.38518199162850775</v>
      </c>
      <c r="R29" s="184">
        <f t="shared" si="16"/>
        <v>0.30448735073019867</v>
      </c>
    </row>
    <row r="30" spans="1:18" s="34" customFormat="1" ht="13.5" customHeight="1">
      <c r="B30" s="364" t="s">
        <v>129</v>
      </c>
      <c r="C30" s="72">
        <v>7.0999999999999994E-2</v>
      </c>
      <c r="D30" s="72">
        <f>D26/C26-1</f>
        <v>6.6666666666666652E-2</v>
      </c>
      <c r="E30" s="72">
        <f>E26/D26-1</f>
        <v>6.25E-2</v>
      </c>
      <c r="F30" s="71"/>
      <c r="G30" s="193">
        <v>7.0999999999999994E-2</v>
      </c>
      <c r="H30" s="185">
        <f>G30</f>
        <v>7.0999999999999994E-2</v>
      </c>
      <c r="I30" s="185">
        <f>H30</f>
        <v>7.0999999999999994E-2</v>
      </c>
      <c r="J30" s="186">
        <v>7.0999999999999994E-2</v>
      </c>
      <c r="K30" s="185">
        <f>K26/G26-1</f>
        <v>6.6666666666666652E-2</v>
      </c>
      <c r="L30" s="185">
        <f t="shared" ref="L30:R30" si="17">L26/H26-1</f>
        <v>6.6666666666666652E-2</v>
      </c>
      <c r="M30" s="185">
        <f t="shared" si="17"/>
        <v>6.6666666666666652E-2</v>
      </c>
      <c r="N30" s="186">
        <f t="shared" si="17"/>
        <v>6.6666666666666652E-2</v>
      </c>
      <c r="O30" s="185">
        <f t="shared" si="17"/>
        <v>6.25E-2</v>
      </c>
      <c r="P30" s="185">
        <f t="shared" si="17"/>
        <v>6.25E-2</v>
      </c>
      <c r="Q30" s="185">
        <f t="shared" si="17"/>
        <v>6.25E-2</v>
      </c>
      <c r="R30" s="186">
        <f t="shared" si="17"/>
        <v>6.25E-2</v>
      </c>
    </row>
    <row r="31" spans="1:18" s="8" customFormat="1" ht="13.5" customHeight="1"/>
    <row r="32" spans="1:18" s="8" customFormat="1" ht="13.5" customHeight="1"/>
    <row r="33" spans="6:6" s="8" customFormat="1" ht="13.5" customHeight="1"/>
    <row r="34" spans="6:6" s="8" customFormat="1" ht="13.5" customHeight="1"/>
    <row r="35" spans="6:6" s="8" customFormat="1" ht="13.5" customHeight="1"/>
    <row r="36" spans="6:6" s="8" customFormat="1" ht="13.5" customHeight="1"/>
    <row r="37" spans="6:6" s="8" customFormat="1" ht="13.5" customHeight="1"/>
    <row r="38" spans="6:6" ht="13.5" customHeight="1">
      <c r="F38" s="2"/>
    </row>
    <row r="39" spans="6:6" ht="13.5" customHeight="1">
      <c r="F39" s="2"/>
    </row>
    <row r="40" spans="6:6" ht="13.5" customHeight="1">
      <c r="F40" s="2"/>
    </row>
    <row r="41" spans="6:6" ht="13.5" customHeight="1">
      <c r="F41" s="2"/>
    </row>
  </sheetData>
  <pageMargins left="0.7" right="0.7" top="0.75" bottom="0.75" header="0.3" footer="0.3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9">
    <pageSetUpPr fitToPage="1"/>
  </sheetPr>
  <dimension ref="B1:BH21"/>
  <sheetViews>
    <sheetView showGridLines="0" view="pageBreakPreview" zoomScaleNormal="100" zoomScaleSheetLayoutView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defaultRowHeight="13.5" customHeight="1"/>
  <cols>
    <col min="1" max="1" width="5.83203125" style="2" customWidth="1"/>
    <col min="2" max="2" width="47" style="2" customWidth="1"/>
    <col min="3" max="5" width="11" style="2" customWidth="1"/>
    <col min="6" max="6" width="9.83203125" customWidth="1"/>
    <col min="7" max="12" width="9.83203125" style="2" customWidth="1"/>
    <col min="13" max="42" width="9.83203125" style="8" customWidth="1"/>
    <col min="43" max="60" width="9.33203125" style="8"/>
    <col min="61" max="16384" width="9.33203125" style="2"/>
  </cols>
  <sheetData>
    <row r="1" spans="2:19" ht="13.5" customHeight="1">
      <c r="G1" s="30">
        <v>41851</v>
      </c>
      <c r="H1" s="30">
        <v>41943</v>
      </c>
      <c r="I1" s="30">
        <v>42035</v>
      </c>
      <c r="J1" s="30">
        <v>42124</v>
      </c>
      <c r="K1" s="30">
        <v>42216</v>
      </c>
      <c r="L1" s="30">
        <v>42308</v>
      </c>
      <c r="M1" s="30">
        <v>42400</v>
      </c>
      <c r="N1" s="30">
        <v>42490</v>
      </c>
      <c r="O1" s="30">
        <v>42582</v>
      </c>
      <c r="P1" s="30">
        <v>42674</v>
      </c>
      <c r="Q1" s="30">
        <v>42766</v>
      </c>
      <c r="R1" s="30">
        <v>42855</v>
      </c>
    </row>
    <row r="2" spans="2:19" ht="13.5" customHeight="1">
      <c r="B2" s="219" t="str">
        <f>Equity!B2</f>
        <v>Mondelez International, Inc. (MDLZ)</v>
      </c>
    </row>
    <row r="3" spans="2:19" ht="13.5" customHeight="1">
      <c r="B3" s="2" t="s">
        <v>22</v>
      </c>
    </row>
    <row r="4" spans="2:19" ht="13.5" customHeight="1">
      <c r="B4" s="2" t="s">
        <v>8</v>
      </c>
    </row>
    <row r="5" spans="2:19" s="8" customFormat="1" ht="13.5" customHeight="1">
      <c r="C5" s="5" t="s">
        <v>11</v>
      </c>
      <c r="D5" s="4"/>
      <c r="E5" s="4"/>
      <c r="F5" s="14"/>
      <c r="G5" s="29">
        <v>2015</v>
      </c>
      <c r="H5" s="27"/>
      <c r="I5" s="27"/>
      <c r="J5" s="28"/>
      <c r="K5" s="29">
        <v>2016</v>
      </c>
      <c r="L5" s="27"/>
      <c r="M5" s="27"/>
      <c r="N5" s="28"/>
      <c r="O5" s="29">
        <v>2017</v>
      </c>
      <c r="P5" s="27"/>
      <c r="Q5" s="27"/>
      <c r="R5" s="28"/>
    </row>
    <row r="6" spans="2:19" s="8" customFormat="1" ht="13.5" customHeight="1">
      <c r="B6" s="65"/>
      <c r="C6" s="12">
        <v>2015</v>
      </c>
      <c r="D6" s="12">
        <f>C6+1</f>
        <v>2016</v>
      </c>
      <c r="E6" s="12">
        <f t="shared" ref="E6" si="0">D6+1</f>
        <v>2017</v>
      </c>
      <c r="F6" s="14"/>
      <c r="G6" s="320">
        <v>1</v>
      </c>
      <c r="H6" s="320">
        <v>2</v>
      </c>
      <c r="I6" s="320">
        <v>3</v>
      </c>
      <c r="J6" s="320">
        <v>4</v>
      </c>
      <c r="K6" s="320">
        <v>1</v>
      </c>
      <c r="L6" s="320">
        <v>2</v>
      </c>
      <c r="M6" s="320">
        <v>3</v>
      </c>
      <c r="N6" s="320">
        <v>4</v>
      </c>
      <c r="O6" s="320">
        <v>1</v>
      </c>
      <c r="P6" s="320">
        <v>2</v>
      </c>
      <c r="Q6" s="320">
        <v>3</v>
      </c>
      <c r="R6" s="320">
        <v>4</v>
      </c>
    </row>
    <row r="7" spans="2:19" s="86" customFormat="1" ht="13.5" customHeight="1">
      <c r="B7" s="78" t="s">
        <v>65</v>
      </c>
      <c r="C7" s="332">
        <f>CF!F21+CF!F27</f>
        <v>1920</v>
      </c>
      <c r="D7" s="332">
        <f>CF!G21+CF!G27</f>
        <v>3039.4703236735299</v>
      </c>
      <c r="E7" s="332">
        <f>CF!H21+CF!H27</f>
        <v>2462.9057919088336</v>
      </c>
      <c r="F7" s="112"/>
      <c r="G7" s="526">
        <f>CF!AA21+CF!AA27</f>
        <v>-296.75534808833464</v>
      </c>
      <c r="H7" s="972">
        <f>CF!AB21+CF!AB27</f>
        <v>1019.9861635839175</v>
      </c>
      <c r="I7" s="972">
        <f>CF!AC21+CF!AC27</f>
        <v>412.45800341624442</v>
      </c>
      <c r="J7" s="342">
        <f>CF!AD21+CF!AD27</f>
        <v>1903.7815047617028</v>
      </c>
      <c r="K7" s="972">
        <f>CF!AE21+CF!AE27</f>
        <v>-719.87519407207628</v>
      </c>
      <c r="L7" s="972">
        <f>CF!AF21+CF!AF27</f>
        <v>916.54249164441899</v>
      </c>
      <c r="M7" s="972">
        <f>CF!AG21+CF!AG27</f>
        <v>353.48674916315775</v>
      </c>
      <c r="N7" s="342">
        <f>CF!AH21+CF!AH27</f>
        <v>1912.7517451733331</v>
      </c>
      <c r="O7" s="972">
        <f>CF!AI21+CF!AI27</f>
        <v>-847.12768144958568</v>
      </c>
      <c r="P7" s="972">
        <f>CF!AJ21+CF!AJ27</f>
        <v>892.455078882321</v>
      </c>
      <c r="Q7" s="972">
        <f>CF!AK21+CF!AK27</f>
        <v>299.69990096613418</v>
      </c>
      <c r="R7" s="342">
        <f>CF!AL21+CF!AL27</f>
        <v>1903.3752741963019</v>
      </c>
      <c r="S7" s="85"/>
    </row>
    <row r="8" spans="2:19" s="8" customFormat="1" ht="13.5" customHeight="1">
      <c r="B8" s="77" t="s">
        <v>66</v>
      </c>
      <c r="C8" s="62">
        <f>SUM(G8:J8)</f>
        <v>-1800</v>
      </c>
      <c r="D8" s="62">
        <f>SUM(K8:N8)</f>
        <v>-1600</v>
      </c>
      <c r="E8" s="62">
        <f>SUM(O8:R8)</f>
        <v>-1600</v>
      </c>
      <c r="F8" s="14"/>
      <c r="G8" s="602">
        <f>Equity!G9</f>
        <v>-450</v>
      </c>
      <c r="H8" s="601">
        <f>Equity!H9</f>
        <v>-450</v>
      </c>
      <c r="I8" s="601">
        <f>Equity!I9</f>
        <v>-450</v>
      </c>
      <c r="J8" s="759">
        <f>Equity!J9</f>
        <v>-450</v>
      </c>
      <c r="K8" s="601">
        <f>Equity!K9</f>
        <v>-400</v>
      </c>
      <c r="L8" s="601">
        <f>Equity!L9</f>
        <v>-400</v>
      </c>
      <c r="M8" s="601">
        <f>Equity!M9</f>
        <v>-400</v>
      </c>
      <c r="N8" s="759">
        <f>Equity!N9</f>
        <v>-400</v>
      </c>
      <c r="O8" s="601">
        <f>Equity!O9</f>
        <v>-400</v>
      </c>
      <c r="P8" s="601">
        <f>Equity!P9</f>
        <v>-400</v>
      </c>
      <c r="Q8" s="601">
        <f>Equity!Q9</f>
        <v>-400</v>
      </c>
      <c r="R8" s="759">
        <f>Equity!R9</f>
        <v>-400</v>
      </c>
      <c r="S8" s="55"/>
    </row>
    <row r="9" spans="2:19" s="8" customFormat="1" ht="13.5" customHeight="1">
      <c r="B9" s="77" t="s">
        <v>67</v>
      </c>
      <c r="C9" s="62">
        <f>Equity!C10</f>
        <v>-998.83221026165006</v>
      </c>
      <c r="D9" s="62">
        <f>Equity!D10</f>
        <v>-1035.7608180207008</v>
      </c>
      <c r="E9" s="62">
        <f>Equity!E10</f>
        <v>-1074.1516850611426</v>
      </c>
      <c r="F9" s="14"/>
      <c r="G9" s="602">
        <f>Equity!G10</f>
        <v>-252.6</v>
      </c>
      <c r="H9" s="601">
        <f>Equity!H10</f>
        <v>-250.63550640279391</v>
      </c>
      <c r="I9" s="127">
        <f>Equity!I10</f>
        <v>-248.72656975121023</v>
      </c>
      <c r="J9" s="196">
        <f>Equity!J10</f>
        <v>-246.87013410764587</v>
      </c>
      <c r="K9" s="127">
        <f>Equity!K10</f>
        <v>-261.4009481873419</v>
      </c>
      <c r="L9" s="127">
        <f>Equity!L10</f>
        <v>-259.7325435992293</v>
      </c>
      <c r="M9" s="127">
        <f>Equity!M10</f>
        <v>-258.1065273390667</v>
      </c>
      <c r="N9" s="196">
        <f>Equity!N10</f>
        <v>-256.52079889506274</v>
      </c>
      <c r="O9" s="127">
        <f>Equity!O10</f>
        <v>-270.90924824573341</v>
      </c>
      <c r="P9" s="127">
        <f>Equity!P10</f>
        <v>-269.30396023817906</v>
      </c>
      <c r="Q9" s="127">
        <f>Equity!Q10</f>
        <v>-267.73569455552223</v>
      </c>
      <c r="R9" s="196">
        <f>Equity!R10</f>
        <v>-266.20278202170795</v>
      </c>
      <c r="S9" s="55"/>
    </row>
    <row r="10" spans="2:19" s="8" customFormat="1" ht="13.5" customHeight="1">
      <c r="B10" s="77" t="s">
        <v>68</v>
      </c>
      <c r="C10" s="82" t="s">
        <v>55</v>
      </c>
      <c r="D10" s="82" t="s">
        <v>55</v>
      </c>
      <c r="E10" s="82" t="s">
        <v>55</v>
      </c>
      <c r="F10" s="14"/>
      <c r="G10" s="602">
        <f>CF!AA39</f>
        <v>1631</v>
      </c>
      <c r="H10" s="601">
        <f>CF!AB39</f>
        <v>1000</v>
      </c>
      <c r="I10" s="127">
        <f>CF!AC39</f>
        <v>1000</v>
      </c>
      <c r="J10" s="196">
        <f>CF!AD39</f>
        <v>1000</v>
      </c>
      <c r="K10" s="127">
        <f>CF!AE39</f>
        <v>1000</v>
      </c>
      <c r="L10" s="127">
        <f>CF!AF39</f>
        <v>1000</v>
      </c>
      <c r="M10" s="127">
        <f>CF!AG39</f>
        <v>1000</v>
      </c>
      <c r="N10" s="196">
        <f>CF!AH39</f>
        <v>1000</v>
      </c>
      <c r="O10" s="127">
        <f>CF!AI39</f>
        <v>1000</v>
      </c>
      <c r="P10" s="127">
        <f>CF!AJ39</f>
        <v>1000</v>
      </c>
      <c r="Q10" s="127">
        <f>CF!AK39</f>
        <v>1000</v>
      </c>
      <c r="R10" s="196">
        <f>CF!AL39</f>
        <v>1000</v>
      </c>
      <c r="S10" s="55"/>
    </row>
    <row r="11" spans="2:19" s="8" customFormat="1" ht="13.5" customHeight="1">
      <c r="B11" s="77" t="s">
        <v>69</v>
      </c>
      <c r="C11" s="82" t="s">
        <v>55</v>
      </c>
      <c r="D11" s="82" t="s">
        <v>55</v>
      </c>
      <c r="E11" s="82" t="s">
        <v>55</v>
      </c>
      <c r="F11" s="14"/>
      <c r="G11" s="174">
        <v>-1000</v>
      </c>
      <c r="H11" s="7">
        <v>-1000</v>
      </c>
      <c r="I11" s="7">
        <v>-1000</v>
      </c>
      <c r="J11" s="760">
        <v>-1000</v>
      </c>
      <c r="K11" s="7">
        <v>-1000</v>
      </c>
      <c r="L11" s="7">
        <v>-1000</v>
      </c>
      <c r="M11" s="7">
        <v>-1000</v>
      </c>
      <c r="N11" s="760">
        <v>-1000</v>
      </c>
      <c r="O11" s="7">
        <v>-1000</v>
      </c>
      <c r="P11" s="7">
        <v>-1000</v>
      </c>
      <c r="Q11" s="7">
        <v>-1000</v>
      </c>
      <c r="R11" s="760">
        <v>-1000</v>
      </c>
      <c r="S11" s="55"/>
    </row>
    <row r="12" spans="2:19" s="8" customFormat="1" ht="13.5" customHeight="1">
      <c r="B12" s="78" t="s">
        <v>70</v>
      </c>
      <c r="C12" s="82" t="s">
        <v>55</v>
      </c>
      <c r="D12" s="82" t="s">
        <v>55</v>
      </c>
      <c r="E12" s="82" t="s">
        <v>55</v>
      </c>
      <c r="F12" s="14"/>
      <c r="G12" s="194">
        <f>SUM(G7:G11)</f>
        <v>-368.35534808833461</v>
      </c>
      <c r="H12" s="59">
        <f t="shared" ref="H12:R12" si="1">SUM(H7:H11)</f>
        <v>319.35065718112355</v>
      </c>
      <c r="I12" s="62">
        <f t="shared" si="1"/>
        <v>-286.26856633496584</v>
      </c>
      <c r="J12" s="182">
        <f t="shared" si="1"/>
        <v>1206.911370654057</v>
      </c>
      <c r="K12" s="62">
        <f t="shared" si="1"/>
        <v>-1381.2761422594181</v>
      </c>
      <c r="L12" s="62">
        <f t="shared" si="1"/>
        <v>256.80994804518969</v>
      </c>
      <c r="M12" s="62">
        <f t="shared" si="1"/>
        <v>-304.619778175909</v>
      </c>
      <c r="N12" s="182">
        <f t="shared" si="1"/>
        <v>1256.2309462782705</v>
      </c>
      <c r="O12" s="62">
        <f t="shared" si="1"/>
        <v>-1518.036929695319</v>
      </c>
      <c r="P12" s="62">
        <f t="shared" si="1"/>
        <v>223.15111864414189</v>
      </c>
      <c r="Q12" s="62">
        <f t="shared" si="1"/>
        <v>-368.03579358938805</v>
      </c>
      <c r="R12" s="182">
        <f t="shared" si="1"/>
        <v>1237.172492174594</v>
      </c>
      <c r="S12" s="55"/>
    </row>
    <row r="13" spans="2:19" s="8" customFormat="1" ht="13.5" customHeight="1">
      <c r="B13" s="79" t="s">
        <v>76</v>
      </c>
      <c r="C13" s="82" t="s">
        <v>55</v>
      </c>
      <c r="D13" s="82" t="s">
        <v>55</v>
      </c>
      <c r="E13" s="82" t="s">
        <v>55</v>
      </c>
      <c r="F13" s="14"/>
      <c r="G13" s="761">
        <f t="shared" ref="G13:H13" si="2">-MAX(0,MIN(G16,SUM(G12),F19))</f>
        <v>0</v>
      </c>
      <c r="H13" s="333">
        <f t="shared" si="2"/>
        <v>-319.35065718112355</v>
      </c>
      <c r="I13" s="333">
        <f t="shared" ref="I13" si="3">-MAX(0,MIN(I16,SUM(I12),H19))</f>
        <v>0</v>
      </c>
      <c r="J13" s="334">
        <f t="shared" ref="J13" si="4">-MAX(0,MIN(J16,SUM(J12),I19))</f>
        <v>-1206.911370654057</v>
      </c>
      <c r="K13" s="333">
        <f t="shared" ref="K13" si="5">-MAX(0,MIN(K16,SUM(K12),J19))</f>
        <v>0</v>
      </c>
      <c r="L13" s="333">
        <f t="shared" ref="L13" si="6">-MAX(0,MIN(L16,SUM(L12),K19))</f>
        <v>-256.80994804518969</v>
      </c>
      <c r="M13" s="333">
        <f t="shared" ref="M13" si="7">-MAX(0,MIN(M16,SUM(M12),L19))</f>
        <v>0</v>
      </c>
      <c r="N13" s="334">
        <f t="shared" ref="N13" si="8">-MAX(0,MIN(N16,SUM(N12),M19))</f>
        <v>-1256.2309462782705</v>
      </c>
      <c r="O13" s="333">
        <f t="shared" ref="O13" si="9">-MAX(0,MIN(O16,SUM(O12),N19))</f>
        <v>0</v>
      </c>
      <c r="P13" s="333">
        <f t="shared" ref="P13" si="10">-MAX(0,MIN(P16,SUM(P12),O19))</f>
        <v>-223.15111864414189</v>
      </c>
      <c r="Q13" s="333">
        <f t="shared" ref="Q13" si="11">-MAX(0,MIN(Q16,SUM(Q12),P19))</f>
        <v>0</v>
      </c>
      <c r="R13" s="334">
        <f t="shared" ref="R13" si="12">-MAX(0,MIN(R16,SUM(R12),Q19))</f>
        <v>-1237.172492174594</v>
      </c>
      <c r="S13" s="55"/>
    </row>
    <row r="14" spans="2:19" s="8" customFormat="1" ht="13.5" customHeight="1">
      <c r="B14" s="78"/>
      <c r="C14" s="59"/>
      <c r="D14" s="59"/>
      <c r="E14" s="59"/>
      <c r="F14" s="14"/>
      <c r="G14" s="194"/>
      <c r="H14" s="59"/>
      <c r="I14" s="59"/>
      <c r="J14" s="197"/>
      <c r="K14" s="59"/>
      <c r="L14" s="59"/>
      <c r="M14" s="59"/>
      <c r="N14" s="197"/>
      <c r="O14" s="59"/>
      <c r="P14" s="59"/>
      <c r="Q14" s="59"/>
      <c r="R14" s="197"/>
      <c r="S14" s="55"/>
    </row>
    <row r="15" spans="2:19" s="8" customFormat="1" ht="13.5" customHeight="1">
      <c r="B15" s="80" t="s">
        <v>89</v>
      </c>
      <c r="C15" s="10"/>
      <c r="D15" s="10"/>
      <c r="E15" s="10"/>
      <c r="F15" s="14"/>
      <c r="G15" s="195"/>
      <c r="H15" s="10"/>
      <c r="I15" s="10"/>
      <c r="J15" s="198"/>
      <c r="K15" s="10"/>
      <c r="L15" s="10"/>
      <c r="M15" s="10"/>
      <c r="N15" s="198"/>
      <c r="O15" s="10"/>
      <c r="P15" s="10"/>
      <c r="Q15" s="10"/>
      <c r="R15" s="198"/>
      <c r="S15" s="55"/>
    </row>
    <row r="16" spans="2:19" s="123" customFormat="1" ht="13.5" customHeight="1">
      <c r="B16" s="130" t="s">
        <v>71</v>
      </c>
      <c r="C16" s="131" t="s">
        <v>55</v>
      </c>
      <c r="D16" s="131">
        <f>K16</f>
        <v>752.71254376924344</v>
      </c>
      <c r="E16" s="131">
        <f>O16</f>
        <v>925.5675698811101</v>
      </c>
      <c r="F16" s="122"/>
      <c r="G16" s="176">
        <f>BS!Z23</f>
        <v>1305</v>
      </c>
      <c r="H16" s="62">
        <f>G19</f>
        <v>1673.3553480883347</v>
      </c>
      <c r="I16" s="62">
        <f>H19</f>
        <v>1673.3553480883347</v>
      </c>
      <c r="J16" s="182">
        <f t="shared" ref="J16:R16" si="13">I19</f>
        <v>1959.6239144233004</v>
      </c>
      <c r="K16" s="62">
        <f t="shared" si="13"/>
        <v>752.71254376924344</v>
      </c>
      <c r="L16" s="62">
        <f t="shared" si="13"/>
        <v>2133.9886860286615</v>
      </c>
      <c r="M16" s="62">
        <f t="shared" si="13"/>
        <v>1877.1787379834718</v>
      </c>
      <c r="N16" s="182">
        <f t="shared" si="13"/>
        <v>2181.7985161593806</v>
      </c>
      <c r="O16" s="62">
        <f t="shared" si="13"/>
        <v>925.5675698811101</v>
      </c>
      <c r="P16" s="62">
        <f t="shared" si="13"/>
        <v>2443.6044995764291</v>
      </c>
      <c r="Q16" s="62">
        <f t="shared" si="13"/>
        <v>2220.4533809322875</v>
      </c>
      <c r="R16" s="182">
        <f t="shared" si="13"/>
        <v>2588.4891745216755</v>
      </c>
      <c r="S16" s="62"/>
    </row>
    <row r="17" spans="2:19" s="123" customFormat="1" ht="13.5" customHeight="1">
      <c r="B17" s="130" t="s">
        <v>74</v>
      </c>
      <c r="C17" s="131" t="s">
        <v>55</v>
      </c>
      <c r="D17" s="131">
        <f>SUM(K17:N17)</f>
        <v>1685.8959204353271</v>
      </c>
      <c r="E17" s="131">
        <f>SUM(O17:R17)</f>
        <v>1886.0727232847071</v>
      </c>
      <c r="F17" s="122"/>
      <c r="G17" s="176">
        <f t="shared" ref="G17:H17" si="14">MIN(MAX(0,-G12),G20-G16)</f>
        <v>368.35534808833461</v>
      </c>
      <c r="H17" s="62">
        <f t="shared" si="14"/>
        <v>0</v>
      </c>
      <c r="I17" s="62">
        <f t="shared" ref="I17:R17" si="15">MIN(MAX(0,-I12),I20-I16)</f>
        <v>286.26856633496584</v>
      </c>
      <c r="J17" s="182">
        <f t="shared" si="15"/>
        <v>0</v>
      </c>
      <c r="K17" s="62">
        <f t="shared" si="15"/>
        <v>1381.2761422594181</v>
      </c>
      <c r="L17" s="62">
        <f t="shared" si="15"/>
        <v>0</v>
      </c>
      <c r="M17" s="62">
        <f t="shared" si="15"/>
        <v>304.619778175909</v>
      </c>
      <c r="N17" s="182">
        <f t="shared" si="15"/>
        <v>0</v>
      </c>
      <c r="O17" s="62">
        <f t="shared" si="15"/>
        <v>1518.036929695319</v>
      </c>
      <c r="P17" s="62">
        <f t="shared" si="15"/>
        <v>0</v>
      </c>
      <c r="Q17" s="62">
        <f t="shared" si="15"/>
        <v>368.03579358938805</v>
      </c>
      <c r="R17" s="182">
        <f t="shared" si="15"/>
        <v>0</v>
      </c>
      <c r="S17" s="62"/>
    </row>
    <row r="18" spans="2:19" s="8" customFormat="1" ht="13.5" customHeight="1">
      <c r="B18" s="81" t="s">
        <v>75</v>
      </c>
      <c r="C18" s="82" t="s">
        <v>55</v>
      </c>
      <c r="D18" s="82">
        <f>SUM(K18:N18)</f>
        <v>-1513.0408943234602</v>
      </c>
      <c r="E18" s="82">
        <f>SUM(O18:R18)</f>
        <v>-1460.3236108187359</v>
      </c>
      <c r="F18" s="14"/>
      <c r="G18" s="176">
        <f t="shared" ref="G18:H18" si="16">G13</f>
        <v>0</v>
      </c>
      <c r="H18" s="62">
        <f t="shared" si="16"/>
        <v>-319.35065718112355</v>
      </c>
      <c r="I18" s="62">
        <f t="shared" ref="I18:R18" si="17">I13</f>
        <v>0</v>
      </c>
      <c r="J18" s="182">
        <f t="shared" si="17"/>
        <v>-1206.911370654057</v>
      </c>
      <c r="K18" s="62">
        <f t="shared" si="17"/>
        <v>0</v>
      </c>
      <c r="L18" s="62">
        <f t="shared" si="17"/>
        <v>-256.80994804518969</v>
      </c>
      <c r="M18" s="62">
        <f t="shared" si="17"/>
        <v>0</v>
      </c>
      <c r="N18" s="182">
        <f t="shared" si="17"/>
        <v>-1256.2309462782705</v>
      </c>
      <c r="O18" s="62">
        <f t="shared" si="17"/>
        <v>0</v>
      </c>
      <c r="P18" s="62">
        <f t="shared" si="17"/>
        <v>-223.15111864414189</v>
      </c>
      <c r="Q18" s="62">
        <f t="shared" si="17"/>
        <v>0</v>
      </c>
      <c r="R18" s="182">
        <f t="shared" si="17"/>
        <v>-1237.172492174594</v>
      </c>
      <c r="S18" s="55"/>
    </row>
    <row r="19" spans="2:19" s="123" customFormat="1" ht="13.5" customHeight="1">
      <c r="B19" s="130" t="s">
        <v>17</v>
      </c>
      <c r="C19" s="131" t="s">
        <v>55</v>
      </c>
      <c r="D19" s="131">
        <f>N19</f>
        <v>925.5675698811101</v>
      </c>
      <c r="E19" s="131">
        <f>R19</f>
        <v>1351.3166823470815</v>
      </c>
      <c r="F19" s="122"/>
      <c r="G19" s="176">
        <f>SUM(G16:G17)</f>
        <v>1673.3553480883347</v>
      </c>
      <c r="H19" s="62">
        <f>SUM(H16:H17)</f>
        <v>1673.3553480883347</v>
      </c>
      <c r="I19" s="62">
        <f>SUM(I16:I17)</f>
        <v>1959.6239144233004</v>
      </c>
      <c r="J19" s="182">
        <f t="shared" ref="J19:R19" si="18">SUM(J16:J18)</f>
        <v>752.71254376924344</v>
      </c>
      <c r="K19" s="62">
        <f t="shared" si="18"/>
        <v>2133.9886860286615</v>
      </c>
      <c r="L19" s="62">
        <f t="shared" si="18"/>
        <v>1877.1787379834718</v>
      </c>
      <c r="M19" s="62">
        <f t="shared" si="18"/>
        <v>2181.7985161593806</v>
      </c>
      <c r="N19" s="182">
        <f t="shared" si="18"/>
        <v>925.5675698811101</v>
      </c>
      <c r="O19" s="62">
        <f t="shared" si="18"/>
        <v>2443.6044995764291</v>
      </c>
      <c r="P19" s="62">
        <f t="shared" si="18"/>
        <v>2220.4533809322875</v>
      </c>
      <c r="Q19" s="62">
        <f t="shared" si="18"/>
        <v>2588.4891745216755</v>
      </c>
      <c r="R19" s="182">
        <f t="shared" si="18"/>
        <v>1351.3166823470815</v>
      </c>
      <c r="S19" s="62"/>
    </row>
    <row r="20" spans="2:19" s="51" customFormat="1" ht="13.5" customHeight="1">
      <c r="B20" s="128" t="s">
        <v>72</v>
      </c>
      <c r="C20" s="129" t="s">
        <v>55</v>
      </c>
      <c r="D20" s="76">
        <f>N20</f>
        <v>4500</v>
      </c>
      <c r="E20" s="76">
        <f>R20</f>
        <v>4500</v>
      </c>
      <c r="F20" s="63"/>
      <c r="G20" s="384">
        <v>4500</v>
      </c>
      <c r="H20" s="76">
        <v>4500</v>
      </c>
      <c r="I20" s="76">
        <v>4500</v>
      </c>
      <c r="J20" s="199">
        <v>4500</v>
      </c>
      <c r="K20" s="76">
        <v>4500</v>
      </c>
      <c r="L20" s="76">
        <v>4500</v>
      </c>
      <c r="M20" s="76">
        <v>4500</v>
      </c>
      <c r="N20" s="199">
        <v>4500</v>
      </c>
      <c r="O20" s="76">
        <v>4500</v>
      </c>
      <c r="P20" s="76">
        <v>4500</v>
      </c>
      <c r="Q20" s="76">
        <v>4500</v>
      </c>
      <c r="R20" s="199">
        <v>4500</v>
      </c>
      <c r="S20" s="76"/>
    </row>
    <row r="21" spans="2:19" s="51" customFormat="1" ht="13.5" customHeight="1">
      <c r="B21" s="128" t="s">
        <v>73</v>
      </c>
      <c r="C21" s="129" t="s">
        <v>55</v>
      </c>
      <c r="D21" s="76">
        <f>N21</f>
        <v>3574.4324301188899</v>
      </c>
      <c r="E21" s="76">
        <f>R21</f>
        <v>3148.6833176529185</v>
      </c>
      <c r="F21" s="63"/>
      <c r="G21" s="335">
        <f t="shared" ref="G21" si="19">G20-G19</f>
        <v>2826.6446519116653</v>
      </c>
      <c r="H21" s="336">
        <f t="shared" ref="H21:R21" si="20">H20-H19</f>
        <v>2826.6446519116653</v>
      </c>
      <c r="I21" s="336">
        <f t="shared" si="20"/>
        <v>2540.3760855766996</v>
      </c>
      <c r="J21" s="337">
        <f t="shared" si="20"/>
        <v>3747.2874562307566</v>
      </c>
      <c r="K21" s="336">
        <f t="shared" si="20"/>
        <v>2366.0113139713385</v>
      </c>
      <c r="L21" s="336">
        <f t="shared" si="20"/>
        <v>2622.8212620165282</v>
      </c>
      <c r="M21" s="336">
        <f t="shared" si="20"/>
        <v>2318.2014838406194</v>
      </c>
      <c r="N21" s="337">
        <f t="shared" si="20"/>
        <v>3574.4324301188899</v>
      </c>
      <c r="O21" s="336">
        <f t="shared" si="20"/>
        <v>2056.3955004235709</v>
      </c>
      <c r="P21" s="336">
        <f t="shared" si="20"/>
        <v>2279.5466190677125</v>
      </c>
      <c r="Q21" s="336">
        <f t="shared" si="20"/>
        <v>1911.5108254783245</v>
      </c>
      <c r="R21" s="337">
        <f t="shared" si="20"/>
        <v>3148.6833176529185</v>
      </c>
      <c r="S21" s="76"/>
    </row>
  </sheetData>
  <conditionalFormatting sqref="B7:E21">
    <cfRule type="expression" dxfId="3" priority="1">
      <formula>print=1</formula>
    </cfRule>
  </conditionalFormatting>
  <pageMargins left="0.7" right="0.7" top="0.75" bottom="0.75" header="0.3" footer="0.3"/>
  <pageSetup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8000"/>
    <pageSetUpPr fitToPage="1"/>
  </sheetPr>
  <dimension ref="B2:AS42"/>
  <sheetViews>
    <sheetView showGridLines="0" view="pageBreakPreview" zoomScaleNormal="100" zoomScaleSheetLayoutView="100" workbookViewId="0"/>
  </sheetViews>
  <sheetFormatPr defaultRowHeight="13.5" customHeight="1"/>
  <cols>
    <col min="1" max="1" width="5.83203125" style="2" customWidth="1"/>
    <col min="2" max="2" width="47" style="2" customWidth="1"/>
    <col min="3" max="3" width="13" style="2" bestFit="1" customWidth="1"/>
    <col min="4" max="4" width="10.5" style="1" bestFit="1" customWidth="1"/>
    <col min="5" max="9" width="10.5" style="8" bestFit="1" customWidth="1"/>
    <col min="10" max="16" width="9.83203125" style="8" customWidth="1"/>
    <col min="17" max="34" width="9.33203125" style="8"/>
    <col min="35" max="16384" width="9.33203125" style="2"/>
  </cols>
  <sheetData>
    <row r="2" spans="2:45" ht="13.5" customHeight="1">
      <c r="B2" s="219" t="str">
        <f>Equity!B2</f>
        <v>Mondelez International, Inc. (MDLZ)</v>
      </c>
    </row>
    <row r="3" spans="2:45" ht="13.5" customHeight="1">
      <c r="B3" s="2" t="s">
        <v>338</v>
      </c>
    </row>
    <row r="4" spans="2:45" s="8" customFormat="1" ht="13.5" customHeight="1">
      <c r="B4" s="2" t="s">
        <v>8</v>
      </c>
      <c r="C4" s="2"/>
      <c r="D4" s="1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</row>
    <row r="5" spans="2:45" s="8" customFormat="1" ht="13.5" customHeight="1">
      <c r="B5" s="2"/>
      <c r="C5" s="2"/>
      <c r="D5" s="1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</row>
    <row r="6" spans="2:45" s="86" customFormat="1" ht="13.5" customHeight="1">
      <c r="B6" s="252" t="s">
        <v>131</v>
      </c>
      <c r="C6" s="906" t="s">
        <v>302</v>
      </c>
      <c r="D6" s="906" t="s">
        <v>303</v>
      </c>
      <c r="E6" s="906" t="s">
        <v>304</v>
      </c>
      <c r="F6" s="906" t="s">
        <v>305</v>
      </c>
      <c r="G6" s="906" t="s">
        <v>306</v>
      </c>
      <c r="H6" s="906" t="s">
        <v>307</v>
      </c>
      <c r="I6" s="906" t="s">
        <v>308</v>
      </c>
    </row>
    <row r="7" spans="2:45" s="8" customFormat="1" ht="13.5" customHeight="1">
      <c r="B7" s="898" t="s">
        <v>27</v>
      </c>
      <c r="C7" s="915">
        <f>IS!F7</f>
        <v>34244</v>
      </c>
      <c r="D7" s="915">
        <f>IS!G7</f>
        <v>30650.964999999997</v>
      </c>
      <c r="E7" s="915">
        <f>IS!H7</f>
        <v>31331.186549999999</v>
      </c>
      <c r="F7" s="915">
        <f>IS!I7</f>
        <v>32408.693525999995</v>
      </c>
      <c r="G7" s="916">
        <f>F7*(1+G30)</f>
        <v>33380.954331779998</v>
      </c>
      <c r="H7" s="916">
        <f>G7*(1+H30)</f>
        <v>34382.382961733398</v>
      </c>
      <c r="I7" s="916">
        <f>H7*(1+I30)</f>
        <v>35413.854450585401</v>
      </c>
      <c r="J7" s="913"/>
    </row>
    <row r="8" spans="2:45" s="8" customFormat="1" ht="13.5" customHeight="1">
      <c r="B8" s="899" t="s">
        <v>309</v>
      </c>
      <c r="C8" s="920">
        <f>IS!F16</f>
        <v>4416</v>
      </c>
      <c r="D8" s="920">
        <f>IS!G16</f>
        <v>4105.0346499999996</v>
      </c>
      <c r="E8" s="920">
        <f>IS!H16</f>
        <v>4276.1125910099991</v>
      </c>
      <c r="F8" s="920">
        <f>IS!I16</f>
        <v>4483.7700679257132</v>
      </c>
      <c r="G8" s="413">
        <f>G7*G31</f>
        <v>4673.3336064492005</v>
      </c>
      <c r="H8" s="413">
        <f>H7*H31</f>
        <v>4899.4895720470086</v>
      </c>
      <c r="I8" s="413">
        <f>I7*I31</f>
        <v>5135.0088953348832</v>
      </c>
      <c r="J8" s="913"/>
    </row>
    <row r="9" spans="2:45" s="8" customFormat="1" ht="13.5" customHeight="1">
      <c r="B9" s="900" t="s">
        <v>226</v>
      </c>
      <c r="C9" s="921">
        <f>IS!F21</f>
        <v>-577</v>
      </c>
      <c r="D9" s="921">
        <f>IS!G21</f>
        <v>-656.00693000000001</v>
      </c>
      <c r="E9" s="921">
        <f>IS!H21</f>
        <v>-695.22251820199995</v>
      </c>
      <c r="F9" s="921">
        <f>IS!I21</f>
        <v>-736.75401358514273</v>
      </c>
      <c r="G9" s="413">
        <f>-G8*G34</f>
        <v>-934.6667212898401</v>
      </c>
      <c r="H9" s="413">
        <f>-H8*H34</f>
        <v>-979.89791440940178</v>
      </c>
      <c r="I9" s="413">
        <f>-I8*I34</f>
        <v>-1027.0017790669767</v>
      </c>
      <c r="J9" s="913"/>
    </row>
    <row r="10" spans="2:45" s="8" customFormat="1" ht="13.5" customHeight="1">
      <c r="B10" s="900" t="s">
        <v>310</v>
      </c>
      <c r="C10" s="921">
        <f>CF!F9</f>
        <v>1059</v>
      </c>
      <c r="D10" s="413">
        <f>CF!F9</f>
        <v>1059</v>
      </c>
      <c r="E10" s="413">
        <f ca="1">E32*E7</f>
        <v>1082.5018578191584</v>
      </c>
      <c r="F10" s="413">
        <f ca="1">F32*F7</f>
        <v>1119.730045825115</v>
      </c>
      <c r="G10" s="413">
        <f>G32*G7</f>
        <v>1168.3334016123001</v>
      </c>
      <c r="H10" s="413">
        <f>H32*H7</f>
        <v>1203.383403660669</v>
      </c>
      <c r="I10" s="413">
        <f>I32*I7</f>
        <v>1239.4849057704891</v>
      </c>
      <c r="J10" s="913"/>
    </row>
    <row r="11" spans="2:45" s="8" customFormat="1" ht="13.5" customHeight="1">
      <c r="B11" s="900" t="s">
        <v>46</v>
      </c>
      <c r="C11" s="921">
        <f>CF!F23</f>
        <v>-1642</v>
      </c>
      <c r="D11" s="921">
        <f>CF!G43</f>
        <v>-2839.0578999999998</v>
      </c>
      <c r="E11" s="921">
        <f>CF!H43</f>
        <v>-2042.4744599999999</v>
      </c>
      <c r="F11" s="921">
        <f>CF!I43</f>
        <v>-2344.5216115599997</v>
      </c>
      <c r="G11" s="413">
        <f>-G7*G33</f>
        <v>-2002.8572599067998</v>
      </c>
      <c r="H11" s="413">
        <f>-H7*H33</f>
        <v>-1891.0310628953368</v>
      </c>
      <c r="I11" s="413">
        <f>-I7*I33</f>
        <v>-1770.6927225292702</v>
      </c>
      <c r="J11" s="913"/>
    </row>
    <row r="12" spans="2:45" s="8" customFormat="1" ht="13.5" customHeight="1">
      <c r="B12" s="900" t="s">
        <v>323</v>
      </c>
      <c r="C12" s="921"/>
      <c r="D12" s="921">
        <f>CF!G17</f>
        <v>362.9715536735298</v>
      </c>
      <c r="E12" s="921">
        <f>CF!H17</f>
        <v>12.554582600834237</v>
      </c>
      <c r="F12" s="921">
        <f>CF!I17</f>
        <v>-98.352675965399158</v>
      </c>
      <c r="G12" s="989">
        <v>100</v>
      </c>
      <c r="H12" s="989">
        <f>G12</f>
        <v>100</v>
      </c>
      <c r="I12" s="989">
        <f>H12</f>
        <v>100</v>
      </c>
      <c r="J12" s="913"/>
    </row>
    <row r="13" spans="2:45" s="8" customFormat="1" ht="13.5" customHeight="1">
      <c r="B13" s="901" t="s">
        <v>330</v>
      </c>
      <c r="C13" s="917">
        <f>SUM(C8:C12)</f>
        <v>3256</v>
      </c>
      <c r="D13" s="917">
        <f t="shared" ref="D13:I13" si="0">SUM(D8:D12)</f>
        <v>2031.9413736735301</v>
      </c>
      <c r="E13" s="917">
        <f t="shared" ca="1" si="0"/>
        <v>2633.4720532279916</v>
      </c>
      <c r="F13" s="917">
        <f t="shared" ca="1" si="0"/>
        <v>2423.8718126402869</v>
      </c>
      <c r="G13" s="917">
        <f t="shared" si="0"/>
        <v>3004.1430268648605</v>
      </c>
      <c r="H13" s="917">
        <f t="shared" si="0"/>
        <v>3331.9439984029386</v>
      </c>
      <c r="I13" s="917">
        <f t="shared" si="0"/>
        <v>3676.7992995091254</v>
      </c>
      <c r="J13" s="913"/>
    </row>
    <row r="14" spans="2:45" s="8" customFormat="1" ht="13.5" customHeight="1">
      <c r="B14" s="902"/>
      <c r="C14" s="79"/>
      <c r="D14" s="248"/>
      <c r="E14" s="248"/>
      <c r="F14" s="918"/>
      <c r="G14" s="248"/>
      <c r="H14" s="248"/>
      <c r="I14" s="248"/>
      <c r="J14" s="913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</row>
    <row r="15" spans="2:45" s="8" customFormat="1" ht="13.5" customHeight="1">
      <c r="B15" s="954" t="s">
        <v>311</v>
      </c>
      <c r="C15" s="955"/>
      <c r="D15" s="955">
        <v>1</v>
      </c>
      <c r="E15" s="955">
        <v>2</v>
      </c>
      <c r="F15" s="955">
        <v>3</v>
      </c>
      <c r="G15" s="955">
        <v>4</v>
      </c>
      <c r="H15" s="955">
        <v>5</v>
      </c>
      <c r="I15" s="956">
        <v>6</v>
      </c>
      <c r="J15" s="913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</row>
    <row r="16" spans="2:45" s="8" customFormat="1" ht="13.5" customHeight="1">
      <c r="B16" s="957" t="s">
        <v>312</v>
      </c>
      <c r="C16" s="79"/>
      <c r="D16" s="991">
        <v>7.0000000000000007E-2</v>
      </c>
      <c r="E16" s="958">
        <f>D16</f>
        <v>7.0000000000000007E-2</v>
      </c>
      <c r="F16" s="958">
        <f t="shared" ref="F16:I16" si="1">E16</f>
        <v>7.0000000000000007E-2</v>
      </c>
      <c r="G16" s="958">
        <f t="shared" si="1"/>
        <v>7.0000000000000007E-2</v>
      </c>
      <c r="H16" s="958">
        <f t="shared" si="1"/>
        <v>7.0000000000000007E-2</v>
      </c>
      <c r="I16" s="959">
        <f t="shared" si="1"/>
        <v>7.0000000000000007E-2</v>
      </c>
      <c r="J16" s="913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</row>
    <row r="17" spans="2:45" s="8" customFormat="1" ht="13.5" customHeight="1">
      <c r="B17" s="957" t="s">
        <v>313</v>
      </c>
      <c r="C17" s="79"/>
      <c r="D17" s="960">
        <f t="shared" ref="D17:I17" si="2">1/(1+D16)^D15</f>
        <v>0.93457943925233644</v>
      </c>
      <c r="E17" s="960">
        <f t="shared" si="2"/>
        <v>0.87343872827321156</v>
      </c>
      <c r="F17" s="960">
        <f t="shared" si="2"/>
        <v>0.81629787689085187</v>
      </c>
      <c r="G17" s="960">
        <f t="shared" si="2"/>
        <v>0.7628952120475252</v>
      </c>
      <c r="H17" s="960">
        <f t="shared" si="2"/>
        <v>0.71298617948366838</v>
      </c>
      <c r="I17" s="961">
        <f t="shared" si="2"/>
        <v>0.66634222381651254</v>
      </c>
      <c r="J17" s="913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</row>
    <row r="18" spans="2:45" s="8" customFormat="1" ht="13.5" customHeight="1">
      <c r="B18" s="962" t="s">
        <v>334</v>
      </c>
      <c r="C18" s="79"/>
      <c r="D18" s="963">
        <f>D13*D17</f>
        <v>1899.0106296014299</v>
      </c>
      <c r="E18" s="963">
        <f t="shared" ref="E18:I18" ca="1" si="3">E13*E17</f>
        <v>2300.1764811145003</v>
      </c>
      <c r="F18" s="963">
        <f t="shared" ca="1" si="3"/>
        <v>1978.6014145138467</v>
      </c>
      <c r="G18" s="963">
        <f t="shared" si="3"/>
        <v>2291.8463315011618</v>
      </c>
      <c r="H18" s="963">
        <f t="shared" si="3"/>
        <v>2375.6300216748491</v>
      </c>
      <c r="I18" s="964">
        <f t="shared" si="3"/>
        <v>2450.006621761906</v>
      </c>
      <c r="J18" s="913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</row>
    <row r="19" spans="2:45" s="8" customFormat="1" ht="13.5" customHeight="1">
      <c r="B19" s="962" t="s">
        <v>314</v>
      </c>
      <c r="C19" s="79"/>
      <c r="D19" s="79"/>
      <c r="E19" s="79"/>
      <c r="F19" s="79"/>
      <c r="G19" s="79"/>
      <c r="H19" s="79"/>
      <c r="I19" s="990">
        <v>2.5000000000000001E-2</v>
      </c>
      <c r="J19" s="913"/>
    </row>
    <row r="20" spans="2:45" s="8" customFormat="1" ht="13.5" customHeight="1">
      <c r="B20" s="965" t="s">
        <v>315</v>
      </c>
      <c r="C20" s="966"/>
      <c r="D20" s="966"/>
      <c r="E20" s="966"/>
      <c r="F20" s="966"/>
      <c r="G20" s="966"/>
      <c r="H20" s="966"/>
      <c r="I20" s="967">
        <f>I13/(I16-I19)</f>
        <v>81706.651100202784</v>
      </c>
      <c r="J20" s="913"/>
    </row>
    <row r="21" spans="2:45" s="8" customFormat="1" ht="13.5" customHeight="1">
      <c r="B21" s="903"/>
      <c r="C21" s="79"/>
      <c r="D21" s="248"/>
      <c r="E21" s="248"/>
      <c r="F21" s="248"/>
      <c r="G21" s="248"/>
      <c r="H21" s="248"/>
      <c r="I21" s="248"/>
      <c r="J21" s="913"/>
    </row>
    <row r="22" spans="2:45" s="8" customFormat="1" ht="13.5" customHeight="1">
      <c r="B22" s="903" t="s">
        <v>332</v>
      </c>
      <c r="C22" s="919">
        <f ca="1">SUM(D18:I18)</f>
        <v>13295.271500167695</v>
      </c>
      <c r="D22" s="248"/>
      <c r="E22" s="248"/>
      <c r="F22" s="248"/>
      <c r="G22" s="248"/>
      <c r="H22" s="248"/>
      <c r="I22" s="248"/>
      <c r="J22" s="913"/>
    </row>
    <row r="23" spans="2:45" s="8" customFormat="1" ht="13.5" customHeight="1">
      <c r="B23" s="903" t="s">
        <v>333</v>
      </c>
      <c r="C23" s="919">
        <f>I20*I17</f>
        <v>54444.591594709025</v>
      </c>
      <c r="D23" s="248"/>
      <c r="E23" s="248"/>
      <c r="F23" s="248"/>
      <c r="G23" s="248"/>
      <c r="H23" s="248"/>
      <c r="I23" s="248"/>
      <c r="J23" s="913"/>
    </row>
    <row r="24" spans="2:45" s="8" customFormat="1" ht="13.5" customHeight="1">
      <c r="B24" s="903" t="s">
        <v>335</v>
      </c>
      <c r="C24" s="919">
        <f ca="1">SUM(C22:C23)</f>
        <v>67739.863094876724</v>
      </c>
      <c r="D24" s="248"/>
      <c r="E24" s="248"/>
      <c r="F24" s="248"/>
      <c r="G24" s="248"/>
      <c r="H24" s="248"/>
      <c r="I24" s="248"/>
      <c r="J24" s="913"/>
    </row>
    <row r="25" spans="2:45" s="8" customFormat="1" ht="13.5" customHeight="1">
      <c r="B25" s="953" t="s">
        <v>331</v>
      </c>
      <c r="C25" s="919">
        <f>BS!I39</f>
        <v>14395</v>
      </c>
      <c r="D25" s="248"/>
      <c r="E25" s="248"/>
      <c r="F25" s="248"/>
      <c r="G25" s="248"/>
      <c r="H25" s="248"/>
      <c r="I25" s="248"/>
      <c r="J25" s="913"/>
    </row>
    <row r="26" spans="2:45" s="8" customFormat="1" ht="13.5" customHeight="1">
      <c r="B26" s="953" t="s">
        <v>137</v>
      </c>
      <c r="C26" s="988">
        <v>1600</v>
      </c>
      <c r="D26" s="248"/>
      <c r="E26" s="248"/>
      <c r="F26" s="248"/>
      <c r="G26" s="248"/>
      <c r="H26" s="248"/>
      <c r="I26" s="248"/>
      <c r="J26" s="913"/>
    </row>
    <row r="27" spans="2:45" s="123" customFormat="1" ht="13.5" customHeight="1">
      <c r="B27" s="987" t="s">
        <v>316</v>
      </c>
      <c r="C27" s="986">
        <f ca="1">(C24-C25)/C26</f>
        <v>33.340539434297952</v>
      </c>
      <c r="D27" s="248"/>
      <c r="E27" s="248"/>
      <c r="F27" s="248"/>
      <c r="G27" s="248"/>
      <c r="H27" s="248"/>
      <c r="I27" s="248"/>
      <c r="J27" s="914"/>
    </row>
    <row r="28" spans="2:45" s="123" customFormat="1" ht="13.5" customHeight="1">
      <c r="B28" s="904"/>
      <c r="C28" s="909"/>
      <c r="D28" s="910"/>
      <c r="E28" s="910"/>
      <c r="F28" s="910"/>
      <c r="G28" s="910"/>
      <c r="H28" s="910"/>
      <c r="I28" s="910"/>
      <c r="J28" s="914"/>
    </row>
    <row r="29" spans="2:45" s="8" customFormat="1" ht="13.5" customHeight="1">
      <c r="B29" s="252" t="s">
        <v>317</v>
      </c>
      <c r="C29" s="906" t="s">
        <v>302</v>
      </c>
      <c r="D29" s="906" t="s">
        <v>303</v>
      </c>
      <c r="E29" s="906" t="s">
        <v>304</v>
      </c>
      <c r="F29" s="906" t="s">
        <v>305</v>
      </c>
      <c r="G29" s="906" t="s">
        <v>306</v>
      </c>
      <c r="H29" s="906" t="s">
        <v>307</v>
      </c>
      <c r="I29" s="906" t="s">
        <v>308</v>
      </c>
    </row>
    <row r="30" spans="2:45" s="123" customFormat="1" ht="13.5" customHeight="1">
      <c r="B30" s="905" t="s">
        <v>318</v>
      </c>
      <c r="C30" s="911">
        <f>IS!F8</f>
        <v>-2.9887532224708968E-2</v>
      </c>
      <c r="D30" s="908">
        <f>D7/C7-1</f>
        <v>-0.10492451232332678</v>
      </c>
      <c r="E30" s="908">
        <f>E7/D7-1</f>
        <v>2.2192500301377205E-2</v>
      </c>
      <c r="F30" s="908">
        <f>F7/E7-1</f>
        <v>3.4390876779609059E-2</v>
      </c>
      <c r="G30" s="992">
        <v>0.03</v>
      </c>
      <c r="H30" s="992">
        <v>0.03</v>
      </c>
      <c r="I30" s="992">
        <v>0.03</v>
      </c>
    </row>
    <row r="31" spans="2:45" s="51" customFormat="1" ht="13.5" customHeight="1">
      <c r="B31" s="905" t="s">
        <v>57</v>
      </c>
      <c r="C31" s="908">
        <f>IS!F30</f>
        <v>0.12895689755869641</v>
      </c>
      <c r="D31" s="908">
        <f>D8/D7</f>
        <v>0.13392839833917139</v>
      </c>
      <c r="E31" s="908">
        <f>E8/E7</f>
        <v>0.13648102934709949</v>
      </c>
      <c r="F31" s="908">
        <f>F8/F7</f>
        <v>0.13835084294060149</v>
      </c>
      <c r="G31" s="992">
        <v>0.14000000000000001</v>
      </c>
      <c r="H31" s="992">
        <v>0.14249999999999999</v>
      </c>
      <c r="I31" s="992">
        <v>0.14499999999999999</v>
      </c>
    </row>
    <row r="32" spans="2:45" s="51" customFormat="1" ht="13.5" customHeight="1">
      <c r="B32" s="905" t="s">
        <v>319</v>
      </c>
      <c r="C32" s="908">
        <f>IS!F34</f>
        <v>3.0925125569442821E-2</v>
      </c>
      <c r="D32" s="908">
        <f>D10/D7</f>
        <v>3.4550298824196891E-2</v>
      </c>
      <c r="E32" s="908">
        <f ca="1">E10/E7</f>
        <v>3.4550298824196891E-2</v>
      </c>
      <c r="F32" s="908">
        <f ca="1">F10/F7</f>
        <v>3.4550298824196891E-2</v>
      </c>
      <c r="G32" s="992">
        <v>3.5000000000000003E-2</v>
      </c>
      <c r="H32" s="992">
        <v>3.5000000000000003E-2</v>
      </c>
      <c r="I32" s="992">
        <v>3.5000000000000003E-2</v>
      </c>
    </row>
    <row r="33" spans="2:45" s="8" customFormat="1" ht="13.5" customHeight="1">
      <c r="B33" s="905" t="s">
        <v>320</v>
      </c>
      <c r="C33" s="908">
        <f>IS!F35</f>
        <v>4.7950005840439201E-2</v>
      </c>
      <c r="D33" s="908">
        <f>-D11/D7</f>
        <v>9.2625400211706233E-2</v>
      </c>
      <c r="E33" s="908">
        <f>-E11/E7</f>
        <v>6.518982154539564E-2</v>
      </c>
      <c r="F33" s="908">
        <f>-F11/F7</f>
        <v>7.234236732434457E-2</v>
      </c>
      <c r="G33" s="992">
        <v>0.06</v>
      </c>
      <c r="H33" s="992">
        <v>5.5E-2</v>
      </c>
      <c r="I33" s="992">
        <v>0.05</v>
      </c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</row>
    <row r="34" spans="2:45" s="8" customFormat="1" ht="13.5" customHeight="1">
      <c r="B34" s="905" t="s">
        <v>321</v>
      </c>
      <c r="C34" s="908">
        <f>IS!F33</f>
        <v>0.16050069541029208</v>
      </c>
      <c r="D34" s="908">
        <v>0.2</v>
      </c>
      <c r="E34" s="908">
        <f>D34</f>
        <v>0.2</v>
      </c>
      <c r="F34" s="908">
        <f t="shared" ref="F34" si="4">E34</f>
        <v>0.2</v>
      </c>
      <c r="G34" s="992">
        <v>0.2</v>
      </c>
      <c r="H34" s="992">
        <v>0.2</v>
      </c>
      <c r="I34" s="992">
        <v>0.2</v>
      </c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</row>
    <row r="35" spans="2:45" s="8" customFormat="1" ht="13.5" customHeight="1">
      <c r="B35" s="905"/>
      <c r="C35" s="912"/>
      <c r="D35" s="912"/>
      <c r="E35" s="912"/>
      <c r="F35" s="912"/>
      <c r="G35" s="912"/>
      <c r="H35" s="912"/>
      <c r="I35" s="91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</row>
    <row r="36" spans="2:45" s="8" customFormat="1" ht="13.5" customHeight="1">
      <c r="B36" s="907"/>
      <c r="C36" s="907"/>
      <c r="D36" s="907"/>
      <c r="E36" s="907"/>
      <c r="F36" s="907"/>
      <c r="G36" s="907"/>
      <c r="H36" s="907"/>
      <c r="I36" s="907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</row>
    <row r="37" spans="2:45" s="8" customFormat="1" ht="13.5" customHeight="1">
      <c r="B37" s="907"/>
      <c r="C37" s="907"/>
      <c r="D37" s="907"/>
      <c r="E37" s="907"/>
      <c r="F37" s="907"/>
      <c r="G37" s="907"/>
      <c r="H37" s="907"/>
      <c r="I37" s="907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</row>
    <row r="38" spans="2:45" s="8" customFormat="1" ht="13.5" customHeight="1">
      <c r="B38" s="907"/>
      <c r="C38" s="907"/>
      <c r="D38" s="907"/>
      <c r="E38" s="907"/>
      <c r="F38" s="907"/>
      <c r="G38" s="907"/>
      <c r="H38" s="907"/>
      <c r="I38" s="907"/>
    </row>
    <row r="39" spans="2:45" s="8" customFormat="1" ht="13.5" customHeight="1">
      <c r="D39" s="14"/>
    </row>
    <row r="40" spans="2:45" s="8" customFormat="1" ht="13.5" customHeight="1">
      <c r="D40" s="14"/>
    </row>
    <row r="41" spans="2:45" s="8" customFormat="1" ht="13.5" customHeight="1">
      <c r="D41" s="14"/>
    </row>
    <row r="42" spans="2:45" s="8" customFormat="1" ht="13.5" customHeight="1">
      <c r="D42" s="14"/>
    </row>
  </sheetData>
  <conditionalFormatting sqref="C11:F12 C8:F9 B6:C30 C13:I13 B31:B32">
    <cfRule type="expression" dxfId="2" priority="2">
      <formula>print=1</formula>
    </cfRule>
  </conditionalFormatting>
  <conditionalFormatting sqref="D7:F7">
    <cfRule type="expression" dxfId="1" priority="1">
      <formula>print=1</formula>
    </cfRule>
  </conditionalFormatting>
  <pageMargins left="0.7" right="0.7" top="0.75" bottom="0.75" header="0.3" footer="0.3"/>
  <pageSetup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8000"/>
    <pageSetUpPr fitToPage="1"/>
  </sheetPr>
  <dimension ref="A2:AP46"/>
  <sheetViews>
    <sheetView showGridLines="0" view="pageBreakPreview" zoomScaleNormal="100" zoomScaleSheetLayoutView="100" workbookViewId="0"/>
  </sheetViews>
  <sheetFormatPr defaultRowHeight="13.5" customHeight="1"/>
  <cols>
    <col min="1" max="1" width="5.83203125" style="8" customWidth="1"/>
    <col min="2" max="2" width="12.1640625" style="8" customWidth="1"/>
    <col min="3" max="12" width="9.83203125" style="8" customWidth="1"/>
    <col min="13" max="13" width="47" style="2" customWidth="1"/>
    <col min="14" max="16" width="11" style="2" customWidth="1"/>
    <col min="17" max="24" width="9.83203125" style="8" customWidth="1"/>
    <col min="25" max="42" width="9.33203125" style="8"/>
    <col min="43" max="16384" width="9.33203125" style="2"/>
  </cols>
  <sheetData>
    <row r="2" spans="2:16" ht="13.5" customHeight="1">
      <c r="B2" s="219" t="str">
        <f>M2</f>
        <v>Mondelez International, Inc. (MDLZ)</v>
      </c>
      <c r="M2" s="219" t="str">
        <f>Equity!B2</f>
        <v>Mondelez International, Inc. (MDLZ)</v>
      </c>
    </row>
    <row r="3" spans="2:16" ht="13.5" customHeight="1">
      <c r="B3" s="2" t="s">
        <v>282</v>
      </c>
      <c r="M3" s="2" t="s">
        <v>282</v>
      </c>
    </row>
    <row r="4" spans="2:16" ht="13.5" customHeight="1">
      <c r="D4" s="983" t="s">
        <v>286</v>
      </c>
      <c r="E4" s="983"/>
      <c r="F4" s="983"/>
      <c r="G4" s="983"/>
      <c r="H4" s="983"/>
      <c r="I4" s="983"/>
      <c r="J4" s="983"/>
      <c r="M4" s="2" t="s">
        <v>8</v>
      </c>
    </row>
    <row r="5" spans="2:16" ht="13.5" customHeight="1">
      <c r="B5" s="86"/>
      <c r="C5" s="86"/>
      <c r="D5" s="780">
        <v>18</v>
      </c>
      <c r="E5" s="780">
        <f t="shared" ref="E5:J5" si="0">D5+1</f>
        <v>19</v>
      </c>
      <c r="F5" s="780">
        <f t="shared" si="0"/>
        <v>20</v>
      </c>
      <c r="G5" s="780">
        <f t="shared" si="0"/>
        <v>21</v>
      </c>
      <c r="H5" s="780">
        <f t="shared" si="0"/>
        <v>22</v>
      </c>
      <c r="I5" s="780">
        <f t="shared" si="0"/>
        <v>23</v>
      </c>
      <c r="J5" s="780">
        <f t="shared" si="0"/>
        <v>24</v>
      </c>
      <c r="M5" s="8"/>
      <c r="N5" s="5" t="s">
        <v>11</v>
      </c>
      <c r="O5" s="4"/>
      <c r="P5" s="4"/>
    </row>
    <row r="6" spans="2:16" s="8" customFormat="1" ht="13.5" customHeight="1">
      <c r="C6" s="41">
        <f>C7-0.05</f>
        <v>1.4108479518310504</v>
      </c>
      <c r="D6" s="781">
        <f t="shared" ref="D6:J6" si="1">$C6*D5</f>
        <v>25.395263132958906</v>
      </c>
      <c r="E6" s="782">
        <f t="shared" si="1"/>
        <v>26.806111084789958</v>
      </c>
      <c r="F6" s="782">
        <f t="shared" si="1"/>
        <v>28.216959036621006</v>
      </c>
      <c r="G6" s="782">
        <f t="shared" si="1"/>
        <v>29.627806988452058</v>
      </c>
      <c r="H6" s="782">
        <f t="shared" si="1"/>
        <v>31.038654940283109</v>
      </c>
      <c r="I6" s="782">
        <f t="shared" si="1"/>
        <v>32.449502892114161</v>
      </c>
      <c r="J6" s="827">
        <f t="shared" si="1"/>
        <v>33.860350843945213</v>
      </c>
      <c r="M6" s="65"/>
      <c r="N6" s="12">
        <v>2015</v>
      </c>
      <c r="O6" s="12">
        <f>N6+1</f>
        <v>2016</v>
      </c>
      <c r="P6" s="12">
        <f t="shared" ref="P6" si="2">O6+1</f>
        <v>2017</v>
      </c>
    </row>
    <row r="7" spans="2:16" s="8" customFormat="1" ht="13.5" customHeight="1">
      <c r="C7" s="41">
        <f>C8-0.05</f>
        <v>1.4608479518310504</v>
      </c>
      <c r="D7" s="784">
        <f t="shared" ref="D7:J7" si="3">$C7*D5</f>
        <v>26.295263132958908</v>
      </c>
      <c r="E7" s="785">
        <f t="shared" si="3"/>
        <v>27.756111084789957</v>
      </c>
      <c r="F7" s="785">
        <f t="shared" si="3"/>
        <v>29.216959036621009</v>
      </c>
      <c r="G7" s="785">
        <f t="shared" si="3"/>
        <v>30.677806988452058</v>
      </c>
      <c r="H7" s="785">
        <f t="shared" si="3"/>
        <v>32.138654940283111</v>
      </c>
      <c r="I7" s="785">
        <f t="shared" si="3"/>
        <v>33.59950289211416</v>
      </c>
      <c r="J7" s="823">
        <f t="shared" si="3"/>
        <v>35.060350843945209</v>
      </c>
      <c r="M7" s="78" t="s">
        <v>283</v>
      </c>
      <c r="N7" s="779">
        <f>IS!G25</f>
        <v>1.5608479518310505</v>
      </c>
      <c r="O7" s="779">
        <f>IS!H25</f>
        <v>1.7023613618060325</v>
      </c>
      <c r="P7" s="779">
        <f>IS!I25</f>
        <v>1.8492200155911664</v>
      </c>
    </row>
    <row r="8" spans="2:16" s="86" customFormat="1" ht="13.5" customHeight="1">
      <c r="B8" s="8"/>
      <c r="C8" s="41">
        <f>C9-0.05</f>
        <v>1.5108479518310505</v>
      </c>
      <c r="D8" s="784">
        <f t="shared" ref="D8:J8" si="4">$C8*D5</f>
        <v>27.195263132958907</v>
      </c>
      <c r="E8" s="785">
        <f t="shared" si="4"/>
        <v>28.70611108478996</v>
      </c>
      <c r="F8" s="785">
        <f t="shared" si="4"/>
        <v>30.216959036621009</v>
      </c>
      <c r="G8" s="785">
        <f t="shared" si="4"/>
        <v>31.727806988452059</v>
      </c>
      <c r="H8" s="785">
        <f t="shared" si="4"/>
        <v>33.238654940283112</v>
      </c>
      <c r="I8" s="822">
        <f t="shared" si="4"/>
        <v>34.749502892114158</v>
      </c>
      <c r="J8" s="823">
        <f t="shared" si="4"/>
        <v>36.260350843945211</v>
      </c>
      <c r="M8" s="78" t="s">
        <v>10</v>
      </c>
      <c r="N8" s="62">
        <f>IS!G18</f>
        <v>5024.5635999999995</v>
      </c>
      <c r="O8" s="62">
        <f>IS!H18</f>
        <v>5216.0481875099986</v>
      </c>
      <c r="P8" s="62">
        <f>IS!I18</f>
        <v>5456.030873705713</v>
      </c>
    </row>
    <row r="9" spans="2:16" s="8" customFormat="1" ht="13.5" customHeight="1">
      <c r="B9" s="94" t="s">
        <v>287</v>
      </c>
      <c r="C9" s="41">
        <f>N7</f>
        <v>1.5608479518310505</v>
      </c>
      <c r="D9" s="784">
        <f t="shared" ref="D9:J9" si="5">$C9*D5</f>
        <v>28.095263132958909</v>
      </c>
      <c r="E9" s="785">
        <f t="shared" si="5"/>
        <v>29.656111084789959</v>
      </c>
      <c r="F9" s="785">
        <f t="shared" si="5"/>
        <v>31.216959036621009</v>
      </c>
      <c r="G9" s="785">
        <f t="shared" si="5"/>
        <v>32.777806988452063</v>
      </c>
      <c r="H9" s="993">
        <f t="shared" si="5"/>
        <v>34.338654940283114</v>
      </c>
      <c r="I9" s="822">
        <f t="shared" si="5"/>
        <v>35.899502892114164</v>
      </c>
      <c r="J9" s="823">
        <f t="shared" si="5"/>
        <v>37.460350843945214</v>
      </c>
      <c r="M9" s="78"/>
      <c r="N9" s="62"/>
      <c r="O9" s="62"/>
      <c r="P9" s="62"/>
    </row>
    <row r="10" spans="2:16" s="8" customFormat="1" ht="13.5" customHeight="1">
      <c r="C10" s="41">
        <f>C9+0.05</f>
        <v>1.6108479518310506</v>
      </c>
      <c r="D10" s="784">
        <f t="shared" ref="D10:J10" si="6">$C10*D5</f>
        <v>28.995263132958911</v>
      </c>
      <c r="E10" s="785">
        <f t="shared" si="6"/>
        <v>30.606111084789962</v>
      </c>
      <c r="F10" s="785">
        <f t="shared" si="6"/>
        <v>32.216959036621013</v>
      </c>
      <c r="G10" s="822">
        <f t="shared" si="6"/>
        <v>33.82780698845206</v>
      </c>
      <c r="H10" s="822">
        <f t="shared" si="6"/>
        <v>35.438654940283115</v>
      </c>
      <c r="I10" s="822">
        <f t="shared" si="6"/>
        <v>37.049502892114162</v>
      </c>
      <c r="J10" s="823">
        <f t="shared" si="6"/>
        <v>38.66035084394521</v>
      </c>
      <c r="M10" s="78" t="s">
        <v>284</v>
      </c>
      <c r="N10" s="62">
        <f>CF!G21</f>
        <v>3878.5282236735297</v>
      </c>
      <c r="O10" s="62">
        <f>CF!H21</f>
        <v>3705.3802519088335</v>
      </c>
      <c r="P10" s="62">
        <f>CF!I21</f>
        <v>3792.9241841551711</v>
      </c>
    </row>
    <row r="11" spans="2:16" s="8" customFormat="1" ht="13.5" customHeight="1">
      <c r="C11" s="41">
        <f>C10+0.05</f>
        <v>1.6608479518310506</v>
      </c>
      <c r="D11" s="784">
        <f t="shared" ref="D11:J11" si="7">$C11*D5</f>
        <v>29.89526313295891</v>
      </c>
      <c r="E11" s="785">
        <f t="shared" si="7"/>
        <v>31.556111084789961</v>
      </c>
      <c r="F11" s="785">
        <f t="shared" si="7"/>
        <v>33.216959036621013</v>
      </c>
      <c r="G11" s="822">
        <f t="shared" si="7"/>
        <v>34.877806988452065</v>
      </c>
      <c r="H11" s="822">
        <f t="shared" si="7"/>
        <v>36.538654940283116</v>
      </c>
      <c r="I11" s="822">
        <f t="shared" si="7"/>
        <v>38.199502892114161</v>
      </c>
      <c r="J11" s="823">
        <f t="shared" si="7"/>
        <v>39.860350843945213</v>
      </c>
      <c r="M11" s="77" t="s">
        <v>300</v>
      </c>
      <c r="N11" s="82">
        <f>CF!G43</f>
        <v>-2839.0578999999998</v>
      </c>
      <c r="O11" s="82">
        <f>CF!H43</f>
        <v>-2042.4744599999999</v>
      </c>
      <c r="P11" s="82">
        <f>CF!I43</f>
        <v>-2344.5216115599997</v>
      </c>
    </row>
    <row r="12" spans="2:16" s="8" customFormat="1" ht="13.5" customHeight="1">
      <c r="C12" s="41">
        <f>C11+0.05</f>
        <v>1.7108479518310507</v>
      </c>
      <c r="D12" s="784">
        <f t="shared" ref="D12:J12" si="8">$C12*D5</f>
        <v>30.795263132958912</v>
      </c>
      <c r="E12" s="785">
        <f t="shared" si="8"/>
        <v>32.506111084789964</v>
      </c>
      <c r="F12" s="822">
        <f t="shared" si="8"/>
        <v>34.216959036621013</v>
      </c>
      <c r="G12" s="822">
        <f t="shared" si="8"/>
        <v>35.927806988452062</v>
      </c>
      <c r="H12" s="822">
        <f t="shared" si="8"/>
        <v>37.638654940283118</v>
      </c>
      <c r="I12" s="822">
        <f t="shared" si="8"/>
        <v>39.349502892114167</v>
      </c>
      <c r="J12" s="823">
        <f t="shared" si="8"/>
        <v>41.060350843945216</v>
      </c>
      <c r="M12" s="77" t="s">
        <v>279</v>
      </c>
      <c r="N12" s="82">
        <f>IS!G19*(1-IS!G33)</f>
        <v>-660</v>
      </c>
      <c r="O12" s="82">
        <f>IS!H19*(1-IS!H33)</f>
        <v>-640</v>
      </c>
      <c r="P12" s="82">
        <f>IS!I19*(1-IS!I33)</f>
        <v>-640</v>
      </c>
    </row>
    <row r="13" spans="2:16" s="8" customFormat="1" ht="13.5" customHeight="1">
      <c r="C13" s="41">
        <f>C12+0.05</f>
        <v>1.7608479518310507</v>
      </c>
      <c r="D13" s="786">
        <f t="shared" ref="D13:J13" si="9">$C13*D5</f>
        <v>31.695263132958914</v>
      </c>
      <c r="E13" s="787">
        <f t="shared" si="9"/>
        <v>33.45611108478996</v>
      </c>
      <c r="F13" s="820">
        <f t="shared" si="9"/>
        <v>35.216959036621013</v>
      </c>
      <c r="G13" s="820">
        <f t="shared" si="9"/>
        <v>36.977806988452066</v>
      </c>
      <c r="H13" s="820">
        <f t="shared" si="9"/>
        <v>38.738654940283112</v>
      </c>
      <c r="I13" s="820">
        <f t="shared" si="9"/>
        <v>40.499502892114165</v>
      </c>
      <c r="J13" s="821">
        <f t="shared" si="9"/>
        <v>42.260350843945218</v>
      </c>
      <c r="M13" s="78" t="s">
        <v>280</v>
      </c>
      <c r="N13" s="82">
        <f>N10+N11-N12</f>
        <v>1699.4703236735299</v>
      </c>
      <c r="O13" s="82">
        <f>O10+O11-O12</f>
        <v>2302.9057919088336</v>
      </c>
      <c r="P13" s="82">
        <f>P10+P11-P12</f>
        <v>2088.4025725951715</v>
      </c>
    </row>
    <row r="14" spans="2:16" s="8" customFormat="1" ht="13.5" customHeight="1">
      <c r="M14" s="78"/>
      <c r="N14" s="82"/>
      <c r="O14" s="82"/>
      <c r="P14" s="82"/>
    </row>
    <row r="15" spans="2:16" s="8" customFormat="1" ht="13.5" customHeight="1">
      <c r="F15" s="8" t="s">
        <v>36</v>
      </c>
      <c r="H15" s="789">
        <f>IS!G24</f>
        <v>1664.7203504360834</v>
      </c>
      <c r="M15" s="78"/>
      <c r="N15" s="82"/>
      <c r="O15" s="82"/>
      <c r="P15" s="82"/>
    </row>
    <row r="16" spans="2:16" s="8" customFormat="1" ht="13.5" customHeight="1">
      <c r="F16" s="8" t="s">
        <v>24</v>
      </c>
      <c r="H16" s="790">
        <f>BS!G39</f>
        <v>14395</v>
      </c>
      <c r="M16" s="78"/>
      <c r="N16" s="82"/>
      <c r="O16" s="82"/>
      <c r="P16" s="82"/>
    </row>
    <row r="17" spans="2:16" s="8" customFormat="1" ht="13.5" customHeight="1">
      <c r="H17" s="790"/>
      <c r="M17" s="78"/>
      <c r="N17" s="82"/>
      <c r="O17" s="82"/>
      <c r="P17" s="82"/>
    </row>
    <row r="18" spans="2:16" s="8" customFormat="1" ht="13.5" customHeight="1">
      <c r="D18" s="983" t="s">
        <v>289</v>
      </c>
      <c r="E18" s="983"/>
      <c r="F18" s="983"/>
      <c r="G18" s="983"/>
      <c r="H18" s="983"/>
      <c r="I18" s="983"/>
      <c r="J18" s="983"/>
      <c r="M18" s="78" t="s">
        <v>10</v>
      </c>
      <c r="N18" s="82">
        <f>N8</f>
        <v>5024.5635999999995</v>
      </c>
      <c r="O18" s="82">
        <f>O8</f>
        <v>5216.0481875099986</v>
      </c>
      <c r="P18" s="82">
        <f>P8</f>
        <v>5456.030873705713</v>
      </c>
    </row>
    <row r="19" spans="2:16" ht="13.5" customHeight="1">
      <c r="D19" s="780">
        <v>10.5</v>
      </c>
      <c r="E19" s="780">
        <f t="shared" ref="E19:J19" si="10">D19+1</f>
        <v>11.5</v>
      </c>
      <c r="F19" s="780">
        <f t="shared" si="10"/>
        <v>12.5</v>
      </c>
      <c r="G19" s="780">
        <f t="shared" si="10"/>
        <v>13.5</v>
      </c>
      <c r="H19" s="780">
        <f t="shared" si="10"/>
        <v>14.5</v>
      </c>
      <c r="I19" s="780">
        <f t="shared" si="10"/>
        <v>15.5</v>
      </c>
      <c r="J19" s="780">
        <f t="shared" si="10"/>
        <v>16.5</v>
      </c>
      <c r="M19" s="77" t="s">
        <v>46</v>
      </c>
      <c r="N19" s="82">
        <f>N11</f>
        <v>-2839.0578999999998</v>
      </c>
      <c r="O19" s="82">
        <f>O11</f>
        <v>-2042.4744599999999</v>
      </c>
      <c r="P19" s="82">
        <f>P11</f>
        <v>-2344.5216115599997</v>
      </c>
    </row>
    <row r="20" spans="2:16" ht="13.5" customHeight="1">
      <c r="C20" s="46">
        <f>C21-50</f>
        <v>4824.5635999999995</v>
      </c>
      <c r="D20" s="781">
        <f t="shared" ref="D20:J20" si="11">(($C20*D19)-$H$16)/$H$15</f>
        <v>21.78318886442441</v>
      </c>
      <c r="E20" s="782">
        <f t="shared" si="11"/>
        <v>24.681311422207873</v>
      </c>
      <c r="F20" s="782">
        <f t="shared" si="11"/>
        <v>27.579433979991329</v>
      </c>
      <c r="G20" s="782">
        <f t="shared" si="11"/>
        <v>30.477556537774788</v>
      </c>
      <c r="H20" s="782">
        <f t="shared" si="11"/>
        <v>33.375679095558247</v>
      </c>
      <c r="I20" s="828">
        <f t="shared" si="11"/>
        <v>36.273801653341714</v>
      </c>
      <c r="J20" s="827">
        <f t="shared" si="11"/>
        <v>39.171924211125166</v>
      </c>
      <c r="M20" s="77" t="s">
        <v>285</v>
      </c>
      <c r="N20" s="82">
        <f>CF!G17</f>
        <v>362.9715536735298</v>
      </c>
      <c r="O20" s="82">
        <f>CF!H17</f>
        <v>12.554582600834237</v>
      </c>
      <c r="P20" s="82">
        <f>CF!I17</f>
        <v>-98.352675965399158</v>
      </c>
    </row>
    <row r="21" spans="2:16" ht="13.5" customHeight="1">
      <c r="C21" s="46">
        <f>C22-50</f>
        <v>4874.5635999999995</v>
      </c>
      <c r="D21" s="784">
        <f t="shared" ref="D21:J21" si="12">(($C21*D19)-$H$16)/$H$15</f>
        <v>22.098557148270086</v>
      </c>
      <c r="E21" s="785">
        <f t="shared" si="12"/>
        <v>25.026714780705518</v>
      </c>
      <c r="F21" s="785">
        <f t="shared" si="12"/>
        <v>27.954872413140944</v>
      </c>
      <c r="G21" s="785">
        <f t="shared" si="12"/>
        <v>30.883030045576373</v>
      </c>
      <c r="H21" s="785">
        <f t="shared" si="12"/>
        <v>33.811187678011798</v>
      </c>
      <c r="I21" s="822">
        <f t="shared" si="12"/>
        <v>36.739345310447234</v>
      </c>
      <c r="J21" s="823">
        <f t="shared" si="12"/>
        <v>39.667502942882656</v>
      </c>
      <c r="M21" s="77" t="s">
        <v>226</v>
      </c>
      <c r="N21" s="82">
        <f>IS!G21</f>
        <v>-656.00693000000001</v>
      </c>
      <c r="O21" s="82">
        <f>IS!H21</f>
        <v>-695.22251820199995</v>
      </c>
      <c r="P21" s="82">
        <f>IS!I21</f>
        <v>-736.75401358514273</v>
      </c>
    </row>
    <row r="22" spans="2:16" ht="13.5" customHeight="1">
      <c r="C22" s="46">
        <f>C23-50</f>
        <v>4924.5635999999995</v>
      </c>
      <c r="D22" s="784">
        <f t="shared" ref="D22:J22" si="13">(($C22*D19)-$H$16)/$H$15</f>
        <v>22.413925432115764</v>
      </c>
      <c r="E22" s="785">
        <f t="shared" si="13"/>
        <v>25.372118139203163</v>
      </c>
      <c r="F22" s="785">
        <f t="shared" si="13"/>
        <v>28.330310846290558</v>
      </c>
      <c r="G22" s="785">
        <f t="shared" si="13"/>
        <v>31.288503553377957</v>
      </c>
      <c r="H22" s="785">
        <f t="shared" si="13"/>
        <v>34.246696260465349</v>
      </c>
      <c r="I22" s="822">
        <f t="shared" si="13"/>
        <v>37.204888967552755</v>
      </c>
      <c r="J22" s="823">
        <f t="shared" si="13"/>
        <v>40.163081674640146</v>
      </c>
      <c r="M22" s="78" t="s">
        <v>322</v>
      </c>
      <c r="N22" s="82">
        <f>SUM(N18:N21)</f>
        <v>1892.4703236735295</v>
      </c>
      <c r="O22" s="82">
        <f>SUM(O18:O21)</f>
        <v>2490.9057919088327</v>
      </c>
      <c r="P22" s="82">
        <f>SUM(P18:P21)</f>
        <v>2276.4025725951715</v>
      </c>
    </row>
    <row r="23" spans="2:16" ht="13.5" customHeight="1">
      <c r="C23" s="46">
        <f>C24-50</f>
        <v>4974.5635999999995</v>
      </c>
      <c r="D23" s="784">
        <f t="shared" ref="D23:J23" si="14">(($C23*D19)-$H$16)/$H$15</f>
        <v>22.72929371596144</v>
      </c>
      <c r="E23" s="785">
        <f t="shared" si="14"/>
        <v>25.717521497700808</v>
      </c>
      <c r="F23" s="785">
        <f t="shared" si="14"/>
        <v>28.70574927944017</v>
      </c>
      <c r="G23" s="785">
        <f t="shared" si="14"/>
        <v>31.693977061179538</v>
      </c>
      <c r="H23" s="822">
        <f t="shared" si="14"/>
        <v>34.6822048429189</v>
      </c>
      <c r="I23" s="822">
        <f t="shared" si="14"/>
        <v>37.670432624658275</v>
      </c>
      <c r="J23" s="823">
        <f t="shared" si="14"/>
        <v>40.658660406397637</v>
      </c>
    </row>
    <row r="24" spans="2:16" s="8" customFormat="1" ht="13.5" customHeight="1">
      <c r="B24" s="788" t="s">
        <v>288</v>
      </c>
      <c r="C24" s="46">
        <f>N8</f>
        <v>5024.5635999999995</v>
      </c>
      <c r="D24" s="784">
        <f t="shared" ref="D24:J24" si="15">(($C24*D19)-$H$16)/$H$15</f>
        <v>23.044661999807115</v>
      </c>
      <c r="E24" s="785">
        <f t="shared" si="15"/>
        <v>26.062924856198453</v>
      </c>
      <c r="F24" s="785">
        <f t="shared" si="15"/>
        <v>29.081187712589784</v>
      </c>
      <c r="G24" s="994">
        <f t="shared" si="15"/>
        <v>32.099450568981119</v>
      </c>
      <c r="H24" s="822">
        <f t="shared" si="15"/>
        <v>35.117713425372457</v>
      </c>
      <c r="I24" s="822">
        <f t="shared" si="15"/>
        <v>38.135976281763796</v>
      </c>
      <c r="J24" s="823">
        <f t="shared" si="15"/>
        <v>41.154239138155127</v>
      </c>
      <c r="M24" s="77"/>
      <c r="N24" s="82"/>
      <c r="O24" s="82"/>
      <c r="P24" s="82"/>
    </row>
    <row r="25" spans="2:16" s="8" customFormat="1" ht="13.5" customHeight="1">
      <c r="C25" s="46">
        <f>C24+50</f>
        <v>5074.5635999999995</v>
      </c>
      <c r="D25" s="784">
        <f t="shared" ref="D25:J25" si="16">(($C25*D19)-$H$16)/$H$15</f>
        <v>23.36003028365279</v>
      </c>
      <c r="E25" s="785">
        <f t="shared" si="16"/>
        <v>26.408328214696098</v>
      </c>
      <c r="F25" s="785">
        <f t="shared" si="16"/>
        <v>29.456626145739399</v>
      </c>
      <c r="G25" s="785">
        <f t="shared" si="16"/>
        <v>32.504924076782707</v>
      </c>
      <c r="H25" s="822">
        <f t="shared" si="16"/>
        <v>35.553222007826008</v>
      </c>
      <c r="I25" s="822">
        <f t="shared" si="16"/>
        <v>38.601519938869316</v>
      </c>
      <c r="J25" s="823">
        <f t="shared" si="16"/>
        <v>41.649817869912624</v>
      </c>
      <c r="M25" s="77"/>
      <c r="N25" s="82"/>
      <c r="O25" s="82"/>
      <c r="P25" s="82"/>
    </row>
    <row r="26" spans="2:16" s="8" customFormat="1" ht="13.5" customHeight="1">
      <c r="C26" s="46">
        <f>C25+50</f>
        <v>5124.5635999999995</v>
      </c>
      <c r="D26" s="784">
        <f t="shared" ref="D26:J26" si="17">(($C26*D19)-$H$16)/$H$15</f>
        <v>23.675398567498465</v>
      </c>
      <c r="E26" s="785">
        <f t="shared" si="17"/>
        <v>26.753731573193743</v>
      </c>
      <c r="F26" s="785">
        <f t="shared" si="17"/>
        <v>29.832064578889014</v>
      </c>
      <c r="G26" s="785">
        <f t="shared" si="17"/>
        <v>32.910397584584288</v>
      </c>
      <c r="H26" s="822">
        <f t="shared" si="17"/>
        <v>35.988730590279559</v>
      </c>
      <c r="I26" s="822">
        <f t="shared" si="17"/>
        <v>39.067063595974844</v>
      </c>
      <c r="J26" s="823">
        <f t="shared" si="17"/>
        <v>42.145396601670114</v>
      </c>
      <c r="M26" s="77"/>
      <c r="N26" s="82"/>
      <c r="O26" s="82"/>
      <c r="P26" s="82"/>
    </row>
    <row r="27" spans="2:16" s="8" customFormat="1" ht="13.5" customHeight="1">
      <c r="C27" s="46">
        <f>C26+50</f>
        <v>5174.5635999999995</v>
      </c>
      <c r="D27" s="784">
        <f t="shared" ref="D27:J27" si="18">(($C27*D19)-$H$16)/$H$15</f>
        <v>23.990766851344144</v>
      </c>
      <c r="E27" s="785">
        <f t="shared" si="18"/>
        <v>27.099134931691388</v>
      </c>
      <c r="F27" s="785">
        <f t="shared" si="18"/>
        <v>30.207503012038629</v>
      </c>
      <c r="G27" s="785">
        <f t="shared" si="18"/>
        <v>33.315871092385876</v>
      </c>
      <c r="H27" s="822">
        <f t="shared" si="18"/>
        <v>36.424239172733117</v>
      </c>
      <c r="I27" s="822">
        <f t="shared" si="18"/>
        <v>39.532607253080364</v>
      </c>
      <c r="J27" s="823">
        <f t="shared" si="18"/>
        <v>42.640975333427605</v>
      </c>
      <c r="M27" s="78"/>
      <c r="N27" s="82"/>
      <c r="O27" s="82"/>
      <c r="P27" s="82"/>
    </row>
    <row r="28" spans="2:16" s="8" customFormat="1" ht="13.5" customHeight="1">
      <c r="C28" s="46">
        <f>C27+50</f>
        <v>5224.5635999999995</v>
      </c>
      <c r="D28" s="786">
        <f t="shared" ref="D28:J28" si="19">(($C28*D19)-$H$16)/$H$15</f>
        <v>24.30613513518982</v>
      </c>
      <c r="E28" s="787">
        <f t="shared" si="19"/>
        <v>27.444538290189033</v>
      </c>
      <c r="F28" s="787">
        <f t="shared" si="19"/>
        <v>30.582941445188244</v>
      </c>
      <c r="G28" s="787">
        <f t="shared" si="19"/>
        <v>33.721344600187457</v>
      </c>
      <c r="H28" s="820">
        <f t="shared" si="19"/>
        <v>36.859747755186667</v>
      </c>
      <c r="I28" s="820">
        <f t="shared" si="19"/>
        <v>39.998150910185885</v>
      </c>
      <c r="J28" s="821">
        <f t="shared" si="19"/>
        <v>43.136554065185095</v>
      </c>
      <c r="M28" s="79"/>
      <c r="N28" s="82"/>
      <c r="O28" s="82"/>
      <c r="P28" s="82"/>
    </row>
    <row r="29" spans="2:16" s="8" customFormat="1" ht="13.5" customHeight="1">
      <c r="M29" s="78"/>
      <c r="N29" s="59"/>
      <c r="O29" s="59"/>
      <c r="P29" s="59"/>
    </row>
    <row r="30" spans="2:16" s="8" customFormat="1" ht="13.5" customHeight="1">
      <c r="M30" s="80"/>
      <c r="N30" s="10"/>
      <c r="O30" s="10"/>
      <c r="P30" s="10"/>
    </row>
    <row r="31" spans="2:16" s="123" customFormat="1" ht="13.5" customHeight="1">
      <c r="B31" s="8"/>
      <c r="C31" s="8"/>
      <c r="D31" s="983" t="s">
        <v>290</v>
      </c>
      <c r="E31" s="983"/>
      <c r="F31" s="983"/>
      <c r="G31" s="983"/>
      <c r="H31" s="983"/>
      <c r="I31" s="983"/>
      <c r="J31" s="983"/>
      <c r="M31" s="130"/>
      <c r="N31" s="131"/>
      <c r="O31" s="131"/>
      <c r="P31" s="131"/>
    </row>
    <row r="32" spans="2:16" s="123" customFormat="1" ht="13.5" customHeight="1">
      <c r="B32" s="8"/>
      <c r="C32" s="8"/>
      <c r="D32" s="780">
        <v>25</v>
      </c>
      <c r="E32" s="780">
        <f t="shared" ref="E32:J32" si="20">D32+3</f>
        <v>28</v>
      </c>
      <c r="F32" s="780">
        <f t="shared" si="20"/>
        <v>31</v>
      </c>
      <c r="G32" s="780">
        <f t="shared" si="20"/>
        <v>34</v>
      </c>
      <c r="H32" s="780">
        <f t="shared" si="20"/>
        <v>37</v>
      </c>
      <c r="I32" s="780">
        <f t="shared" si="20"/>
        <v>40</v>
      </c>
      <c r="J32" s="780">
        <f t="shared" si="20"/>
        <v>43</v>
      </c>
      <c r="M32" s="130"/>
      <c r="N32" s="131"/>
      <c r="O32" s="131"/>
      <c r="P32" s="131"/>
    </row>
    <row r="33" spans="2:16" s="8" customFormat="1" ht="13.5" customHeight="1">
      <c r="C33" s="46">
        <f>C34-50</f>
        <v>1499.4703236735299</v>
      </c>
      <c r="D33" s="781">
        <f t="shared" ref="D33:J33" si="21">(($C33*D32)-$H$16)/$H$15</f>
        <v>13.871253562671489</v>
      </c>
      <c r="E33" s="782">
        <f t="shared" si="21"/>
        <v>16.573455749268298</v>
      </c>
      <c r="F33" s="782">
        <f t="shared" si="21"/>
        <v>19.275657935865105</v>
      </c>
      <c r="G33" s="782">
        <f t="shared" si="21"/>
        <v>21.977860122461912</v>
      </c>
      <c r="H33" s="782">
        <f t="shared" si="21"/>
        <v>24.680062309058719</v>
      </c>
      <c r="I33" s="782">
        <f t="shared" si="21"/>
        <v>27.382264495655527</v>
      </c>
      <c r="J33" s="783">
        <f t="shared" si="21"/>
        <v>30.084466682252337</v>
      </c>
      <c r="M33" s="81"/>
      <c r="N33" s="82"/>
      <c r="O33" s="82"/>
      <c r="P33" s="82"/>
    </row>
    <row r="34" spans="2:16" s="123" customFormat="1" ht="13.5" customHeight="1">
      <c r="B34" s="8"/>
      <c r="C34" s="46">
        <f>C35-50</f>
        <v>1549.4703236735299</v>
      </c>
      <c r="D34" s="784">
        <f t="shared" ref="D34:J34" si="22">(($C34*D32)-$H$16)/$H$15</f>
        <v>14.622130428970717</v>
      </c>
      <c r="E34" s="785">
        <f t="shared" si="22"/>
        <v>17.414437839523433</v>
      </c>
      <c r="F34" s="785">
        <f t="shared" si="22"/>
        <v>20.206745250076146</v>
      </c>
      <c r="G34" s="785">
        <f t="shared" si="22"/>
        <v>22.999052660628863</v>
      </c>
      <c r="H34" s="785">
        <f t="shared" si="22"/>
        <v>25.791360071181579</v>
      </c>
      <c r="I34" s="785">
        <f t="shared" si="22"/>
        <v>28.583667481734292</v>
      </c>
      <c r="J34" s="825">
        <f t="shared" si="22"/>
        <v>31.375974892287012</v>
      </c>
      <c r="M34" s="130"/>
      <c r="N34" s="131"/>
      <c r="O34" s="131"/>
      <c r="P34" s="131"/>
    </row>
    <row r="35" spans="2:16" s="51" customFormat="1" ht="13.5" customHeight="1">
      <c r="B35" s="8"/>
      <c r="C35" s="46">
        <f>C36-50</f>
        <v>1599.4703236735299</v>
      </c>
      <c r="D35" s="784">
        <f t="shared" ref="D35:J35" si="23">(($C35*D32)-$H$16)/$H$15</f>
        <v>15.373007295269947</v>
      </c>
      <c r="E35" s="785">
        <f t="shared" si="23"/>
        <v>18.255419929778569</v>
      </c>
      <c r="F35" s="785">
        <f t="shared" si="23"/>
        <v>21.137832564287191</v>
      </c>
      <c r="G35" s="785">
        <f t="shared" si="23"/>
        <v>24.020245198795813</v>
      </c>
      <c r="H35" s="785">
        <f t="shared" si="23"/>
        <v>26.902657833304435</v>
      </c>
      <c r="I35" s="785">
        <f t="shared" si="23"/>
        <v>29.785070467813057</v>
      </c>
      <c r="J35" s="825">
        <f t="shared" si="23"/>
        <v>32.667483102321683</v>
      </c>
      <c r="M35" s="128"/>
      <c r="N35" s="129"/>
      <c r="O35" s="76"/>
      <c r="P35" s="76"/>
    </row>
    <row r="36" spans="2:16" s="51" customFormat="1" ht="13.5" customHeight="1">
      <c r="B36" s="8"/>
      <c r="C36" s="46">
        <f>C37-50</f>
        <v>1649.4703236735299</v>
      </c>
      <c r="D36" s="784">
        <f t="shared" ref="D36:J36" si="24">(($C36*D32)-$H$16)/$H$15</f>
        <v>16.123884161569176</v>
      </c>
      <c r="E36" s="785">
        <f t="shared" si="24"/>
        <v>19.096402020033704</v>
      </c>
      <c r="F36" s="785">
        <f t="shared" si="24"/>
        <v>22.068919878498235</v>
      </c>
      <c r="G36" s="785">
        <f t="shared" si="24"/>
        <v>25.041437736962763</v>
      </c>
      <c r="H36" s="785">
        <f t="shared" si="24"/>
        <v>28.013955595427294</v>
      </c>
      <c r="I36" s="824">
        <f t="shared" si="24"/>
        <v>30.986473453891826</v>
      </c>
      <c r="J36" s="823">
        <f t="shared" si="24"/>
        <v>33.95899131235636</v>
      </c>
      <c r="M36" s="128"/>
      <c r="N36" s="129"/>
      <c r="O36" s="76"/>
      <c r="P36" s="76"/>
    </row>
    <row r="37" spans="2:16" ht="13.5" customHeight="1">
      <c r="B37" s="788" t="s">
        <v>301</v>
      </c>
      <c r="C37" s="46">
        <f>N13</f>
        <v>1699.4703236735299</v>
      </c>
      <c r="D37" s="784">
        <f t="shared" ref="D37:J37" si="25">(($C37*D32)-$H$16)/$H$15</f>
        <v>16.874761027868402</v>
      </c>
      <c r="E37" s="785">
        <f t="shared" si="25"/>
        <v>19.937384110288839</v>
      </c>
      <c r="F37" s="785">
        <f t="shared" si="25"/>
        <v>23.000007192709276</v>
      </c>
      <c r="G37" s="785">
        <f t="shared" si="25"/>
        <v>26.062630275129717</v>
      </c>
      <c r="H37" s="993">
        <f t="shared" si="25"/>
        <v>29.125253357550154</v>
      </c>
      <c r="I37" s="824">
        <f t="shared" si="25"/>
        <v>32.187876439970587</v>
      </c>
      <c r="J37" s="823">
        <f t="shared" si="25"/>
        <v>35.250499522391031</v>
      </c>
    </row>
    <row r="38" spans="2:16" ht="13.5" customHeight="1">
      <c r="C38" s="46">
        <f>C37+50</f>
        <v>1749.4703236735299</v>
      </c>
      <c r="D38" s="784">
        <f t="shared" ref="D38:J38" si="26">(($C38*D32)-$H$16)/$H$15</f>
        <v>17.625637894167632</v>
      </c>
      <c r="E38" s="785">
        <f t="shared" si="26"/>
        <v>20.778366200543978</v>
      </c>
      <c r="F38" s="785">
        <f t="shared" si="26"/>
        <v>23.931094506920321</v>
      </c>
      <c r="G38" s="785">
        <f t="shared" si="26"/>
        <v>27.083822813296667</v>
      </c>
      <c r="H38" s="785">
        <f t="shared" si="26"/>
        <v>30.23655111967301</v>
      </c>
      <c r="I38" s="824">
        <f t="shared" si="26"/>
        <v>33.389279426049356</v>
      </c>
      <c r="J38" s="823">
        <f t="shared" si="26"/>
        <v>36.542007732425702</v>
      </c>
    </row>
    <row r="39" spans="2:16" ht="13.5" customHeight="1">
      <c r="C39" s="46">
        <f>C38+50</f>
        <v>1799.4703236735299</v>
      </c>
      <c r="D39" s="784">
        <f t="shared" ref="D39:J39" si="27">(($C39*D32)-$H$16)/$H$15</f>
        <v>18.376514760466861</v>
      </c>
      <c r="E39" s="785">
        <f t="shared" si="27"/>
        <v>21.619348290799113</v>
      </c>
      <c r="F39" s="785">
        <f t="shared" si="27"/>
        <v>24.862181821131365</v>
      </c>
      <c r="G39" s="785">
        <f t="shared" si="27"/>
        <v>28.105015351463617</v>
      </c>
      <c r="H39" s="824">
        <f t="shared" si="27"/>
        <v>31.347848881795873</v>
      </c>
      <c r="I39" s="822">
        <f t="shared" si="27"/>
        <v>34.590682412128125</v>
      </c>
      <c r="J39" s="823">
        <f t="shared" si="27"/>
        <v>37.83351594246038</v>
      </c>
    </row>
    <row r="40" spans="2:16" ht="13.5" customHeight="1">
      <c r="C40" s="46">
        <f>C39+50</f>
        <v>1849.4703236735299</v>
      </c>
      <c r="D40" s="784">
        <f t="shared" ref="D40:J40" si="28">(($C40*D32)-$H$16)/$H$15</f>
        <v>19.127391626766091</v>
      </c>
      <c r="E40" s="785">
        <f t="shared" si="28"/>
        <v>22.460330381054249</v>
      </c>
      <c r="F40" s="785">
        <f t="shared" si="28"/>
        <v>25.79326913534241</v>
      </c>
      <c r="G40" s="785">
        <f t="shared" si="28"/>
        <v>29.126207889630567</v>
      </c>
      <c r="H40" s="824">
        <f t="shared" si="28"/>
        <v>32.459146643918729</v>
      </c>
      <c r="I40" s="822">
        <f t="shared" si="28"/>
        <v>35.792085398206886</v>
      </c>
      <c r="J40" s="823">
        <f t="shared" si="28"/>
        <v>39.125024152495051</v>
      </c>
    </row>
    <row r="41" spans="2:16" ht="13.5" customHeight="1">
      <c r="C41" s="46">
        <f>C40+50</f>
        <v>1899.4703236735299</v>
      </c>
      <c r="D41" s="786">
        <f t="shared" ref="D41:J41" si="29">(($C41*D32)-$H$16)/$H$15</f>
        <v>19.878268493065317</v>
      </c>
      <c r="E41" s="787">
        <f t="shared" si="29"/>
        <v>23.301312471309384</v>
      </c>
      <c r="F41" s="787">
        <f t="shared" si="29"/>
        <v>26.724356449553451</v>
      </c>
      <c r="G41" s="826">
        <f t="shared" si="29"/>
        <v>30.147400427797518</v>
      </c>
      <c r="H41" s="820">
        <f t="shared" si="29"/>
        <v>33.570444406041588</v>
      </c>
      <c r="I41" s="820">
        <f t="shared" si="29"/>
        <v>36.993488384285655</v>
      </c>
      <c r="J41" s="821">
        <f t="shared" si="29"/>
        <v>40.416532362529722</v>
      </c>
    </row>
    <row r="42" spans="2:16" s="8" customFormat="1" ht="13.5" customHeight="1"/>
    <row r="43" spans="2:16" s="8" customFormat="1" ht="13.5" customHeight="1"/>
    <row r="44" spans="2:16" s="8" customFormat="1" ht="13.5" customHeight="1"/>
    <row r="45" spans="2:16" s="8" customFormat="1" ht="13.5" customHeight="1">
      <c r="E45" s="922"/>
    </row>
    <row r="46" spans="2:16" s="8" customFormat="1" ht="13.5" customHeight="1"/>
  </sheetData>
  <mergeCells count="3">
    <mergeCell ref="D4:J4"/>
    <mergeCell ref="D18:J18"/>
    <mergeCell ref="D31:J31"/>
  </mergeCells>
  <conditionalFormatting sqref="M24:P36 M7:P22">
    <cfRule type="expression" dxfId="0" priority="1">
      <formula>print=1</formula>
    </cfRule>
  </conditionalFormatting>
  <pageMargins left="0.7" right="0.7" top="0.75" bottom="0.75" header="0.3" footer="0.3"/>
  <pageSetup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 tint="-0.249977111117893"/>
    <outlinePr summaryBelow="0" summaryRight="0"/>
    <pageSetUpPr autoPageBreaks="0"/>
  </sheetPr>
  <dimension ref="B1:ID193"/>
  <sheetViews>
    <sheetView showGridLines="0" view="pageBreakPreview" zoomScaleNormal="100" zoomScaleSheetLayoutView="100" workbookViewId="0"/>
  </sheetViews>
  <sheetFormatPr defaultRowHeight="11.25"/>
  <cols>
    <col min="1" max="1" width="5.83203125" style="138" customWidth="1"/>
    <col min="2" max="2" width="38.5" style="138" bestFit="1" customWidth="1"/>
    <col min="3" max="3" width="22.1640625" style="138" bestFit="1" customWidth="1"/>
    <col min="4" max="4" width="17.1640625" style="138" bestFit="1" customWidth="1"/>
    <col min="5" max="5" width="21" style="138" bestFit="1" customWidth="1"/>
    <col min="6" max="6" width="22.83203125" style="138" bestFit="1" customWidth="1"/>
    <col min="7" max="7" width="11.33203125" style="138" bestFit="1" customWidth="1"/>
    <col min="8" max="8" width="15.6640625" style="138" bestFit="1" customWidth="1"/>
    <col min="9" max="16384" width="9.33203125" style="138"/>
  </cols>
  <sheetData>
    <row r="1" spans="2:238" ht="13.5" customHeight="1"/>
    <row r="2" spans="2:238" ht="13.5" customHeight="1">
      <c r="B2" s="219" t="str">
        <f>Debt!B2</f>
        <v>Mondelez International, Inc. (MDLZ)</v>
      </c>
    </row>
    <row r="3" spans="2:238" s="140" customFormat="1" ht="13.5" customHeight="1">
      <c r="B3" s="143" t="s">
        <v>114</v>
      </c>
      <c r="C3" s="141"/>
      <c r="D3" s="141"/>
      <c r="E3" s="141"/>
      <c r="F3" s="141"/>
      <c r="G3" s="141"/>
      <c r="H3" s="141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  <c r="AL3" s="142"/>
      <c r="AM3" s="142"/>
      <c r="AN3" s="142"/>
      <c r="AO3" s="142"/>
      <c r="AP3" s="142"/>
      <c r="AQ3" s="142"/>
      <c r="AR3" s="142"/>
      <c r="AS3" s="142"/>
      <c r="AT3" s="142"/>
      <c r="AU3" s="142"/>
      <c r="AV3" s="142"/>
      <c r="AW3" s="142"/>
      <c r="AX3" s="142"/>
      <c r="AY3" s="142"/>
      <c r="AZ3" s="142"/>
      <c r="BA3" s="142"/>
      <c r="BB3" s="142"/>
      <c r="BC3" s="142"/>
      <c r="BD3" s="142"/>
      <c r="BE3" s="142"/>
      <c r="BF3" s="142"/>
      <c r="BG3" s="142"/>
      <c r="BH3" s="142"/>
      <c r="BI3" s="142"/>
      <c r="BJ3" s="142"/>
      <c r="BK3" s="142"/>
      <c r="BL3" s="142"/>
      <c r="BM3" s="142"/>
      <c r="BN3" s="142"/>
      <c r="BO3" s="142"/>
      <c r="BP3" s="142"/>
      <c r="BQ3" s="142"/>
      <c r="BR3" s="142"/>
      <c r="BS3" s="142"/>
      <c r="BT3" s="142"/>
      <c r="BU3" s="142"/>
      <c r="BV3" s="142"/>
      <c r="BW3" s="142"/>
      <c r="BX3" s="142"/>
      <c r="BY3" s="142"/>
      <c r="BZ3" s="142"/>
      <c r="CA3" s="142"/>
      <c r="CB3" s="142"/>
      <c r="CC3" s="142"/>
      <c r="CD3" s="142"/>
      <c r="CE3" s="142"/>
      <c r="CF3" s="142"/>
      <c r="CG3" s="142"/>
      <c r="CH3" s="142"/>
      <c r="CI3" s="142"/>
      <c r="CJ3" s="142"/>
      <c r="CK3" s="142"/>
      <c r="CL3" s="142"/>
      <c r="CM3" s="142"/>
      <c r="CN3" s="142"/>
      <c r="CO3" s="142"/>
      <c r="CP3" s="142"/>
      <c r="CQ3" s="142"/>
      <c r="CR3" s="142"/>
      <c r="CS3" s="142"/>
      <c r="CT3" s="142"/>
      <c r="CU3" s="142"/>
      <c r="CV3" s="142"/>
      <c r="CW3" s="142"/>
      <c r="CX3" s="142"/>
      <c r="CY3" s="142"/>
      <c r="CZ3" s="142"/>
      <c r="DA3" s="142"/>
      <c r="DB3" s="142"/>
      <c r="DC3" s="142"/>
      <c r="DD3" s="142"/>
      <c r="DE3" s="142"/>
      <c r="DF3" s="142"/>
      <c r="DG3" s="142"/>
      <c r="DH3" s="142"/>
      <c r="DI3" s="142"/>
      <c r="DJ3" s="142"/>
      <c r="DK3" s="142"/>
      <c r="DL3" s="142"/>
      <c r="DM3" s="142"/>
      <c r="DN3" s="142"/>
      <c r="DO3" s="142"/>
      <c r="DP3" s="142"/>
      <c r="DQ3" s="142"/>
      <c r="DR3" s="142"/>
      <c r="DS3" s="142"/>
      <c r="DT3" s="142"/>
      <c r="DU3" s="142"/>
      <c r="DV3" s="142"/>
      <c r="DW3" s="142"/>
      <c r="DX3" s="142"/>
      <c r="DY3" s="142"/>
      <c r="DZ3" s="142"/>
      <c r="EA3" s="142"/>
      <c r="EB3" s="142"/>
      <c r="EC3" s="142"/>
      <c r="ED3" s="142"/>
      <c r="EE3" s="142"/>
      <c r="EF3" s="142"/>
      <c r="EG3" s="142"/>
      <c r="EH3" s="142"/>
      <c r="EI3" s="142"/>
      <c r="EJ3" s="142"/>
      <c r="EK3" s="142"/>
      <c r="EL3" s="142"/>
      <c r="EM3" s="142"/>
      <c r="EN3" s="142"/>
      <c r="EO3" s="142"/>
      <c r="EP3" s="142"/>
      <c r="EQ3" s="142"/>
      <c r="ER3" s="142"/>
      <c r="ES3" s="142"/>
      <c r="ET3" s="142"/>
      <c r="EU3" s="142"/>
      <c r="EV3" s="142"/>
      <c r="EW3" s="142"/>
      <c r="EX3" s="142"/>
      <c r="EY3" s="142"/>
      <c r="EZ3" s="142"/>
      <c r="FA3" s="142"/>
      <c r="FB3" s="142"/>
      <c r="FC3" s="142"/>
      <c r="FD3" s="142"/>
      <c r="FE3" s="142"/>
      <c r="FF3" s="142"/>
      <c r="FG3" s="142"/>
      <c r="FH3" s="142"/>
      <c r="FI3" s="142"/>
      <c r="FJ3" s="142"/>
      <c r="FK3" s="142"/>
      <c r="FL3" s="142"/>
      <c r="FM3" s="142"/>
      <c r="FN3" s="142"/>
      <c r="FO3" s="142"/>
      <c r="FP3" s="142"/>
      <c r="FQ3" s="142"/>
      <c r="FR3" s="142"/>
      <c r="FS3" s="142"/>
      <c r="FT3" s="142"/>
      <c r="FU3" s="142"/>
      <c r="FV3" s="142"/>
      <c r="FW3" s="142"/>
      <c r="FX3" s="142"/>
      <c r="FY3" s="142"/>
      <c r="FZ3" s="142"/>
      <c r="GA3" s="142"/>
      <c r="GB3" s="142"/>
      <c r="GC3" s="142"/>
      <c r="GD3" s="142"/>
      <c r="GE3" s="142"/>
      <c r="GF3" s="142"/>
      <c r="GG3" s="142"/>
      <c r="GH3" s="142"/>
      <c r="GI3" s="142"/>
      <c r="GJ3" s="142"/>
      <c r="GK3" s="142"/>
      <c r="GL3" s="142"/>
      <c r="GM3" s="142"/>
      <c r="GN3" s="142"/>
      <c r="GO3" s="142"/>
      <c r="GP3" s="142"/>
      <c r="GQ3" s="142"/>
      <c r="GR3" s="142"/>
      <c r="GS3" s="142"/>
      <c r="GT3" s="142"/>
      <c r="GU3" s="142"/>
      <c r="GV3" s="142"/>
      <c r="GW3" s="142"/>
      <c r="GX3" s="142"/>
      <c r="GY3" s="142"/>
      <c r="GZ3" s="142"/>
      <c r="HA3" s="142"/>
      <c r="HB3" s="142"/>
      <c r="HC3" s="142"/>
      <c r="HD3" s="142"/>
      <c r="HE3" s="142"/>
      <c r="HF3" s="142"/>
      <c r="HG3" s="142"/>
      <c r="HH3" s="142"/>
      <c r="HI3" s="142"/>
      <c r="HJ3" s="142"/>
      <c r="HK3" s="142"/>
      <c r="HL3" s="142"/>
      <c r="HM3" s="142"/>
      <c r="HN3" s="142"/>
      <c r="HO3" s="142"/>
      <c r="HP3" s="142"/>
      <c r="HQ3" s="142"/>
      <c r="HR3" s="142"/>
      <c r="HS3" s="142"/>
      <c r="HT3" s="142"/>
      <c r="HU3" s="142"/>
      <c r="HV3" s="142"/>
      <c r="HW3" s="142"/>
      <c r="HX3" s="142"/>
      <c r="HY3" s="142"/>
      <c r="HZ3" s="142"/>
      <c r="IA3" s="142"/>
      <c r="IB3" s="142"/>
      <c r="IC3" s="142"/>
      <c r="ID3" s="142"/>
    </row>
    <row r="4" spans="2:238" s="140" customFormat="1" ht="13.5" customHeight="1">
      <c r="B4" s="216"/>
      <c r="C4" s="141"/>
      <c r="D4" s="141"/>
      <c r="E4" s="141"/>
      <c r="F4" s="141"/>
      <c r="G4" s="141"/>
      <c r="H4" s="141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 s="142"/>
      <c r="EF4" s="142"/>
      <c r="EG4" s="142"/>
      <c r="EH4" s="142"/>
      <c r="EI4" s="142"/>
      <c r="EJ4" s="142"/>
      <c r="EK4" s="142"/>
      <c r="EL4" s="142"/>
      <c r="EM4" s="142"/>
      <c r="EN4" s="142"/>
      <c r="EO4" s="142"/>
      <c r="EP4" s="142"/>
      <c r="EQ4" s="142"/>
      <c r="ER4" s="142"/>
      <c r="ES4" s="142"/>
      <c r="ET4" s="142"/>
      <c r="EU4" s="142"/>
      <c r="EV4" s="142"/>
      <c r="EW4" s="142"/>
      <c r="EX4" s="142"/>
      <c r="EY4" s="142"/>
      <c r="EZ4" s="142"/>
      <c r="FA4" s="142"/>
      <c r="FB4" s="142"/>
      <c r="FC4" s="142"/>
      <c r="FD4" s="142"/>
      <c r="FE4" s="142"/>
      <c r="FF4" s="142"/>
      <c r="FG4" s="142"/>
      <c r="FH4" s="142"/>
      <c r="FI4" s="142"/>
      <c r="FJ4" s="142"/>
      <c r="FK4" s="142"/>
      <c r="FL4" s="142"/>
      <c r="FM4" s="142"/>
      <c r="FN4" s="142"/>
      <c r="FO4" s="142"/>
      <c r="FP4" s="142"/>
      <c r="FQ4" s="142"/>
      <c r="FR4" s="142"/>
      <c r="FS4" s="142"/>
      <c r="FT4" s="142"/>
      <c r="FU4" s="142"/>
      <c r="FV4" s="142"/>
      <c r="FW4" s="142"/>
      <c r="FX4" s="142"/>
      <c r="FY4" s="142"/>
      <c r="FZ4" s="142"/>
      <c r="GA4" s="142"/>
      <c r="GB4" s="142"/>
      <c r="GC4" s="142"/>
      <c r="GD4" s="142"/>
      <c r="GE4" s="142"/>
      <c r="GF4" s="142"/>
      <c r="GG4" s="142"/>
      <c r="GH4" s="142"/>
      <c r="GI4" s="142"/>
      <c r="GJ4" s="142"/>
      <c r="GK4" s="142"/>
      <c r="GL4" s="142"/>
      <c r="GM4" s="142"/>
      <c r="GN4" s="142"/>
      <c r="GO4" s="142"/>
      <c r="GP4" s="142"/>
      <c r="GQ4" s="142"/>
      <c r="GR4" s="142"/>
      <c r="GS4" s="142"/>
      <c r="GT4" s="142"/>
      <c r="GU4" s="142"/>
      <c r="GV4" s="142"/>
      <c r="GW4" s="142"/>
      <c r="GX4" s="142"/>
      <c r="GY4" s="142"/>
      <c r="GZ4" s="142"/>
      <c r="HA4" s="142"/>
      <c r="HB4" s="142"/>
      <c r="HC4" s="142"/>
      <c r="HD4" s="142"/>
      <c r="HE4" s="142"/>
      <c r="HF4" s="142"/>
      <c r="HG4" s="142"/>
      <c r="HH4" s="142"/>
      <c r="HI4" s="142"/>
      <c r="HJ4" s="142"/>
      <c r="HK4" s="142"/>
      <c r="HL4" s="142"/>
      <c r="HM4" s="142"/>
      <c r="HN4" s="142"/>
      <c r="HO4" s="142"/>
      <c r="HP4" s="142"/>
      <c r="HQ4" s="142"/>
      <c r="HR4" s="142"/>
      <c r="HS4" s="142"/>
      <c r="HT4" s="142"/>
      <c r="HU4" s="142"/>
      <c r="HV4" s="142"/>
      <c r="HW4" s="142"/>
      <c r="HX4" s="142"/>
      <c r="HY4" s="142"/>
      <c r="HZ4" s="142"/>
      <c r="IA4" s="142"/>
      <c r="IB4" s="142"/>
      <c r="IC4" s="142"/>
      <c r="ID4" s="142"/>
    </row>
    <row r="5" spans="2:238" ht="13.5" customHeight="1">
      <c r="B5" s="215" t="s">
        <v>113</v>
      </c>
      <c r="C5" s="169" t="s">
        <v>115</v>
      </c>
      <c r="D5" s="169" t="s">
        <v>118</v>
      </c>
      <c r="E5" s="169" t="s">
        <v>112</v>
      </c>
      <c r="F5" s="169" t="s">
        <v>119</v>
      </c>
      <c r="G5" s="169" t="s">
        <v>111</v>
      </c>
      <c r="H5" s="170" t="s">
        <v>110</v>
      </c>
      <c r="I5" s="897"/>
    </row>
    <row r="6" spans="2:238" ht="13.5" customHeight="1">
      <c r="B6" s="584" t="s">
        <v>109</v>
      </c>
      <c r="C6" s="586">
        <v>96534640</v>
      </c>
      <c r="D6" s="589">
        <v>5.8520000000000003E-2</v>
      </c>
      <c r="E6" s="587">
        <v>3378.7</v>
      </c>
      <c r="F6" s="586">
        <v>-9036283</v>
      </c>
      <c r="G6" s="590">
        <v>-8.5600000000000009E-2</v>
      </c>
      <c r="H6" s="591">
        <v>42004</v>
      </c>
      <c r="I6" s="588"/>
    </row>
    <row r="7" spans="2:238" ht="13.5" customHeight="1">
      <c r="B7" s="584" t="s">
        <v>108</v>
      </c>
      <c r="C7" s="586">
        <v>85272925</v>
      </c>
      <c r="D7" s="589">
        <v>5.1700000000000003E-2</v>
      </c>
      <c r="E7" s="585">
        <v>2984.6</v>
      </c>
      <c r="F7" s="586">
        <v>2709907</v>
      </c>
      <c r="G7" s="590">
        <v>3.2799999999999996E-2</v>
      </c>
      <c r="H7" s="591">
        <v>42004</v>
      </c>
      <c r="I7" s="588"/>
    </row>
    <row r="8" spans="2:238" ht="13.5" customHeight="1">
      <c r="B8" s="584" t="s">
        <v>106</v>
      </c>
      <c r="C8" s="586">
        <v>77541976</v>
      </c>
      <c r="D8" s="589">
        <v>4.7009999999999996E-2</v>
      </c>
      <c r="E8" s="585">
        <v>2714</v>
      </c>
      <c r="F8" s="586">
        <v>3245401</v>
      </c>
      <c r="G8" s="590">
        <v>4.3700000000000003E-2</v>
      </c>
      <c r="H8" s="591">
        <v>42004</v>
      </c>
      <c r="I8" s="588"/>
    </row>
    <row r="9" spans="2:238" ht="13.5" customHeight="1">
      <c r="B9" s="584" t="s">
        <v>211</v>
      </c>
      <c r="C9" s="586">
        <v>48018409</v>
      </c>
      <c r="D9" s="589">
        <v>2.9110000000000004E-2</v>
      </c>
      <c r="E9" s="585">
        <v>1680.6</v>
      </c>
      <c r="F9" s="586">
        <v>1719384</v>
      </c>
      <c r="G9" s="590">
        <v>3.7100000000000001E-2</v>
      </c>
      <c r="H9" s="591">
        <v>42067</v>
      </c>
      <c r="I9" s="588"/>
    </row>
    <row r="10" spans="2:238" ht="13.5" customHeight="1">
      <c r="B10" s="584" t="s">
        <v>212</v>
      </c>
      <c r="C10" s="586">
        <v>44238445</v>
      </c>
      <c r="D10" s="589">
        <v>2.682E-2</v>
      </c>
      <c r="E10" s="585">
        <v>1548.3</v>
      </c>
      <c r="F10" s="586">
        <v>7126684</v>
      </c>
      <c r="G10" s="590">
        <v>0.192</v>
      </c>
      <c r="H10" s="591">
        <v>42004</v>
      </c>
      <c r="I10" s="588"/>
    </row>
    <row r="11" spans="2:238" ht="13.5" customHeight="1">
      <c r="B11" s="584" t="s">
        <v>213</v>
      </c>
      <c r="C11" s="586">
        <v>33181242</v>
      </c>
      <c r="D11" s="589">
        <v>2.0119999999999999E-2</v>
      </c>
      <c r="E11" s="585">
        <v>1161.3</v>
      </c>
      <c r="F11" s="586">
        <v>-632249</v>
      </c>
      <c r="G11" s="590">
        <v>-1.8700000000000001E-2</v>
      </c>
      <c r="H11" s="591">
        <v>42004</v>
      </c>
      <c r="I11" s="588"/>
    </row>
    <row r="12" spans="2:238" ht="13.5" customHeight="1">
      <c r="B12" s="584" t="s">
        <v>214</v>
      </c>
      <c r="C12" s="586">
        <v>32700884</v>
      </c>
      <c r="D12" s="589">
        <v>1.983E-2</v>
      </c>
      <c r="E12" s="585">
        <v>1144.5</v>
      </c>
      <c r="F12" s="586">
        <v>-2098149</v>
      </c>
      <c r="G12" s="590">
        <v>-6.0299999999999999E-2</v>
      </c>
      <c r="H12" s="591">
        <v>42004</v>
      </c>
      <c r="I12" s="588"/>
    </row>
    <row r="13" spans="2:238" ht="13.5" customHeight="1">
      <c r="B13" s="584" t="s">
        <v>215</v>
      </c>
      <c r="C13" s="586">
        <v>32417400</v>
      </c>
      <c r="D13" s="589">
        <v>1.9650000000000001E-2</v>
      </c>
      <c r="E13" s="585">
        <v>1134.5999999999999</v>
      </c>
      <c r="F13" s="586">
        <v>-1258000</v>
      </c>
      <c r="G13" s="590">
        <v>-3.7400000000000003E-2</v>
      </c>
      <c r="H13" s="591">
        <v>42004</v>
      </c>
      <c r="I13" s="588"/>
    </row>
    <row r="14" spans="2:238" ht="13.5" customHeight="1">
      <c r="B14" s="584" t="s">
        <v>216</v>
      </c>
      <c r="C14" s="586">
        <v>26741181</v>
      </c>
      <c r="D14" s="589">
        <v>1.6209999999999999E-2</v>
      </c>
      <c r="E14" s="585">
        <v>935.9</v>
      </c>
      <c r="F14" s="586">
        <v>-3901245</v>
      </c>
      <c r="G14" s="590">
        <v>-0.1273</v>
      </c>
      <c r="H14" s="591">
        <v>42004</v>
      </c>
      <c r="I14" s="588"/>
    </row>
    <row r="15" spans="2:238" ht="13.5" customHeight="1">
      <c r="B15" s="584" t="s">
        <v>107</v>
      </c>
      <c r="C15" s="586">
        <v>25035599</v>
      </c>
      <c r="D15" s="589">
        <v>1.5180000000000001E-2</v>
      </c>
      <c r="E15" s="585">
        <v>876.2</v>
      </c>
      <c r="F15" s="586">
        <v>333272</v>
      </c>
      <c r="G15" s="590">
        <v>1.3500000000000002E-2</v>
      </c>
      <c r="H15" s="591">
        <v>42004</v>
      </c>
      <c r="I15" s="588"/>
    </row>
    <row r="16" spans="2:238" ht="13.5" customHeight="1">
      <c r="B16" s="584" t="s">
        <v>105</v>
      </c>
      <c r="C16" s="586">
        <v>24799193</v>
      </c>
      <c r="D16" s="589">
        <v>1.5029999999999998E-2</v>
      </c>
      <c r="E16" s="585">
        <v>868</v>
      </c>
      <c r="F16" s="586">
        <v>-1416059</v>
      </c>
      <c r="G16" s="590">
        <v>-5.4000000000000006E-2</v>
      </c>
      <c r="H16" s="591">
        <v>42004</v>
      </c>
      <c r="I16" s="588"/>
    </row>
    <row r="17" spans="2:9" ht="13.5" customHeight="1">
      <c r="B17" s="584" t="s">
        <v>217</v>
      </c>
      <c r="C17" s="586">
        <v>24206546</v>
      </c>
      <c r="D17" s="589">
        <v>1.468E-2</v>
      </c>
      <c r="E17" s="585">
        <v>847.2</v>
      </c>
      <c r="F17" s="586">
        <v>-4136141</v>
      </c>
      <c r="G17" s="590">
        <v>-0.1459</v>
      </c>
      <c r="H17" s="591">
        <v>42004</v>
      </c>
      <c r="I17" s="588"/>
    </row>
    <row r="18" spans="2:9" ht="13.5" customHeight="1">
      <c r="B18" s="584" t="s">
        <v>218</v>
      </c>
      <c r="C18" s="586">
        <v>23597868</v>
      </c>
      <c r="D18" s="589">
        <v>1.431E-2</v>
      </c>
      <c r="E18" s="585">
        <v>825.9</v>
      </c>
      <c r="F18" s="586">
        <v>1001287</v>
      </c>
      <c r="G18" s="590">
        <v>4.4299999999999999E-2</v>
      </c>
      <c r="H18" s="591">
        <v>42004</v>
      </c>
      <c r="I18" s="588"/>
    </row>
    <row r="19" spans="2:9" ht="13.5" customHeight="1">
      <c r="B19" s="584" t="s">
        <v>219</v>
      </c>
      <c r="C19" s="586">
        <v>21476435</v>
      </c>
      <c r="D19" s="589">
        <v>1.3020000000000002E-2</v>
      </c>
      <c r="E19" s="585">
        <v>751.7</v>
      </c>
      <c r="F19" s="586">
        <v>-506481</v>
      </c>
      <c r="G19" s="590">
        <v>-2.3E-2</v>
      </c>
      <c r="H19" s="591">
        <v>42004</v>
      </c>
      <c r="I19" s="588"/>
    </row>
    <row r="20" spans="2:9" ht="13.5" customHeight="1">
      <c r="B20" s="584" t="s">
        <v>220</v>
      </c>
      <c r="C20" s="586">
        <v>18277635</v>
      </c>
      <c r="D20" s="589">
        <v>1.1080000000000001E-2</v>
      </c>
      <c r="E20" s="585">
        <v>639.70000000000005</v>
      </c>
      <c r="F20" s="586">
        <v>2365112</v>
      </c>
      <c r="G20" s="590">
        <v>0.14859999999999998</v>
      </c>
      <c r="H20" s="591">
        <v>42004</v>
      </c>
      <c r="I20" s="588"/>
    </row>
    <row r="21" spans="2:9" ht="13.5" customHeight="1">
      <c r="B21" s="584" t="s">
        <v>221</v>
      </c>
      <c r="C21" s="586">
        <v>15481101</v>
      </c>
      <c r="D21" s="589">
        <v>9.389999999999999E-3</v>
      </c>
      <c r="E21" s="585">
        <v>541.79999999999995</v>
      </c>
      <c r="F21" s="586">
        <v>-2593651</v>
      </c>
      <c r="G21" s="590">
        <v>-0.14349999999999999</v>
      </c>
      <c r="H21" s="591">
        <v>42004</v>
      </c>
      <c r="I21" s="588"/>
    </row>
    <row r="22" spans="2:9" ht="13.5" customHeight="1">
      <c r="B22" s="584" t="s">
        <v>222</v>
      </c>
      <c r="C22" s="586">
        <v>15060024</v>
      </c>
      <c r="D22" s="589">
        <v>9.1299999999999992E-3</v>
      </c>
      <c r="E22" s="585">
        <v>527.1</v>
      </c>
      <c r="F22" s="586">
        <v>-1726675</v>
      </c>
      <c r="G22" s="590">
        <v>-0.10289999999999999</v>
      </c>
      <c r="H22" s="591">
        <v>42004</v>
      </c>
      <c r="I22" s="588"/>
    </row>
    <row r="23" spans="2:9" ht="13.5" customHeight="1">
      <c r="B23" s="584" t="s">
        <v>223</v>
      </c>
      <c r="C23" s="586">
        <v>14863519</v>
      </c>
      <c r="D23" s="589">
        <v>9.0100000000000006E-3</v>
      </c>
      <c r="E23" s="585">
        <v>520.20000000000005</v>
      </c>
      <c r="F23" s="586">
        <v>2059896</v>
      </c>
      <c r="G23" s="590">
        <v>0.16089999999999999</v>
      </c>
      <c r="H23" s="591">
        <v>42004</v>
      </c>
      <c r="I23" s="588"/>
    </row>
    <row r="24" spans="2:9" ht="13.5" customHeight="1">
      <c r="B24" s="584" t="s">
        <v>224</v>
      </c>
      <c r="C24" s="586">
        <v>14361358</v>
      </c>
      <c r="D24" s="589">
        <v>8.709999999999999E-3</v>
      </c>
      <c r="E24" s="585">
        <v>502.6</v>
      </c>
      <c r="F24" s="586">
        <v>135379</v>
      </c>
      <c r="G24" s="590">
        <v>9.4999999999999998E-3</v>
      </c>
      <c r="H24" s="591">
        <v>42004</v>
      </c>
      <c r="I24" s="588"/>
    </row>
    <row r="25" spans="2:9" ht="13.5" customHeight="1">
      <c r="B25" s="584" t="s">
        <v>225</v>
      </c>
      <c r="C25" s="586">
        <v>14237306</v>
      </c>
      <c r="D25" s="589">
        <v>8.6300000000000005E-3</v>
      </c>
      <c r="E25" s="585">
        <v>498.3</v>
      </c>
      <c r="F25" s="586">
        <v>2984409</v>
      </c>
      <c r="G25" s="590">
        <v>0.26519999999999999</v>
      </c>
      <c r="H25" s="591">
        <v>42004</v>
      </c>
      <c r="I25" s="588"/>
    </row>
    <row r="26" spans="2:9" ht="13.5" customHeight="1">
      <c r="H26" s="591"/>
    </row>
    <row r="27" spans="2:9" ht="13.5" customHeight="1">
      <c r="H27" s="591"/>
    </row>
    <row r="28" spans="2:9" ht="13.5" customHeight="1"/>
    <row r="29" spans="2:9" ht="13.5" customHeight="1"/>
    <row r="30" spans="2:9" ht="13.5" customHeight="1"/>
    <row r="31" spans="2:9" ht="13.5" customHeight="1"/>
    <row r="32" spans="2:9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</sheetData>
  <pageMargins left="0.2" right="0.2" top="0.5" bottom="0.5" header="0.5" footer="0.5"/>
  <pageSetup fitToWidth="0" fitToHeight="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 tint="-0.249977111117893"/>
    <pageSetUpPr fitToPage="1"/>
  </sheetPr>
  <dimension ref="B1:J189"/>
  <sheetViews>
    <sheetView showGridLines="0" view="pageBreakPreview" zoomScaleNormal="100" zoomScaleSheetLayoutView="100" workbookViewId="0">
      <pane xSplit="2" ySplit="5" topLeftCell="C6" activePane="bottomRight" state="frozen"/>
      <selection pane="topRight" activeCell="C1" sqref="C1"/>
      <selection pane="bottomLeft" activeCell="A6" sqref="A6"/>
      <selection pane="bottomRight"/>
    </sheetView>
  </sheetViews>
  <sheetFormatPr defaultRowHeight="11.25"/>
  <cols>
    <col min="1" max="1" width="5.83203125" style="14" customWidth="1"/>
    <col min="2" max="2" width="40.1640625" style="14" customWidth="1"/>
    <col min="3" max="3" width="10.83203125" style="14" bestFit="1" customWidth="1"/>
    <col min="4" max="5" width="12.1640625" style="14" bestFit="1" customWidth="1"/>
    <col min="6" max="6" width="11.33203125" style="14" bestFit="1" customWidth="1"/>
    <col min="7" max="9" width="12.1640625" style="14" bestFit="1" customWidth="1"/>
    <col min="10" max="16384" width="9.33203125" style="14"/>
  </cols>
  <sheetData>
    <row r="1" spans="2:10" ht="13.5" customHeight="1"/>
    <row r="2" spans="2:10" ht="13.5" customHeight="1">
      <c r="B2" s="219" t="str">
        <f>Holders!B2</f>
        <v>Mondelez International, Inc. (MDLZ)</v>
      </c>
      <c r="C2" s="4"/>
      <c r="D2" s="4"/>
      <c r="E2" s="4"/>
      <c r="F2" s="4"/>
      <c r="G2" s="4"/>
      <c r="H2" s="4"/>
      <c r="I2" s="4"/>
    </row>
    <row r="3" spans="2:10" ht="13.5" customHeight="1">
      <c r="B3" s="143" t="s">
        <v>92</v>
      </c>
      <c r="C3" s="4"/>
      <c r="D3" s="4"/>
      <c r="E3" s="4"/>
      <c r="F3" s="4"/>
      <c r="G3" s="4"/>
      <c r="H3" s="4"/>
      <c r="I3" s="4"/>
    </row>
    <row r="4" spans="2:10" ht="13.5" customHeight="1">
      <c r="B4" s="269" t="s">
        <v>8</v>
      </c>
      <c r="C4" s="5" t="s">
        <v>11</v>
      </c>
      <c r="D4" s="4"/>
      <c r="E4" s="318"/>
      <c r="F4" s="4"/>
      <c r="G4" s="4"/>
      <c r="H4" s="4"/>
      <c r="I4" s="4"/>
    </row>
    <row r="5" spans="2:10" ht="13.5" customHeight="1">
      <c r="B5" s="65"/>
      <c r="C5" s="17">
        <v>2011</v>
      </c>
      <c r="D5" s="17">
        <f t="shared" ref="D5:I5" si="0">+C5+1</f>
        <v>2012</v>
      </c>
      <c r="E5" s="17">
        <f t="shared" si="0"/>
        <v>2013</v>
      </c>
      <c r="F5" s="17">
        <f t="shared" si="0"/>
        <v>2014</v>
      </c>
      <c r="G5" s="12">
        <f t="shared" si="0"/>
        <v>2015</v>
      </c>
      <c r="H5" s="12">
        <f t="shared" si="0"/>
        <v>2016</v>
      </c>
      <c r="I5" s="12">
        <f t="shared" si="0"/>
        <v>2017</v>
      </c>
    </row>
    <row r="6" spans="2:10" s="168" customFormat="1" ht="13.5" customHeight="1">
      <c r="B6" s="159" t="s">
        <v>0</v>
      </c>
      <c r="C6" s="973">
        <f>IS!C23</f>
        <v>2452</v>
      </c>
      <c r="D6" s="973">
        <f>IS!D23</f>
        <v>2548</v>
      </c>
      <c r="E6" s="973">
        <f>IS!E23</f>
        <v>2793</v>
      </c>
      <c r="F6" s="974">
        <f>IS!F23</f>
        <v>3001</v>
      </c>
      <c r="G6" s="973">
        <f>IS!G23</f>
        <v>2596.02772</v>
      </c>
      <c r="H6" s="973">
        <f>IS!H23</f>
        <v>2752.8900728079998</v>
      </c>
      <c r="I6" s="973">
        <f>IS!I23</f>
        <v>2919.0160543405709</v>
      </c>
    </row>
    <row r="7" spans="2:10" s="158" customFormat="1" ht="13.5" customHeight="1">
      <c r="B7" s="159" t="s">
        <v>64</v>
      </c>
      <c r="C7" s="160">
        <f>BS!C33</f>
        <v>35217</v>
      </c>
      <c r="D7" s="160">
        <f>BS!D33</f>
        <v>32215</v>
      </c>
      <c r="E7" s="160">
        <f>BS!E33</f>
        <v>32373</v>
      </c>
      <c r="F7" s="304">
        <f>BS!F33</f>
        <v>27853</v>
      </c>
      <c r="G7" s="160">
        <f>BS!G33</f>
        <v>27650.195509738354</v>
      </c>
      <c r="H7" s="160">
        <f>BS!H33</f>
        <v>27767.324764525649</v>
      </c>
      <c r="I7" s="160">
        <f>BS!I33</f>
        <v>28012.189133805077</v>
      </c>
    </row>
    <row r="8" spans="2:10" s="202" customFormat="1" ht="13.5" customHeight="1">
      <c r="B8" s="217" t="s">
        <v>116</v>
      </c>
      <c r="C8" s="203">
        <f t="shared" ref="C8:D8" si="1">C6/C7</f>
        <v>6.9625464974302179E-2</v>
      </c>
      <c r="D8" s="203">
        <f t="shared" si="1"/>
        <v>7.9093589942573331E-2</v>
      </c>
      <c r="E8" s="203">
        <f>E6/E7</f>
        <v>8.6275600037067926E-2</v>
      </c>
      <c r="F8" s="305">
        <f>F6/F7</f>
        <v>0.10774422862887301</v>
      </c>
      <c r="G8" s="204">
        <f t="shared" ref="G8:I8" si="2">G6/G7</f>
        <v>9.388822292723692E-2</v>
      </c>
      <c r="H8" s="204">
        <f t="shared" si="2"/>
        <v>9.9141350351654139E-2</v>
      </c>
      <c r="I8" s="205">
        <f t="shared" si="2"/>
        <v>0.10420521011040532</v>
      </c>
    </row>
    <row r="9" spans="2:10" s="158" customFormat="1" ht="13.5" customHeight="1">
      <c r="B9" s="162"/>
      <c r="C9" s="163"/>
      <c r="D9" s="163"/>
      <c r="E9" s="164"/>
      <c r="F9" s="306"/>
      <c r="G9" s="164"/>
      <c r="H9" s="164"/>
      <c r="I9" s="164"/>
    </row>
    <row r="10" spans="2:10" s="158" customFormat="1" ht="13.5" customHeight="1">
      <c r="B10" s="159" t="s">
        <v>83</v>
      </c>
      <c r="C10" s="160">
        <f>IS!C16</f>
        <v>4097</v>
      </c>
      <c r="D10" s="160">
        <f>IS!D16</f>
        <v>4293</v>
      </c>
      <c r="E10" s="160">
        <f>IS!E16</f>
        <v>4271</v>
      </c>
      <c r="F10" s="304">
        <f>IS!F16</f>
        <v>4416</v>
      </c>
      <c r="G10" s="160">
        <f>IS!G16</f>
        <v>4105.0346499999996</v>
      </c>
      <c r="H10" s="160">
        <f>IS!H16</f>
        <v>4276.1125910099991</v>
      </c>
      <c r="I10" s="160">
        <f>IS!I16</f>
        <v>4483.7700679257132</v>
      </c>
    </row>
    <row r="11" spans="2:10" s="158" customFormat="1" ht="13.5" customHeight="1">
      <c r="B11" s="171" t="s">
        <v>226</v>
      </c>
      <c r="C11" s="592">
        <f>IS!C21</f>
        <v>-317</v>
      </c>
      <c r="D11" s="592">
        <f>IS!D21</f>
        <v>-625</v>
      </c>
      <c r="E11" s="592">
        <f>IS!E21</f>
        <v>-442</v>
      </c>
      <c r="F11" s="594">
        <f>IS!F21</f>
        <v>-577</v>
      </c>
      <c r="G11" s="592">
        <f>IS!G21</f>
        <v>-656.00693000000001</v>
      </c>
      <c r="H11" s="592">
        <f>IS!H21</f>
        <v>-695.22251820199995</v>
      </c>
      <c r="I11" s="592">
        <f>IS!I21</f>
        <v>-736.75401358514273</v>
      </c>
    </row>
    <row r="12" spans="2:10" s="153" customFormat="1" ht="13.5" customHeight="1">
      <c r="B12" s="217" t="s">
        <v>94</v>
      </c>
      <c r="C12" s="975">
        <f>SUM(C10:C11)</f>
        <v>3780</v>
      </c>
      <c r="D12" s="975">
        <f t="shared" ref="D12:I12" si="3">SUM(D10:D11)</f>
        <v>3668</v>
      </c>
      <c r="E12" s="975">
        <f t="shared" si="3"/>
        <v>3829</v>
      </c>
      <c r="F12" s="976">
        <f t="shared" si="3"/>
        <v>3839</v>
      </c>
      <c r="G12" s="977">
        <f t="shared" si="3"/>
        <v>3449.0277199999996</v>
      </c>
      <c r="H12" s="977">
        <f t="shared" si="3"/>
        <v>3580.8900728079989</v>
      </c>
      <c r="I12" s="978">
        <f t="shared" si="3"/>
        <v>3747.0160543405705</v>
      </c>
      <c r="J12" s="201"/>
    </row>
    <row r="13" spans="2:10" s="167" customFormat="1" ht="13.5" customHeight="1">
      <c r="B13" s="241"/>
      <c r="C13" s="242"/>
      <c r="D13" s="242"/>
      <c r="E13" s="242"/>
      <c r="F13" s="309"/>
      <c r="G13" s="242"/>
      <c r="H13" s="242"/>
      <c r="I13" s="242"/>
    </row>
    <row r="14" spans="2:10" s="153" customFormat="1" ht="13.5" customHeight="1">
      <c r="B14" s="149" t="s">
        <v>95</v>
      </c>
      <c r="C14" s="145"/>
      <c r="D14" s="145"/>
      <c r="E14" s="147"/>
      <c r="F14" s="310"/>
      <c r="G14" s="146"/>
      <c r="H14" s="146"/>
      <c r="I14" s="146"/>
    </row>
    <row r="15" spans="2:10" s="153" customFormat="1" ht="13.5" customHeight="1">
      <c r="B15" s="156" t="s">
        <v>64</v>
      </c>
      <c r="C15" s="163">
        <f t="shared" ref="C15:I15" si="4">C7</f>
        <v>35217</v>
      </c>
      <c r="D15" s="163">
        <f t="shared" si="4"/>
        <v>32215</v>
      </c>
      <c r="E15" s="163">
        <f t="shared" si="4"/>
        <v>32373</v>
      </c>
      <c r="F15" s="308">
        <f t="shared" si="4"/>
        <v>27853</v>
      </c>
      <c r="G15" s="163">
        <f t="shared" si="4"/>
        <v>27650.195509738354</v>
      </c>
      <c r="H15" s="163">
        <f t="shared" si="4"/>
        <v>27767.324764525649</v>
      </c>
      <c r="I15" s="163">
        <f t="shared" si="4"/>
        <v>28012.189133805077</v>
      </c>
    </row>
    <row r="16" spans="2:10" s="153" customFormat="1" ht="13.5" customHeight="1">
      <c r="B16" s="206" t="s">
        <v>96</v>
      </c>
      <c r="C16" s="163">
        <f>BS!C8</f>
        <v>1974</v>
      </c>
      <c r="D16" s="163">
        <f>BS!D8</f>
        <v>4475</v>
      </c>
      <c r="E16" s="163">
        <f>BS!E8</f>
        <v>2664</v>
      </c>
      <c r="F16" s="308">
        <f>BS!F8</f>
        <v>1631</v>
      </c>
      <c r="G16" s="163">
        <f>BS!G8</f>
        <v>1000</v>
      </c>
      <c r="H16" s="163">
        <f>BS!H8</f>
        <v>1000</v>
      </c>
      <c r="I16" s="163">
        <f>BS!I8</f>
        <v>1000</v>
      </c>
    </row>
    <row r="17" spans="2:10" s="153" customFormat="1" ht="13.5" customHeight="1">
      <c r="B17" s="206" t="s">
        <v>14</v>
      </c>
      <c r="C17" s="163">
        <f>BS!C38</f>
        <v>26749</v>
      </c>
      <c r="D17" s="163">
        <f>BS!D38</f>
        <v>19151</v>
      </c>
      <c r="E17" s="163">
        <f>BS!E38</f>
        <v>15485</v>
      </c>
      <c r="F17" s="308">
        <f>BS!F38</f>
        <v>15395</v>
      </c>
      <c r="G17" s="163">
        <f>BS!G38</f>
        <v>15395</v>
      </c>
      <c r="H17" s="163">
        <f>BS!H38</f>
        <v>15395</v>
      </c>
      <c r="I17" s="163">
        <f>BS!I38</f>
        <v>15395</v>
      </c>
    </row>
    <row r="18" spans="2:10" s="153" customFormat="1" ht="13.5" customHeight="1">
      <c r="B18" s="155" t="s">
        <v>24</v>
      </c>
      <c r="C18" s="163">
        <f>C17-C16</f>
        <v>24775</v>
      </c>
      <c r="D18" s="163">
        <f t="shared" ref="D18:I18" si="5">D17-D16</f>
        <v>14676</v>
      </c>
      <c r="E18" s="163">
        <f t="shared" si="5"/>
        <v>12821</v>
      </c>
      <c r="F18" s="308">
        <f t="shared" si="5"/>
        <v>13764</v>
      </c>
      <c r="G18" s="163">
        <f t="shared" si="5"/>
        <v>14395</v>
      </c>
      <c r="H18" s="163">
        <f t="shared" si="5"/>
        <v>14395</v>
      </c>
      <c r="I18" s="163">
        <f t="shared" si="5"/>
        <v>14395</v>
      </c>
    </row>
    <row r="19" spans="2:10" s="153" customFormat="1" ht="13.5" customHeight="1">
      <c r="B19" s="207" t="s">
        <v>117</v>
      </c>
      <c r="C19" s="163"/>
      <c r="D19" s="163"/>
      <c r="E19" s="163"/>
      <c r="F19" s="308">
        <v>2976</v>
      </c>
      <c r="G19" s="166">
        <f>F19</f>
        <v>2976</v>
      </c>
      <c r="H19" s="163">
        <f>G19</f>
        <v>2976</v>
      </c>
      <c r="I19" s="163">
        <f>H19</f>
        <v>2976</v>
      </c>
    </row>
    <row r="20" spans="2:10" s="153" customFormat="1" ht="13.5" customHeight="1">
      <c r="B20" s="154" t="s">
        <v>97</v>
      </c>
      <c r="C20" s="200">
        <f>SUM(C18:C19)</f>
        <v>24775</v>
      </c>
      <c r="D20" s="200">
        <f t="shared" ref="D20:I20" si="6">SUM(D18:D19)</f>
        <v>14676</v>
      </c>
      <c r="E20" s="200">
        <f t="shared" si="6"/>
        <v>12821</v>
      </c>
      <c r="F20" s="307">
        <f t="shared" si="6"/>
        <v>16740</v>
      </c>
      <c r="G20" s="200">
        <f t="shared" si="6"/>
        <v>17371</v>
      </c>
      <c r="H20" s="200">
        <f t="shared" si="6"/>
        <v>17371</v>
      </c>
      <c r="I20" s="200">
        <f t="shared" si="6"/>
        <v>17371</v>
      </c>
    </row>
    <row r="21" spans="2:10" s="153" customFormat="1" ht="13.5" customHeight="1">
      <c r="B21" s="157" t="s">
        <v>98</v>
      </c>
      <c r="C21" s="165">
        <f t="shared" ref="C21:I21" si="7">C18+C15</f>
        <v>59992</v>
      </c>
      <c r="D21" s="165">
        <f t="shared" si="7"/>
        <v>46891</v>
      </c>
      <c r="E21" s="165">
        <f t="shared" si="7"/>
        <v>45194</v>
      </c>
      <c r="F21" s="311">
        <f t="shared" si="7"/>
        <v>41617</v>
      </c>
      <c r="G21" s="165">
        <f t="shared" si="7"/>
        <v>42045.195509738354</v>
      </c>
      <c r="H21" s="165">
        <f t="shared" si="7"/>
        <v>42162.324764525649</v>
      </c>
      <c r="I21" s="165">
        <f t="shared" si="7"/>
        <v>42407.189133805077</v>
      </c>
    </row>
    <row r="22" spans="2:10" s="153" customFormat="1" ht="13.5" customHeight="1">
      <c r="B22" s="157" t="s">
        <v>127</v>
      </c>
      <c r="C22" s="165">
        <f t="shared" ref="C22:I22" si="8">C20+C15</f>
        <v>59992</v>
      </c>
      <c r="D22" s="165">
        <f t="shared" si="8"/>
        <v>46891</v>
      </c>
      <c r="E22" s="165">
        <f t="shared" si="8"/>
        <v>45194</v>
      </c>
      <c r="F22" s="311">
        <f t="shared" si="8"/>
        <v>44593</v>
      </c>
      <c r="G22" s="165">
        <f t="shared" si="8"/>
        <v>45021.195509738354</v>
      </c>
      <c r="H22" s="165">
        <f t="shared" si="8"/>
        <v>45138.324764525649</v>
      </c>
      <c r="I22" s="165">
        <f t="shared" si="8"/>
        <v>45383.189133805077</v>
      </c>
    </row>
    <row r="23" spans="2:10" s="153" customFormat="1" ht="13.5" customHeight="1">
      <c r="B23" s="217" t="s">
        <v>99</v>
      </c>
      <c r="C23" s="203">
        <f t="shared" ref="C23:I23" si="9">C12/C21</f>
        <v>6.3008401120149354E-2</v>
      </c>
      <c r="D23" s="203">
        <f t="shared" si="9"/>
        <v>7.82239662195304E-2</v>
      </c>
      <c r="E23" s="203">
        <f t="shared" si="9"/>
        <v>8.4723635880869147E-2</v>
      </c>
      <c r="F23" s="305">
        <f t="shared" si="9"/>
        <v>9.2245957180959709E-2</v>
      </c>
      <c r="G23" s="204">
        <f t="shared" si="9"/>
        <v>8.2031434940078904E-2</v>
      </c>
      <c r="H23" s="204">
        <f t="shared" si="9"/>
        <v>8.4931039566890118E-2</v>
      </c>
      <c r="I23" s="205">
        <f t="shared" si="9"/>
        <v>8.8358038598545546E-2</v>
      </c>
    </row>
    <row r="24" spans="2:10" s="153" customFormat="1" ht="13.5" customHeight="1">
      <c r="B24" s="218" t="s">
        <v>246</v>
      </c>
      <c r="C24" s="148">
        <f t="shared" ref="C24:I24" si="10">C12/C22</f>
        <v>6.3008401120149354E-2</v>
      </c>
      <c r="D24" s="148">
        <f t="shared" si="10"/>
        <v>7.82239662195304E-2</v>
      </c>
      <c r="E24" s="148">
        <f t="shared" si="10"/>
        <v>8.4723635880869147E-2</v>
      </c>
      <c r="F24" s="209">
        <f t="shared" si="10"/>
        <v>8.6089745027246423E-2</v>
      </c>
      <c r="G24" s="148">
        <f t="shared" si="10"/>
        <v>7.66089767486062E-2</v>
      </c>
      <c r="H24" s="148">
        <f t="shared" si="10"/>
        <v>7.9331479213916936E-2</v>
      </c>
      <c r="I24" s="209">
        <f t="shared" si="10"/>
        <v>8.2563965332914185E-2</v>
      </c>
    </row>
    <row r="25" spans="2:10" s="153" customFormat="1" ht="13.5" customHeight="1">
      <c r="B25" s="210"/>
      <c r="C25" s="777"/>
      <c r="D25" s="208"/>
      <c r="E25" s="208"/>
      <c r="F25" s="312"/>
      <c r="G25" s="208"/>
      <c r="H25" s="208"/>
      <c r="I25" s="208"/>
    </row>
    <row r="26" spans="2:10" s="211" customFormat="1" ht="13.5" customHeight="1">
      <c r="B26" s="212" t="s">
        <v>10</v>
      </c>
      <c r="C26" s="979">
        <f>IS!C18</f>
        <v>5582</v>
      </c>
      <c r="D26" s="979">
        <f>IS!D18</f>
        <v>5638</v>
      </c>
      <c r="E26" s="979">
        <f>IS!E18</f>
        <v>5348</v>
      </c>
      <c r="F26" s="980">
        <f>IS!F18</f>
        <v>5475</v>
      </c>
      <c r="G26" s="979">
        <f>IS!G18</f>
        <v>5024.5635999999995</v>
      </c>
      <c r="H26" s="979">
        <f>IS!H18</f>
        <v>5216.0481875099986</v>
      </c>
      <c r="I26" s="979">
        <f>IS!I18</f>
        <v>5456.030873705713</v>
      </c>
      <c r="J26" s="948"/>
    </row>
    <row r="27" spans="2:10" s="153" customFormat="1" ht="13.5" customHeight="1">
      <c r="B27" s="210" t="s">
        <v>100</v>
      </c>
      <c r="C27" s="981">
        <f t="shared" ref="C27:I27" si="11">C18/C26</f>
        <v>4.4383733428878536</v>
      </c>
      <c r="D27" s="981">
        <f t="shared" si="11"/>
        <v>2.6030507272082297</v>
      </c>
      <c r="E27" s="981">
        <f t="shared" si="11"/>
        <v>2.3973448017950636</v>
      </c>
      <c r="F27" s="982">
        <f t="shared" si="11"/>
        <v>2.513972602739726</v>
      </c>
      <c r="G27" s="981">
        <f t="shared" si="11"/>
        <v>2.8649254235731041</v>
      </c>
      <c r="H27" s="981">
        <f t="shared" si="11"/>
        <v>2.7597521116598016</v>
      </c>
      <c r="I27" s="981">
        <f t="shared" si="11"/>
        <v>2.6383648357588889</v>
      </c>
    </row>
    <row r="28" spans="2:10" s="153" customFormat="1" ht="13.5" customHeight="1">
      <c r="B28" s="210" t="s">
        <v>101</v>
      </c>
      <c r="C28" s="981">
        <f t="shared" ref="C28:I28" si="12">C20/C26</f>
        <v>4.4383733428878536</v>
      </c>
      <c r="D28" s="981">
        <f t="shared" si="12"/>
        <v>2.6030507272082297</v>
      </c>
      <c r="E28" s="981">
        <f t="shared" si="12"/>
        <v>2.3973448017950636</v>
      </c>
      <c r="F28" s="982">
        <f t="shared" si="12"/>
        <v>3.0575342465753423</v>
      </c>
      <c r="G28" s="981">
        <f t="shared" si="12"/>
        <v>3.4572156674462238</v>
      </c>
      <c r="H28" s="981">
        <f t="shared" si="12"/>
        <v>3.3302989879570974</v>
      </c>
      <c r="I28" s="981">
        <f t="shared" si="12"/>
        <v>3.1838162946834081</v>
      </c>
    </row>
    <row r="29" spans="2:10" s="153" customFormat="1" ht="13.5" customHeight="1">
      <c r="B29" s="149"/>
      <c r="C29" s="148"/>
      <c r="D29" s="148"/>
      <c r="E29" s="148"/>
      <c r="F29" s="209"/>
      <c r="G29" s="150"/>
      <c r="H29" s="150"/>
      <c r="I29" s="139"/>
    </row>
    <row r="30" spans="2:10" s="153" customFormat="1" ht="13.5" customHeight="1">
      <c r="B30" s="149" t="s">
        <v>336</v>
      </c>
      <c r="C30" s="148"/>
      <c r="D30" s="151"/>
      <c r="E30" s="151"/>
      <c r="F30" s="313"/>
      <c r="G30" s="152"/>
      <c r="H30" s="151"/>
      <c r="I30" s="139"/>
    </row>
    <row r="31" spans="2:10" s="153" customFormat="1" ht="13.5" customHeight="1">
      <c r="B31" s="149" t="s">
        <v>83</v>
      </c>
      <c r="C31" s="214">
        <f t="shared" ref="C31:I32" si="13">C10</f>
        <v>4097</v>
      </c>
      <c r="D31" s="214">
        <f t="shared" si="13"/>
        <v>4293</v>
      </c>
      <c r="E31" s="214">
        <f t="shared" si="13"/>
        <v>4271</v>
      </c>
      <c r="F31" s="314">
        <f t="shared" si="13"/>
        <v>4416</v>
      </c>
      <c r="G31" s="214">
        <f t="shared" si="13"/>
        <v>4105.0346499999996</v>
      </c>
      <c r="H31" s="214">
        <f t="shared" si="13"/>
        <v>4276.1125910099991</v>
      </c>
      <c r="I31" s="214">
        <f t="shared" si="13"/>
        <v>4483.7700679257132</v>
      </c>
    </row>
    <row r="32" spans="2:10" s="950" customFormat="1" ht="13.5" customHeight="1">
      <c r="B32" s="949" t="s">
        <v>93</v>
      </c>
      <c r="C32" s="592">
        <f t="shared" si="13"/>
        <v>-317</v>
      </c>
      <c r="D32" s="592">
        <f t="shared" si="13"/>
        <v>-625</v>
      </c>
      <c r="E32" s="592">
        <f t="shared" si="13"/>
        <v>-442</v>
      </c>
      <c r="F32" s="594">
        <f t="shared" si="13"/>
        <v>-577</v>
      </c>
      <c r="G32" s="592">
        <f t="shared" si="13"/>
        <v>-656.00693000000001</v>
      </c>
      <c r="H32" s="592">
        <f t="shared" si="13"/>
        <v>-695.22251820199995</v>
      </c>
      <c r="I32" s="592">
        <f t="shared" si="13"/>
        <v>-736.75401358514273</v>
      </c>
    </row>
    <row r="33" spans="2:9" s="153" customFormat="1" ht="13.5" customHeight="1">
      <c r="B33" s="149" t="s">
        <v>102</v>
      </c>
      <c r="C33" s="213">
        <f>C31-C32</f>
        <v>4414</v>
      </c>
      <c r="D33" s="213">
        <f>D31-D32</f>
        <v>4918</v>
      </c>
      <c r="E33" s="213">
        <f>E31-E32</f>
        <v>4713</v>
      </c>
      <c r="F33" s="316">
        <f>F31-F32</f>
        <v>4993</v>
      </c>
      <c r="G33" s="213">
        <f t="shared" ref="G33:I33" si="14">G31-G32</f>
        <v>4761.0415799999992</v>
      </c>
      <c r="H33" s="213">
        <f t="shared" si="14"/>
        <v>4971.3351092119992</v>
      </c>
      <c r="I33" s="213">
        <f t="shared" si="14"/>
        <v>5220.5240815108555</v>
      </c>
    </row>
    <row r="34" spans="2:9" s="153" customFormat="1" ht="13.5" customHeight="1">
      <c r="B34" s="207" t="s">
        <v>12</v>
      </c>
      <c r="C34" s="160">
        <f t="shared" ref="C34:I34" si="15">C16</f>
        <v>1974</v>
      </c>
      <c r="D34" s="160">
        <f t="shared" si="15"/>
        <v>4475</v>
      </c>
      <c r="E34" s="160">
        <f t="shared" si="15"/>
        <v>2664</v>
      </c>
      <c r="F34" s="304">
        <f t="shared" si="15"/>
        <v>1631</v>
      </c>
      <c r="G34" s="160">
        <f t="shared" si="15"/>
        <v>1000</v>
      </c>
      <c r="H34" s="160">
        <f t="shared" si="15"/>
        <v>1000</v>
      </c>
      <c r="I34" s="160">
        <f t="shared" si="15"/>
        <v>1000</v>
      </c>
    </row>
    <row r="35" spans="2:9" s="153" customFormat="1" ht="13.5" customHeight="1">
      <c r="B35" s="207" t="s">
        <v>58</v>
      </c>
      <c r="C35" s="160">
        <f>BS!C16</f>
        <v>13813</v>
      </c>
      <c r="D35" s="160">
        <f>BS!D16</f>
        <v>10010</v>
      </c>
      <c r="E35" s="160">
        <f>BS!E16</f>
        <v>10247</v>
      </c>
      <c r="F35" s="304">
        <f>BS!F16</f>
        <v>9827</v>
      </c>
      <c r="G35" s="160">
        <f>BS!G16</f>
        <v>10746.52895</v>
      </c>
      <c r="H35" s="160">
        <f>BS!H16</f>
        <v>11449.067813499996</v>
      </c>
      <c r="I35" s="160">
        <f>BS!I16</f>
        <v>12421.328619279997</v>
      </c>
    </row>
    <row r="36" spans="2:9" s="153" customFormat="1" ht="13.5" customHeight="1">
      <c r="B36" s="207" t="s">
        <v>128</v>
      </c>
      <c r="C36" s="160">
        <f>BS!C13-BS!C8</f>
        <v>14228</v>
      </c>
      <c r="D36" s="160">
        <f>BS!D13-BS!D8</f>
        <v>11147</v>
      </c>
      <c r="E36" s="160">
        <f>BS!E13-BS!E8</f>
        <v>10552</v>
      </c>
      <c r="F36" s="304">
        <f>BS!F13-BS!F8</f>
        <v>10076</v>
      </c>
      <c r="G36" s="160">
        <f>BS!G13-BS!G8</f>
        <v>9181.8634910035362</v>
      </c>
      <c r="H36" s="160">
        <f>BS!H13-BS!H8</f>
        <v>9303.9942509051307</v>
      </c>
      <c r="I36" s="160">
        <f>BS!I13-BS!I8</f>
        <v>9523.1037567691201</v>
      </c>
    </row>
    <row r="37" spans="2:9" s="153" customFormat="1" ht="13.5" customHeight="1">
      <c r="B37" s="207" t="s">
        <v>39</v>
      </c>
      <c r="C37" s="160">
        <f>BS!C20</f>
        <v>1308</v>
      </c>
      <c r="D37" s="160">
        <f>BS!D20</f>
        <v>1475</v>
      </c>
      <c r="E37" s="160">
        <f>BS!E20</f>
        <v>1449</v>
      </c>
      <c r="F37" s="304">
        <f>BS!F20</f>
        <v>1461</v>
      </c>
      <c r="G37" s="160">
        <f>BS!G20</f>
        <v>1461</v>
      </c>
      <c r="H37" s="160">
        <f>BS!H20</f>
        <v>1461</v>
      </c>
      <c r="I37" s="160">
        <f>BS!I20</f>
        <v>1461</v>
      </c>
    </row>
    <row r="38" spans="2:9" s="153" customFormat="1" ht="13.5" customHeight="1">
      <c r="B38" s="207" t="s">
        <v>103</v>
      </c>
      <c r="C38" s="161">
        <f>BS!C13</f>
        <v>16202</v>
      </c>
      <c r="D38" s="161">
        <f>BS!D13</f>
        <v>15622</v>
      </c>
      <c r="E38" s="161">
        <f>BS!E13</f>
        <v>13216</v>
      </c>
      <c r="F38" s="315">
        <f>BS!F13</f>
        <v>11707</v>
      </c>
      <c r="G38" s="161">
        <f>BS!G13</f>
        <v>10181.863491003536</v>
      </c>
      <c r="H38" s="161">
        <f>BS!H13</f>
        <v>10303.994250905131</v>
      </c>
      <c r="I38" s="161">
        <f>BS!I13</f>
        <v>10523.10375676912</v>
      </c>
    </row>
    <row r="39" spans="2:9" s="153" customFormat="1" ht="13.5" customHeight="1">
      <c r="B39" s="149" t="s">
        <v>104</v>
      </c>
      <c r="C39" s="213">
        <f t="shared" ref="C39:I39" si="16">SUM(C35:C38)-C34</f>
        <v>43577</v>
      </c>
      <c r="D39" s="213">
        <f t="shared" si="16"/>
        <v>33779</v>
      </c>
      <c r="E39" s="213">
        <f t="shared" si="16"/>
        <v>32800</v>
      </c>
      <c r="F39" s="316">
        <f t="shared" si="16"/>
        <v>31440</v>
      </c>
      <c r="G39" s="213">
        <f t="shared" si="16"/>
        <v>30571.255932007072</v>
      </c>
      <c r="H39" s="213">
        <f t="shared" si="16"/>
        <v>31518.056315310256</v>
      </c>
      <c r="I39" s="213">
        <f t="shared" si="16"/>
        <v>32928.536132818233</v>
      </c>
    </row>
    <row r="40" spans="2:9" s="153" customFormat="1" ht="13.5" customHeight="1">
      <c r="B40" s="217" t="s">
        <v>337</v>
      </c>
      <c r="C40" s="203">
        <f t="shared" ref="C40:I40" si="17">C33/C39</f>
        <v>0.10129196594533814</v>
      </c>
      <c r="D40" s="203">
        <f t="shared" si="17"/>
        <v>0.14559341602770953</v>
      </c>
      <c r="E40" s="203">
        <f t="shared" si="17"/>
        <v>0.14368902439024389</v>
      </c>
      <c r="F40" s="305">
        <f t="shared" si="17"/>
        <v>0.15881043256997454</v>
      </c>
      <c r="G40" s="204">
        <f t="shared" si="17"/>
        <v>0.1557358844068735</v>
      </c>
      <c r="H40" s="204">
        <f t="shared" si="17"/>
        <v>0.15772974892481287</v>
      </c>
      <c r="I40" s="205">
        <f t="shared" si="17"/>
        <v>0.15854103141584294</v>
      </c>
    </row>
    <row r="41" spans="2:9" s="153" customFormat="1" ht="13.5" customHeight="1"/>
    <row r="42" spans="2:9" ht="13.5" customHeight="1"/>
    <row r="43" spans="2:9" ht="13.5" customHeight="1"/>
    <row r="44" spans="2:9" ht="13.5" customHeight="1"/>
    <row r="45" spans="2:9" ht="13.5" customHeight="1"/>
    <row r="46" spans="2:9" ht="13.5" customHeight="1"/>
    <row r="47" spans="2:9" ht="13.5" customHeight="1"/>
    <row r="48" spans="2:9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</sheetData>
  <pageMargins left="0.7" right="0.7" top="0.75" bottom="0.75" header="0.3" footer="0.3"/>
  <pageSetup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 tint="-0.249977111117893"/>
    <outlinePr summaryBelow="0" summaryRight="0"/>
    <pageSetUpPr autoPageBreaks="0"/>
  </sheetPr>
  <dimension ref="B1:HU182"/>
  <sheetViews>
    <sheetView showGridLines="0" view="pageBreakPreview" zoomScaleNormal="100" zoomScaleSheetLayoutView="100" workbookViewId="0"/>
  </sheetViews>
  <sheetFormatPr defaultRowHeight="11.25"/>
  <cols>
    <col min="1" max="1" width="5.83203125" style="138" customWidth="1"/>
    <col min="2" max="2" width="42.83203125" style="138" customWidth="1"/>
    <col min="3" max="3" width="11.6640625" style="138" bestFit="1" customWidth="1"/>
    <col min="4" max="8" width="10.1640625" style="138" customWidth="1"/>
    <col min="9" max="9" width="14.6640625" style="138" customWidth="1"/>
    <col min="10" max="10" width="11.33203125" style="138" customWidth="1"/>
    <col min="11" max="11" width="13.33203125" style="138" bestFit="1" customWidth="1"/>
    <col min="12" max="12" width="14.83203125" style="138" bestFit="1" customWidth="1"/>
    <col min="13" max="255" width="9.33203125" style="138"/>
    <col min="256" max="256" width="55.83203125" style="138" customWidth="1"/>
    <col min="257" max="259" width="24.33203125" style="138" customWidth="1"/>
    <col min="260" max="260" width="17.5" style="138" customWidth="1"/>
    <col min="261" max="261" width="15.5" style="138" customWidth="1"/>
    <col min="262" max="262" width="16.1640625" style="138" customWidth="1"/>
    <col min="263" max="263" width="17.33203125" style="138" customWidth="1"/>
    <col min="264" max="264" width="15.33203125" style="138" customWidth="1"/>
    <col min="265" max="511" width="9.33203125" style="138"/>
    <col min="512" max="512" width="55.83203125" style="138" customWidth="1"/>
    <col min="513" max="515" width="24.33203125" style="138" customWidth="1"/>
    <col min="516" max="516" width="17.5" style="138" customWidth="1"/>
    <col min="517" max="517" width="15.5" style="138" customWidth="1"/>
    <col min="518" max="518" width="16.1640625" style="138" customWidth="1"/>
    <col min="519" max="519" width="17.33203125" style="138" customWidth="1"/>
    <col min="520" max="520" width="15.33203125" style="138" customWidth="1"/>
    <col min="521" max="767" width="9.33203125" style="138"/>
    <col min="768" max="768" width="55.83203125" style="138" customWidth="1"/>
    <col min="769" max="771" width="24.33203125" style="138" customWidth="1"/>
    <col min="772" max="772" width="17.5" style="138" customWidth="1"/>
    <col min="773" max="773" width="15.5" style="138" customWidth="1"/>
    <col min="774" max="774" width="16.1640625" style="138" customWidth="1"/>
    <col min="775" max="775" width="17.33203125" style="138" customWidth="1"/>
    <col min="776" max="776" width="15.33203125" style="138" customWidth="1"/>
    <col min="777" max="1023" width="9.33203125" style="138"/>
    <col min="1024" max="1024" width="55.83203125" style="138" customWidth="1"/>
    <col min="1025" max="1027" width="24.33203125" style="138" customWidth="1"/>
    <col min="1028" max="1028" width="17.5" style="138" customWidth="1"/>
    <col min="1029" max="1029" width="15.5" style="138" customWidth="1"/>
    <col min="1030" max="1030" width="16.1640625" style="138" customWidth="1"/>
    <col min="1031" max="1031" width="17.33203125" style="138" customWidth="1"/>
    <col min="1032" max="1032" width="15.33203125" style="138" customWidth="1"/>
    <col min="1033" max="1279" width="9.33203125" style="138"/>
    <col min="1280" max="1280" width="55.83203125" style="138" customWidth="1"/>
    <col min="1281" max="1283" width="24.33203125" style="138" customWidth="1"/>
    <col min="1284" max="1284" width="17.5" style="138" customWidth="1"/>
    <col min="1285" max="1285" width="15.5" style="138" customWidth="1"/>
    <col min="1286" max="1286" width="16.1640625" style="138" customWidth="1"/>
    <col min="1287" max="1287" width="17.33203125" style="138" customWidth="1"/>
    <col min="1288" max="1288" width="15.33203125" style="138" customWidth="1"/>
    <col min="1289" max="1535" width="9.33203125" style="138"/>
    <col min="1536" max="1536" width="55.83203125" style="138" customWidth="1"/>
    <col min="1537" max="1539" width="24.33203125" style="138" customWidth="1"/>
    <col min="1540" max="1540" width="17.5" style="138" customWidth="1"/>
    <col min="1541" max="1541" width="15.5" style="138" customWidth="1"/>
    <col min="1542" max="1542" width="16.1640625" style="138" customWidth="1"/>
    <col min="1543" max="1543" width="17.33203125" style="138" customWidth="1"/>
    <col min="1544" max="1544" width="15.33203125" style="138" customWidth="1"/>
    <col min="1545" max="1791" width="9.33203125" style="138"/>
    <col min="1792" max="1792" width="55.83203125" style="138" customWidth="1"/>
    <col min="1793" max="1795" width="24.33203125" style="138" customWidth="1"/>
    <col min="1796" max="1796" width="17.5" style="138" customWidth="1"/>
    <col min="1797" max="1797" width="15.5" style="138" customWidth="1"/>
    <col min="1798" max="1798" width="16.1640625" style="138" customWidth="1"/>
    <col min="1799" max="1799" width="17.33203125" style="138" customWidth="1"/>
    <col min="1800" max="1800" width="15.33203125" style="138" customWidth="1"/>
    <col min="1801" max="2047" width="9.33203125" style="138"/>
    <col min="2048" max="2048" width="55.83203125" style="138" customWidth="1"/>
    <col min="2049" max="2051" width="24.33203125" style="138" customWidth="1"/>
    <col min="2052" max="2052" width="17.5" style="138" customWidth="1"/>
    <col min="2053" max="2053" width="15.5" style="138" customWidth="1"/>
    <col min="2054" max="2054" width="16.1640625" style="138" customWidth="1"/>
    <col min="2055" max="2055" width="17.33203125" style="138" customWidth="1"/>
    <col min="2056" max="2056" width="15.33203125" style="138" customWidth="1"/>
    <col min="2057" max="2303" width="9.33203125" style="138"/>
    <col min="2304" max="2304" width="55.83203125" style="138" customWidth="1"/>
    <col min="2305" max="2307" width="24.33203125" style="138" customWidth="1"/>
    <col min="2308" max="2308" width="17.5" style="138" customWidth="1"/>
    <col min="2309" max="2309" width="15.5" style="138" customWidth="1"/>
    <col min="2310" max="2310" width="16.1640625" style="138" customWidth="1"/>
    <col min="2311" max="2311" width="17.33203125" style="138" customWidth="1"/>
    <col min="2312" max="2312" width="15.33203125" style="138" customWidth="1"/>
    <col min="2313" max="2559" width="9.33203125" style="138"/>
    <col min="2560" max="2560" width="55.83203125" style="138" customWidth="1"/>
    <col min="2561" max="2563" width="24.33203125" style="138" customWidth="1"/>
    <col min="2564" max="2564" width="17.5" style="138" customWidth="1"/>
    <col min="2565" max="2565" width="15.5" style="138" customWidth="1"/>
    <col min="2566" max="2566" width="16.1640625" style="138" customWidth="1"/>
    <col min="2567" max="2567" width="17.33203125" style="138" customWidth="1"/>
    <col min="2568" max="2568" width="15.33203125" style="138" customWidth="1"/>
    <col min="2569" max="2815" width="9.33203125" style="138"/>
    <col min="2816" max="2816" width="55.83203125" style="138" customWidth="1"/>
    <col min="2817" max="2819" width="24.33203125" style="138" customWidth="1"/>
    <col min="2820" max="2820" width="17.5" style="138" customWidth="1"/>
    <col min="2821" max="2821" width="15.5" style="138" customWidth="1"/>
    <col min="2822" max="2822" width="16.1640625" style="138" customWidth="1"/>
    <col min="2823" max="2823" width="17.33203125" style="138" customWidth="1"/>
    <col min="2824" max="2824" width="15.33203125" style="138" customWidth="1"/>
    <col min="2825" max="3071" width="9.33203125" style="138"/>
    <col min="3072" max="3072" width="55.83203125" style="138" customWidth="1"/>
    <col min="3073" max="3075" width="24.33203125" style="138" customWidth="1"/>
    <col min="3076" max="3076" width="17.5" style="138" customWidth="1"/>
    <col min="3077" max="3077" width="15.5" style="138" customWidth="1"/>
    <col min="3078" max="3078" width="16.1640625" style="138" customWidth="1"/>
    <col min="3079" max="3079" width="17.33203125" style="138" customWidth="1"/>
    <col min="3080" max="3080" width="15.33203125" style="138" customWidth="1"/>
    <col min="3081" max="3327" width="9.33203125" style="138"/>
    <col min="3328" max="3328" width="55.83203125" style="138" customWidth="1"/>
    <col min="3329" max="3331" width="24.33203125" style="138" customWidth="1"/>
    <col min="3332" max="3332" width="17.5" style="138" customWidth="1"/>
    <col min="3333" max="3333" width="15.5" style="138" customWidth="1"/>
    <col min="3334" max="3334" width="16.1640625" style="138" customWidth="1"/>
    <col min="3335" max="3335" width="17.33203125" style="138" customWidth="1"/>
    <col min="3336" max="3336" width="15.33203125" style="138" customWidth="1"/>
    <col min="3337" max="3583" width="9.33203125" style="138"/>
    <col min="3584" max="3584" width="55.83203125" style="138" customWidth="1"/>
    <col min="3585" max="3587" width="24.33203125" style="138" customWidth="1"/>
    <col min="3588" max="3588" width="17.5" style="138" customWidth="1"/>
    <col min="3589" max="3589" width="15.5" style="138" customWidth="1"/>
    <col min="3590" max="3590" width="16.1640625" style="138" customWidth="1"/>
    <col min="3591" max="3591" width="17.33203125" style="138" customWidth="1"/>
    <col min="3592" max="3592" width="15.33203125" style="138" customWidth="1"/>
    <col min="3593" max="3839" width="9.33203125" style="138"/>
    <col min="3840" max="3840" width="55.83203125" style="138" customWidth="1"/>
    <col min="3841" max="3843" width="24.33203125" style="138" customWidth="1"/>
    <col min="3844" max="3844" width="17.5" style="138" customWidth="1"/>
    <col min="3845" max="3845" width="15.5" style="138" customWidth="1"/>
    <col min="3846" max="3846" width="16.1640625" style="138" customWidth="1"/>
    <col min="3847" max="3847" width="17.33203125" style="138" customWidth="1"/>
    <col min="3848" max="3848" width="15.33203125" style="138" customWidth="1"/>
    <col min="3849" max="4095" width="9.33203125" style="138"/>
    <col min="4096" max="4096" width="55.83203125" style="138" customWidth="1"/>
    <col min="4097" max="4099" width="24.33203125" style="138" customWidth="1"/>
    <col min="4100" max="4100" width="17.5" style="138" customWidth="1"/>
    <col min="4101" max="4101" width="15.5" style="138" customWidth="1"/>
    <col min="4102" max="4102" width="16.1640625" style="138" customWidth="1"/>
    <col min="4103" max="4103" width="17.33203125" style="138" customWidth="1"/>
    <col min="4104" max="4104" width="15.33203125" style="138" customWidth="1"/>
    <col min="4105" max="4351" width="9.33203125" style="138"/>
    <col min="4352" max="4352" width="55.83203125" style="138" customWidth="1"/>
    <col min="4353" max="4355" width="24.33203125" style="138" customWidth="1"/>
    <col min="4356" max="4356" width="17.5" style="138" customWidth="1"/>
    <col min="4357" max="4357" width="15.5" style="138" customWidth="1"/>
    <col min="4358" max="4358" width="16.1640625" style="138" customWidth="1"/>
    <col min="4359" max="4359" width="17.33203125" style="138" customWidth="1"/>
    <col min="4360" max="4360" width="15.33203125" style="138" customWidth="1"/>
    <col min="4361" max="4607" width="9.33203125" style="138"/>
    <col min="4608" max="4608" width="55.83203125" style="138" customWidth="1"/>
    <col min="4609" max="4611" width="24.33203125" style="138" customWidth="1"/>
    <col min="4612" max="4612" width="17.5" style="138" customWidth="1"/>
    <col min="4613" max="4613" width="15.5" style="138" customWidth="1"/>
    <col min="4614" max="4614" width="16.1640625" style="138" customWidth="1"/>
    <col min="4615" max="4615" width="17.33203125" style="138" customWidth="1"/>
    <col min="4616" max="4616" width="15.33203125" style="138" customWidth="1"/>
    <col min="4617" max="4863" width="9.33203125" style="138"/>
    <col min="4864" max="4864" width="55.83203125" style="138" customWidth="1"/>
    <col min="4865" max="4867" width="24.33203125" style="138" customWidth="1"/>
    <col min="4868" max="4868" width="17.5" style="138" customWidth="1"/>
    <col min="4869" max="4869" width="15.5" style="138" customWidth="1"/>
    <col min="4870" max="4870" width="16.1640625" style="138" customWidth="1"/>
    <col min="4871" max="4871" width="17.33203125" style="138" customWidth="1"/>
    <col min="4872" max="4872" width="15.33203125" style="138" customWidth="1"/>
    <col min="4873" max="5119" width="9.33203125" style="138"/>
    <col min="5120" max="5120" width="55.83203125" style="138" customWidth="1"/>
    <col min="5121" max="5123" width="24.33203125" style="138" customWidth="1"/>
    <col min="5124" max="5124" width="17.5" style="138" customWidth="1"/>
    <col min="5125" max="5125" width="15.5" style="138" customWidth="1"/>
    <col min="5126" max="5126" width="16.1640625" style="138" customWidth="1"/>
    <col min="5127" max="5127" width="17.33203125" style="138" customWidth="1"/>
    <col min="5128" max="5128" width="15.33203125" style="138" customWidth="1"/>
    <col min="5129" max="5375" width="9.33203125" style="138"/>
    <col min="5376" max="5376" width="55.83203125" style="138" customWidth="1"/>
    <col min="5377" max="5379" width="24.33203125" style="138" customWidth="1"/>
    <col min="5380" max="5380" width="17.5" style="138" customWidth="1"/>
    <col min="5381" max="5381" width="15.5" style="138" customWidth="1"/>
    <col min="5382" max="5382" width="16.1640625" style="138" customWidth="1"/>
    <col min="5383" max="5383" width="17.33203125" style="138" customWidth="1"/>
    <col min="5384" max="5384" width="15.33203125" style="138" customWidth="1"/>
    <col min="5385" max="5631" width="9.33203125" style="138"/>
    <col min="5632" max="5632" width="55.83203125" style="138" customWidth="1"/>
    <col min="5633" max="5635" width="24.33203125" style="138" customWidth="1"/>
    <col min="5636" max="5636" width="17.5" style="138" customWidth="1"/>
    <col min="5637" max="5637" width="15.5" style="138" customWidth="1"/>
    <col min="5638" max="5638" width="16.1640625" style="138" customWidth="1"/>
    <col min="5639" max="5639" width="17.33203125" style="138" customWidth="1"/>
    <col min="5640" max="5640" width="15.33203125" style="138" customWidth="1"/>
    <col min="5641" max="5887" width="9.33203125" style="138"/>
    <col min="5888" max="5888" width="55.83203125" style="138" customWidth="1"/>
    <col min="5889" max="5891" width="24.33203125" style="138" customWidth="1"/>
    <col min="5892" max="5892" width="17.5" style="138" customWidth="1"/>
    <col min="5893" max="5893" width="15.5" style="138" customWidth="1"/>
    <col min="5894" max="5894" width="16.1640625" style="138" customWidth="1"/>
    <col min="5895" max="5895" width="17.33203125" style="138" customWidth="1"/>
    <col min="5896" max="5896" width="15.33203125" style="138" customWidth="1"/>
    <col min="5897" max="6143" width="9.33203125" style="138"/>
    <col min="6144" max="6144" width="55.83203125" style="138" customWidth="1"/>
    <col min="6145" max="6147" width="24.33203125" style="138" customWidth="1"/>
    <col min="6148" max="6148" width="17.5" style="138" customWidth="1"/>
    <col min="6149" max="6149" width="15.5" style="138" customWidth="1"/>
    <col min="6150" max="6150" width="16.1640625" style="138" customWidth="1"/>
    <col min="6151" max="6151" width="17.33203125" style="138" customWidth="1"/>
    <col min="6152" max="6152" width="15.33203125" style="138" customWidth="1"/>
    <col min="6153" max="6399" width="9.33203125" style="138"/>
    <col min="6400" max="6400" width="55.83203125" style="138" customWidth="1"/>
    <col min="6401" max="6403" width="24.33203125" style="138" customWidth="1"/>
    <col min="6404" max="6404" width="17.5" style="138" customWidth="1"/>
    <col min="6405" max="6405" width="15.5" style="138" customWidth="1"/>
    <col min="6406" max="6406" width="16.1640625" style="138" customWidth="1"/>
    <col min="6407" max="6407" width="17.33203125" style="138" customWidth="1"/>
    <col min="6408" max="6408" width="15.33203125" style="138" customWidth="1"/>
    <col min="6409" max="6655" width="9.33203125" style="138"/>
    <col min="6656" max="6656" width="55.83203125" style="138" customWidth="1"/>
    <col min="6657" max="6659" width="24.33203125" style="138" customWidth="1"/>
    <col min="6660" max="6660" width="17.5" style="138" customWidth="1"/>
    <col min="6661" max="6661" width="15.5" style="138" customWidth="1"/>
    <col min="6662" max="6662" width="16.1640625" style="138" customWidth="1"/>
    <col min="6663" max="6663" width="17.33203125" style="138" customWidth="1"/>
    <col min="6664" max="6664" width="15.33203125" style="138" customWidth="1"/>
    <col min="6665" max="6911" width="9.33203125" style="138"/>
    <col min="6912" max="6912" width="55.83203125" style="138" customWidth="1"/>
    <col min="6913" max="6915" width="24.33203125" style="138" customWidth="1"/>
    <col min="6916" max="6916" width="17.5" style="138" customWidth="1"/>
    <col min="6917" max="6917" width="15.5" style="138" customWidth="1"/>
    <col min="6918" max="6918" width="16.1640625" style="138" customWidth="1"/>
    <col min="6919" max="6919" width="17.33203125" style="138" customWidth="1"/>
    <col min="6920" max="6920" width="15.33203125" style="138" customWidth="1"/>
    <col min="6921" max="7167" width="9.33203125" style="138"/>
    <col min="7168" max="7168" width="55.83203125" style="138" customWidth="1"/>
    <col min="7169" max="7171" width="24.33203125" style="138" customWidth="1"/>
    <col min="7172" max="7172" width="17.5" style="138" customWidth="1"/>
    <col min="7173" max="7173" width="15.5" style="138" customWidth="1"/>
    <col min="7174" max="7174" width="16.1640625" style="138" customWidth="1"/>
    <col min="7175" max="7175" width="17.33203125" style="138" customWidth="1"/>
    <col min="7176" max="7176" width="15.33203125" style="138" customWidth="1"/>
    <col min="7177" max="7423" width="9.33203125" style="138"/>
    <col min="7424" max="7424" width="55.83203125" style="138" customWidth="1"/>
    <col min="7425" max="7427" width="24.33203125" style="138" customWidth="1"/>
    <col min="7428" max="7428" width="17.5" style="138" customWidth="1"/>
    <col min="7429" max="7429" width="15.5" style="138" customWidth="1"/>
    <col min="7430" max="7430" width="16.1640625" style="138" customWidth="1"/>
    <col min="7431" max="7431" width="17.33203125" style="138" customWidth="1"/>
    <col min="7432" max="7432" width="15.33203125" style="138" customWidth="1"/>
    <col min="7433" max="7679" width="9.33203125" style="138"/>
    <col min="7680" max="7680" width="55.83203125" style="138" customWidth="1"/>
    <col min="7681" max="7683" width="24.33203125" style="138" customWidth="1"/>
    <col min="7684" max="7684" width="17.5" style="138" customWidth="1"/>
    <col min="7685" max="7685" width="15.5" style="138" customWidth="1"/>
    <col min="7686" max="7686" width="16.1640625" style="138" customWidth="1"/>
    <col min="7687" max="7687" width="17.33203125" style="138" customWidth="1"/>
    <col min="7688" max="7688" width="15.33203125" style="138" customWidth="1"/>
    <col min="7689" max="7935" width="9.33203125" style="138"/>
    <col min="7936" max="7936" width="55.83203125" style="138" customWidth="1"/>
    <col min="7937" max="7939" width="24.33203125" style="138" customWidth="1"/>
    <col min="7940" max="7940" width="17.5" style="138" customWidth="1"/>
    <col min="7941" max="7941" width="15.5" style="138" customWidth="1"/>
    <col min="7942" max="7942" width="16.1640625" style="138" customWidth="1"/>
    <col min="7943" max="7943" width="17.33203125" style="138" customWidth="1"/>
    <col min="7944" max="7944" width="15.33203125" style="138" customWidth="1"/>
    <col min="7945" max="8191" width="9.33203125" style="138"/>
    <col min="8192" max="8192" width="55.83203125" style="138" customWidth="1"/>
    <col min="8193" max="8195" width="24.33203125" style="138" customWidth="1"/>
    <col min="8196" max="8196" width="17.5" style="138" customWidth="1"/>
    <col min="8197" max="8197" width="15.5" style="138" customWidth="1"/>
    <col min="8198" max="8198" width="16.1640625" style="138" customWidth="1"/>
    <col min="8199" max="8199" width="17.33203125" style="138" customWidth="1"/>
    <col min="8200" max="8200" width="15.33203125" style="138" customWidth="1"/>
    <col min="8201" max="8447" width="9.33203125" style="138"/>
    <col min="8448" max="8448" width="55.83203125" style="138" customWidth="1"/>
    <col min="8449" max="8451" width="24.33203125" style="138" customWidth="1"/>
    <col min="8452" max="8452" width="17.5" style="138" customWidth="1"/>
    <col min="8453" max="8453" width="15.5" style="138" customWidth="1"/>
    <col min="8454" max="8454" width="16.1640625" style="138" customWidth="1"/>
    <col min="8455" max="8455" width="17.33203125" style="138" customWidth="1"/>
    <col min="8456" max="8456" width="15.33203125" style="138" customWidth="1"/>
    <col min="8457" max="8703" width="9.33203125" style="138"/>
    <col min="8704" max="8704" width="55.83203125" style="138" customWidth="1"/>
    <col min="8705" max="8707" width="24.33203125" style="138" customWidth="1"/>
    <col min="8708" max="8708" width="17.5" style="138" customWidth="1"/>
    <col min="8709" max="8709" width="15.5" style="138" customWidth="1"/>
    <col min="8710" max="8710" width="16.1640625" style="138" customWidth="1"/>
    <col min="8711" max="8711" width="17.33203125" style="138" customWidth="1"/>
    <col min="8712" max="8712" width="15.33203125" style="138" customWidth="1"/>
    <col min="8713" max="8959" width="9.33203125" style="138"/>
    <col min="8960" max="8960" width="55.83203125" style="138" customWidth="1"/>
    <col min="8961" max="8963" width="24.33203125" style="138" customWidth="1"/>
    <col min="8964" max="8964" width="17.5" style="138" customWidth="1"/>
    <col min="8965" max="8965" width="15.5" style="138" customWidth="1"/>
    <col min="8966" max="8966" width="16.1640625" style="138" customWidth="1"/>
    <col min="8967" max="8967" width="17.33203125" style="138" customWidth="1"/>
    <col min="8968" max="8968" width="15.33203125" style="138" customWidth="1"/>
    <col min="8969" max="9215" width="9.33203125" style="138"/>
    <col min="9216" max="9216" width="55.83203125" style="138" customWidth="1"/>
    <col min="9217" max="9219" width="24.33203125" style="138" customWidth="1"/>
    <col min="9220" max="9220" width="17.5" style="138" customWidth="1"/>
    <col min="9221" max="9221" width="15.5" style="138" customWidth="1"/>
    <col min="9222" max="9222" width="16.1640625" style="138" customWidth="1"/>
    <col min="9223" max="9223" width="17.33203125" style="138" customWidth="1"/>
    <col min="9224" max="9224" width="15.33203125" style="138" customWidth="1"/>
    <col min="9225" max="9471" width="9.33203125" style="138"/>
    <col min="9472" max="9472" width="55.83203125" style="138" customWidth="1"/>
    <col min="9473" max="9475" width="24.33203125" style="138" customWidth="1"/>
    <col min="9476" max="9476" width="17.5" style="138" customWidth="1"/>
    <col min="9477" max="9477" width="15.5" style="138" customWidth="1"/>
    <col min="9478" max="9478" width="16.1640625" style="138" customWidth="1"/>
    <col min="9479" max="9479" width="17.33203125" style="138" customWidth="1"/>
    <col min="9480" max="9480" width="15.33203125" style="138" customWidth="1"/>
    <col min="9481" max="9727" width="9.33203125" style="138"/>
    <col min="9728" max="9728" width="55.83203125" style="138" customWidth="1"/>
    <col min="9729" max="9731" width="24.33203125" style="138" customWidth="1"/>
    <col min="9732" max="9732" width="17.5" style="138" customWidth="1"/>
    <col min="9733" max="9733" width="15.5" style="138" customWidth="1"/>
    <col min="9734" max="9734" width="16.1640625" style="138" customWidth="1"/>
    <col min="9735" max="9735" width="17.33203125" style="138" customWidth="1"/>
    <col min="9736" max="9736" width="15.33203125" style="138" customWidth="1"/>
    <col min="9737" max="9983" width="9.33203125" style="138"/>
    <col min="9984" max="9984" width="55.83203125" style="138" customWidth="1"/>
    <col min="9985" max="9987" width="24.33203125" style="138" customWidth="1"/>
    <col min="9988" max="9988" width="17.5" style="138" customWidth="1"/>
    <col min="9989" max="9989" width="15.5" style="138" customWidth="1"/>
    <col min="9990" max="9990" width="16.1640625" style="138" customWidth="1"/>
    <col min="9991" max="9991" width="17.33203125" style="138" customWidth="1"/>
    <col min="9992" max="9992" width="15.33203125" style="138" customWidth="1"/>
    <col min="9993" max="10239" width="9.33203125" style="138"/>
    <col min="10240" max="10240" width="55.83203125" style="138" customWidth="1"/>
    <col min="10241" max="10243" width="24.33203125" style="138" customWidth="1"/>
    <col min="10244" max="10244" width="17.5" style="138" customWidth="1"/>
    <col min="10245" max="10245" width="15.5" style="138" customWidth="1"/>
    <col min="10246" max="10246" width="16.1640625" style="138" customWidth="1"/>
    <col min="10247" max="10247" width="17.33203125" style="138" customWidth="1"/>
    <col min="10248" max="10248" width="15.33203125" style="138" customWidth="1"/>
    <col min="10249" max="10495" width="9.33203125" style="138"/>
    <col min="10496" max="10496" width="55.83203125" style="138" customWidth="1"/>
    <col min="10497" max="10499" width="24.33203125" style="138" customWidth="1"/>
    <col min="10500" max="10500" width="17.5" style="138" customWidth="1"/>
    <col min="10501" max="10501" width="15.5" style="138" customWidth="1"/>
    <col min="10502" max="10502" width="16.1640625" style="138" customWidth="1"/>
    <col min="10503" max="10503" width="17.33203125" style="138" customWidth="1"/>
    <col min="10504" max="10504" width="15.33203125" style="138" customWidth="1"/>
    <col min="10505" max="10751" width="9.33203125" style="138"/>
    <col min="10752" max="10752" width="55.83203125" style="138" customWidth="1"/>
    <col min="10753" max="10755" width="24.33203125" style="138" customWidth="1"/>
    <col min="10756" max="10756" width="17.5" style="138" customWidth="1"/>
    <col min="10757" max="10757" width="15.5" style="138" customWidth="1"/>
    <col min="10758" max="10758" width="16.1640625" style="138" customWidth="1"/>
    <col min="10759" max="10759" width="17.33203125" style="138" customWidth="1"/>
    <col min="10760" max="10760" width="15.33203125" style="138" customWidth="1"/>
    <col min="10761" max="11007" width="9.33203125" style="138"/>
    <col min="11008" max="11008" width="55.83203125" style="138" customWidth="1"/>
    <col min="11009" max="11011" width="24.33203125" style="138" customWidth="1"/>
    <col min="11012" max="11012" width="17.5" style="138" customWidth="1"/>
    <col min="11013" max="11013" width="15.5" style="138" customWidth="1"/>
    <col min="11014" max="11014" width="16.1640625" style="138" customWidth="1"/>
    <col min="11015" max="11015" width="17.33203125" style="138" customWidth="1"/>
    <col min="11016" max="11016" width="15.33203125" style="138" customWidth="1"/>
    <col min="11017" max="11263" width="9.33203125" style="138"/>
    <col min="11264" max="11264" width="55.83203125" style="138" customWidth="1"/>
    <col min="11265" max="11267" width="24.33203125" style="138" customWidth="1"/>
    <col min="11268" max="11268" width="17.5" style="138" customWidth="1"/>
    <col min="11269" max="11269" width="15.5" style="138" customWidth="1"/>
    <col min="11270" max="11270" width="16.1640625" style="138" customWidth="1"/>
    <col min="11271" max="11271" width="17.33203125" style="138" customWidth="1"/>
    <col min="11272" max="11272" width="15.33203125" style="138" customWidth="1"/>
    <col min="11273" max="11519" width="9.33203125" style="138"/>
    <col min="11520" max="11520" width="55.83203125" style="138" customWidth="1"/>
    <col min="11521" max="11523" width="24.33203125" style="138" customWidth="1"/>
    <col min="11524" max="11524" width="17.5" style="138" customWidth="1"/>
    <col min="11525" max="11525" width="15.5" style="138" customWidth="1"/>
    <col min="11526" max="11526" width="16.1640625" style="138" customWidth="1"/>
    <col min="11527" max="11527" width="17.33203125" style="138" customWidth="1"/>
    <col min="11528" max="11528" width="15.33203125" style="138" customWidth="1"/>
    <col min="11529" max="11775" width="9.33203125" style="138"/>
    <col min="11776" max="11776" width="55.83203125" style="138" customWidth="1"/>
    <col min="11777" max="11779" width="24.33203125" style="138" customWidth="1"/>
    <col min="11780" max="11780" width="17.5" style="138" customWidth="1"/>
    <col min="11781" max="11781" width="15.5" style="138" customWidth="1"/>
    <col min="11782" max="11782" width="16.1640625" style="138" customWidth="1"/>
    <col min="11783" max="11783" width="17.33203125" style="138" customWidth="1"/>
    <col min="11784" max="11784" width="15.33203125" style="138" customWidth="1"/>
    <col min="11785" max="12031" width="9.33203125" style="138"/>
    <col min="12032" max="12032" width="55.83203125" style="138" customWidth="1"/>
    <col min="12033" max="12035" width="24.33203125" style="138" customWidth="1"/>
    <col min="12036" max="12036" width="17.5" style="138" customWidth="1"/>
    <col min="12037" max="12037" width="15.5" style="138" customWidth="1"/>
    <col min="12038" max="12038" width="16.1640625" style="138" customWidth="1"/>
    <col min="12039" max="12039" width="17.33203125" style="138" customWidth="1"/>
    <col min="12040" max="12040" width="15.33203125" style="138" customWidth="1"/>
    <col min="12041" max="12287" width="9.33203125" style="138"/>
    <col min="12288" max="12288" width="55.83203125" style="138" customWidth="1"/>
    <col min="12289" max="12291" width="24.33203125" style="138" customWidth="1"/>
    <col min="12292" max="12292" width="17.5" style="138" customWidth="1"/>
    <col min="12293" max="12293" width="15.5" style="138" customWidth="1"/>
    <col min="12294" max="12294" width="16.1640625" style="138" customWidth="1"/>
    <col min="12295" max="12295" width="17.33203125" style="138" customWidth="1"/>
    <col min="12296" max="12296" width="15.33203125" style="138" customWidth="1"/>
    <col min="12297" max="12543" width="9.33203125" style="138"/>
    <col min="12544" max="12544" width="55.83203125" style="138" customWidth="1"/>
    <col min="12545" max="12547" width="24.33203125" style="138" customWidth="1"/>
    <col min="12548" max="12548" width="17.5" style="138" customWidth="1"/>
    <col min="12549" max="12549" width="15.5" style="138" customWidth="1"/>
    <col min="12550" max="12550" width="16.1640625" style="138" customWidth="1"/>
    <col min="12551" max="12551" width="17.33203125" style="138" customWidth="1"/>
    <col min="12552" max="12552" width="15.33203125" style="138" customWidth="1"/>
    <col min="12553" max="12799" width="9.33203125" style="138"/>
    <col min="12800" max="12800" width="55.83203125" style="138" customWidth="1"/>
    <col min="12801" max="12803" width="24.33203125" style="138" customWidth="1"/>
    <col min="12804" max="12804" width="17.5" style="138" customWidth="1"/>
    <col min="12805" max="12805" width="15.5" style="138" customWidth="1"/>
    <col min="12806" max="12806" width="16.1640625" style="138" customWidth="1"/>
    <col min="12807" max="12807" width="17.33203125" style="138" customWidth="1"/>
    <col min="12808" max="12808" width="15.33203125" style="138" customWidth="1"/>
    <col min="12809" max="13055" width="9.33203125" style="138"/>
    <col min="13056" max="13056" width="55.83203125" style="138" customWidth="1"/>
    <col min="13057" max="13059" width="24.33203125" style="138" customWidth="1"/>
    <col min="13060" max="13060" width="17.5" style="138" customWidth="1"/>
    <col min="13061" max="13061" width="15.5" style="138" customWidth="1"/>
    <col min="13062" max="13062" width="16.1640625" style="138" customWidth="1"/>
    <col min="13063" max="13063" width="17.33203125" style="138" customWidth="1"/>
    <col min="13064" max="13064" width="15.33203125" style="138" customWidth="1"/>
    <col min="13065" max="13311" width="9.33203125" style="138"/>
    <col min="13312" max="13312" width="55.83203125" style="138" customWidth="1"/>
    <col min="13313" max="13315" width="24.33203125" style="138" customWidth="1"/>
    <col min="13316" max="13316" width="17.5" style="138" customWidth="1"/>
    <col min="13317" max="13317" width="15.5" style="138" customWidth="1"/>
    <col min="13318" max="13318" width="16.1640625" style="138" customWidth="1"/>
    <col min="13319" max="13319" width="17.33203125" style="138" customWidth="1"/>
    <col min="13320" max="13320" width="15.33203125" style="138" customWidth="1"/>
    <col min="13321" max="13567" width="9.33203125" style="138"/>
    <col min="13568" max="13568" width="55.83203125" style="138" customWidth="1"/>
    <col min="13569" max="13571" width="24.33203125" style="138" customWidth="1"/>
    <col min="13572" max="13572" width="17.5" style="138" customWidth="1"/>
    <col min="13573" max="13573" width="15.5" style="138" customWidth="1"/>
    <col min="13574" max="13574" width="16.1640625" style="138" customWidth="1"/>
    <col min="13575" max="13575" width="17.33203125" style="138" customWidth="1"/>
    <col min="13576" max="13576" width="15.33203125" style="138" customWidth="1"/>
    <col min="13577" max="13823" width="9.33203125" style="138"/>
    <col min="13824" max="13824" width="55.83203125" style="138" customWidth="1"/>
    <col min="13825" max="13827" width="24.33203125" style="138" customWidth="1"/>
    <col min="13828" max="13828" width="17.5" style="138" customWidth="1"/>
    <col min="13829" max="13829" width="15.5" style="138" customWidth="1"/>
    <col min="13830" max="13830" width="16.1640625" style="138" customWidth="1"/>
    <col min="13831" max="13831" width="17.33203125" style="138" customWidth="1"/>
    <col min="13832" max="13832" width="15.33203125" style="138" customWidth="1"/>
    <col min="13833" max="14079" width="9.33203125" style="138"/>
    <col min="14080" max="14080" width="55.83203125" style="138" customWidth="1"/>
    <col min="14081" max="14083" width="24.33203125" style="138" customWidth="1"/>
    <col min="14084" max="14084" width="17.5" style="138" customWidth="1"/>
    <col min="14085" max="14085" width="15.5" style="138" customWidth="1"/>
    <col min="14086" max="14086" width="16.1640625" style="138" customWidth="1"/>
    <col min="14087" max="14087" width="17.33203125" style="138" customWidth="1"/>
    <col min="14088" max="14088" width="15.33203125" style="138" customWidth="1"/>
    <col min="14089" max="14335" width="9.33203125" style="138"/>
    <col min="14336" max="14336" width="55.83203125" style="138" customWidth="1"/>
    <col min="14337" max="14339" width="24.33203125" style="138" customWidth="1"/>
    <col min="14340" max="14340" width="17.5" style="138" customWidth="1"/>
    <col min="14341" max="14341" width="15.5" style="138" customWidth="1"/>
    <col min="14342" max="14342" width="16.1640625" style="138" customWidth="1"/>
    <col min="14343" max="14343" width="17.33203125" style="138" customWidth="1"/>
    <col min="14344" max="14344" width="15.33203125" style="138" customWidth="1"/>
    <col min="14345" max="14591" width="9.33203125" style="138"/>
    <col min="14592" max="14592" width="55.83203125" style="138" customWidth="1"/>
    <col min="14593" max="14595" width="24.33203125" style="138" customWidth="1"/>
    <col min="14596" max="14596" width="17.5" style="138" customWidth="1"/>
    <col min="14597" max="14597" width="15.5" style="138" customWidth="1"/>
    <col min="14598" max="14598" width="16.1640625" style="138" customWidth="1"/>
    <col min="14599" max="14599" width="17.33203125" style="138" customWidth="1"/>
    <col min="14600" max="14600" width="15.33203125" style="138" customWidth="1"/>
    <col min="14601" max="14847" width="9.33203125" style="138"/>
    <col min="14848" max="14848" width="55.83203125" style="138" customWidth="1"/>
    <col min="14849" max="14851" width="24.33203125" style="138" customWidth="1"/>
    <col min="14852" max="14852" width="17.5" style="138" customWidth="1"/>
    <col min="14853" max="14853" width="15.5" style="138" customWidth="1"/>
    <col min="14854" max="14854" width="16.1640625" style="138" customWidth="1"/>
    <col min="14855" max="14855" width="17.33203125" style="138" customWidth="1"/>
    <col min="14856" max="14856" width="15.33203125" style="138" customWidth="1"/>
    <col min="14857" max="15103" width="9.33203125" style="138"/>
    <col min="15104" max="15104" width="55.83203125" style="138" customWidth="1"/>
    <col min="15105" max="15107" width="24.33203125" style="138" customWidth="1"/>
    <col min="15108" max="15108" width="17.5" style="138" customWidth="1"/>
    <col min="15109" max="15109" width="15.5" style="138" customWidth="1"/>
    <col min="15110" max="15110" width="16.1640625" style="138" customWidth="1"/>
    <col min="15111" max="15111" width="17.33203125" style="138" customWidth="1"/>
    <col min="15112" max="15112" width="15.33203125" style="138" customWidth="1"/>
    <col min="15113" max="15359" width="9.33203125" style="138"/>
    <col min="15360" max="15360" width="55.83203125" style="138" customWidth="1"/>
    <col min="15361" max="15363" width="24.33203125" style="138" customWidth="1"/>
    <col min="15364" max="15364" width="17.5" style="138" customWidth="1"/>
    <col min="15365" max="15365" width="15.5" style="138" customWidth="1"/>
    <col min="15366" max="15366" width="16.1640625" style="138" customWidth="1"/>
    <col min="15367" max="15367" width="17.33203125" style="138" customWidth="1"/>
    <col min="15368" max="15368" width="15.33203125" style="138" customWidth="1"/>
    <col min="15369" max="15615" width="9.33203125" style="138"/>
    <col min="15616" max="15616" width="55.83203125" style="138" customWidth="1"/>
    <col min="15617" max="15619" width="24.33203125" style="138" customWidth="1"/>
    <col min="15620" max="15620" width="17.5" style="138" customWidth="1"/>
    <col min="15621" max="15621" width="15.5" style="138" customWidth="1"/>
    <col min="15622" max="15622" width="16.1640625" style="138" customWidth="1"/>
    <col min="15623" max="15623" width="17.33203125" style="138" customWidth="1"/>
    <col min="15624" max="15624" width="15.33203125" style="138" customWidth="1"/>
    <col min="15625" max="15871" width="9.33203125" style="138"/>
    <col min="15872" max="15872" width="55.83203125" style="138" customWidth="1"/>
    <col min="15873" max="15875" width="24.33203125" style="138" customWidth="1"/>
    <col min="15876" max="15876" width="17.5" style="138" customWidth="1"/>
    <col min="15877" max="15877" width="15.5" style="138" customWidth="1"/>
    <col min="15878" max="15878" width="16.1640625" style="138" customWidth="1"/>
    <col min="15879" max="15879" width="17.33203125" style="138" customWidth="1"/>
    <col min="15880" max="15880" width="15.33203125" style="138" customWidth="1"/>
    <col min="15881" max="16127" width="9.33203125" style="138"/>
    <col min="16128" max="16128" width="55.83203125" style="138" customWidth="1"/>
    <col min="16129" max="16131" width="24.33203125" style="138" customWidth="1"/>
    <col min="16132" max="16132" width="17.5" style="138" customWidth="1"/>
    <col min="16133" max="16133" width="15.5" style="138" customWidth="1"/>
    <col min="16134" max="16134" width="16.1640625" style="138" customWidth="1"/>
    <col min="16135" max="16135" width="17.33203125" style="138" customWidth="1"/>
    <col min="16136" max="16136" width="15.33203125" style="138" customWidth="1"/>
    <col min="16137" max="16384" width="9.33203125" style="138"/>
  </cols>
  <sheetData>
    <row r="1" spans="2:229" ht="13.5" customHeight="1"/>
    <row r="2" spans="2:229" ht="13.5" customHeight="1">
      <c r="B2" s="219" t="str">
        <f>Returns!B2</f>
        <v>Mondelez International, Inc. (MDLZ)</v>
      </c>
    </row>
    <row r="3" spans="2:229" s="140" customFormat="1" ht="13.5" customHeight="1">
      <c r="B3" s="143" t="s">
        <v>327</v>
      </c>
      <c r="C3" s="220"/>
      <c r="D3" s="220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  <c r="AL3" s="142"/>
      <c r="AM3" s="142"/>
      <c r="AN3" s="142"/>
      <c r="AO3" s="142"/>
      <c r="AP3" s="142"/>
      <c r="AQ3" s="142"/>
      <c r="AR3" s="142"/>
      <c r="AS3" s="142"/>
      <c r="AT3" s="142"/>
      <c r="AU3" s="142"/>
      <c r="AV3" s="142"/>
      <c r="AW3" s="142"/>
      <c r="AX3" s="142"/>
      <c r="AY3" s="142"/>
      <c r="AZ3" s="142"/>
      <c r="BA3" s="142"/>
      <c r="BB3" s="142"/>
      <c r="BC3" s="142"/>
      <c r="BD3" s="142"/>
      <c r="BE3" s="142"/>
      <c r="BF3" s="142"/>
      <c r="BG3" s="142"/>
      <c r="BH3" s="142"/>
      <c r="BI3" s="142"/>
      <c r="BJ3" s="142"/>
      <c r="BK3" s="142"/>
      <c r="BL3" s="142"/>
      <c r="BM3" s="142"/>
      <c r="BN3" s="142"/>
      <c r="BO3" s="142"/>
      <c r="BP3" s="142"/>
      <c r="BQ3" s="142"/>
      <c r="BR3" s="142"/>
      <c r="BS3" s="142"/>
      <c r="BT3" s="142"/>
      <c r="BU3" s="142"/>
      <c r="BV3" s="142"/>
      <c r="BW3" s="142"/>
      <c r="BX3" s="142"/>
      <c r="BY3" s="142"/>
      <c r="BZ3" s="142"/>
      <c r="CA3" s="142"/>
      <c r="CB3" s="142"/>
      <c r="CC3" s="142"/>
      <c r="CD3" s="142"/>
      <c r="CE3" s="142"/>
      <c r="CF3" s="142"/>
      <c r="CG3" s="142"/>
      <c r="CH3" s="142"/>
      <c r="CI3" s="142"/>
      <c r="CJ3" s="142"/>
      <c r="CK3" s="142"/>
      <c r="CL3" s="142"/>
      <c r="CM3" s="142"/>
      <c r="CN3" s="142"/>
      <c r="CO3" s="142"/>
      <c r="CP3" s="142"/>
      <c r="CQ3" s="142"/>
      <c r="CR3" s="142"/>
      <c r="CS3" s="142"/>
      <c r="CT3" s="142"/>
      <c r="CU3" s="142"/>
      <c r="CV3" s="142"/>
      <c r="CW3" s="142"/>
      <c r="CX3" s="142"/>
      <c r="CY3" s="142"/>
      <c r="CZ3" s="142"/>
      <c r="DA3" s="142"/>
      <c r="DB3" s="142"/>
      <c r="DC3" s="142"/>
      <c r="DD3" s="142"/>
      <c r="DE3" s="142"/>
      <c r="DF3" s="142"/>
      <c r="DG3" s="142"/>
      <c r="DH3" s="142"/>
      <c r="DI3" s="142"/>
      <c r="DJ3" s="142"/>
      <c r="DK3" s="142"/>
      <c r="DL3" s="142"/>
      <c r="DM3" s="142"/>
      <c r="DN3" s="142"/>
      <c r="DO3" s="142"/>
      <c r="DP3" s="142"/>
      <c r="DQ3" s="142"/>
      <c r="DR3" s="142"/>
      <c r="DS3" s="142"/>
      <c r="DT3" s="142"/>
      <c r="DU3" s="142"/>
      <c r="DV3" s="142"/>
      <c r="DW3" s="142"/>
      <c r="DX3" s="142"/>
      <c r="DY3" s="142"/>
      <c r="DZ3" s="142"/>
      <c r="EA3" s="142"/>
      <c r="EB3" s="142"/>
      <c r="EC3" s="142"/>
      <c r="ED3" s="142"/>
      <c r="EE3" s="142"/>
      <c r="EF3" s="142"/>
      <c r="EG3" s="142"/>
      <c r="EH3" s="142"/>
      <c r="EI3" s="142"/>
      <c r="EJ3" s="142"/>
      <c r="EK3" s="142"/>
      <c r="EL3" s="142"/>
      <c r="EM3" s="142"/>
      <c r="EN3" s="142"/>
      <c r="EO3" s="142"/>
      <c r="EP3" s="142"/>
      <c r="EQ3" s="142"/>
      <c r="ER3" s="142"/>
      <c r="ES3" s="142"/>
      <c r="ET3" s="142"/>
      <c r="EU3" s="142"/>
      <c r="EV3" s="142"/>
      <c r="EW3" s="142"/>
      <c r="EX3" s="142"/>
      <c r="EY3" s="142"/>
      <c r="EZ3" s="142"/>
      <c r="FA3" s="142"/>
      <c r="FB3" s="142"/>
      <c r="FC3" s="142"/>
      <c r="FD3" s="142"/>
      <c r="FE3" s="142"/>
      <c r="FF3" s="142"/>
      <c r="FG3" s="142"/>
      <c r="FH3" s="142"/>
      <c r="FI3" s="142"/>
      <c r="FJ3" s="142"/>
      <c r="FK3" s="142"/>
      <c r="FL3" s="142"/>
      <c r="FM3" s="142"/>
      <c r="FN3" s="142"/>
      <c r="FO3" s="142"/>
      <c r="FP3" s="142"/>
      <c r="FQ3" s="142"/>
      <c r="FR3" s="142"/>
      <c r="FS3" s="142"/>
      <c r="FT3" s="142"/>
      <c r="FU3" s="142"/>
      <c r="FV3" s="142"/>
      <c r="FW3" s="142"/>
      <c r="FX3" s="142"/>
      <c r="FY3" s="142"/>
      <c r="FZ3" s="142"/>
      <c r="GA3" s="142"/>
      <c r="GB3" s="142"/>
      <c r="GC3" s="142"/>
      <c r="GD3" s="142"/>
      <c r="GE3" s="142"/>
      <c r="GF3" s="142"/>
      <c r="GG3" s="142"/>
      <c r="GH3" s="142"/>
      <c r="GI3" s="142"/>
      <c r="GJ3" s="142"/>
      <c r="GK3" s="142"/>
      <c r="GL3" s="142"/>
      <c r="GM3" s="142"/>
      <c r="GN3" s="142"/>
      <c r="GO3" s="142"/>
      <c r="GP3" s="142"/>
      <c r="GQ3" s="142"/>
      <c r="GR3" s="142"/>
      <c r="GS3" s="142"/>
      <c r="GT3" s="142"/>
      <c r="GU3" s="142"/>
      <c r="GV3" s="142"/>
      <c r="GW3" s="142"/>
      <c r="GX3" s="142"/>
      <c r="GY3" s="142"/>
      <c r="GZ3" s="142"/>
      <c r="HA3" s="142"/>
      <c r="HB3" s="142"/>
      <c r="HC3" s="142"/>
      <c r="HD3" s="142"/>
      <c r="HE3" s="142"/>
      <c r="HF3" s="142"/>
      <c r="HG3" s="142"/>
      <c r="HH3" s="142"/>
      <c r="HI3" s="142"/>
      <c r="HJ3" s="142"/>
      <c r="HK3" s="142"/>
      <c r="HL3" s="142"/>
      <c r="HM3" s="142"/>
      <c r="HN3" s="142"/>
      <c r="HO3" s="142"/>
      <c r="HP3" s="142"/>
      <c r="HQ3" s="142"/>
      <c r="HR3" s="142"/>
      <c r="HS3" s="142"/>
      <c r="HT3" s="142"/>
      <c r="HU3" s="142"/>
    </row>
    <row r="4" spans="2:229" s="140" customFormat="1" ht="13.5" customHeight="1">
      <c r="B4" s="216"/>
      <c r="C4" s="778">
        <v>42080</v>
      </c>
      <c r="D4" s="224"/>
      <c r="E4" s="223" t="s">
        <v>122</v>
      </c>
      <c r="F4" s="224"/>
      <c r="G4" s="223" t="s">
        <v>123</v>
      </c>
      <c r="H4" s="225"/>
      <c r="I4" s="984" t="s">
        <v>49</v>
      </c>
      <c r="J4" s="985"/>
      <c r="K4" s="984" t="s">
        <v>47</v>
      </c>
      <c r="L4" s="985"/>
      <c r="M4" s="222"/>
      <c r="N4" s="222"/>
      <c r="O4" s="222"/>
      <c r="P4" s="222"/>
      <c r="Q4" s="222"/>
      <c r="R4" s="222"/>
      <c r="S4" s="222"/>
      <c r="T4" s="222"/>
      <c r="U4" s="222"/>
      <c r="V4" s="222"/>
      <c r="W4" s="222"/>
      <c r="X4" s="222"/>
      <c r="Y4" s="222"/>
      <c r="Z4" s="222"/>
      <c r="AA4" s="222"/>
      <c r="AB4" s="222"/>
      <c r="AC4" s="222"/>
      <c r="AD4" s="222"/>
      <c r="AE4" s="222"/>
      <c r="AF4" s="222"/>
      <c r="AG4" s="222"/>
      <c r="AH4" s="222"/>
      <c r="AI4" s="222"/>
      <c r="AJ4" s="222"/>
      <c r="AK4" s="222"/>
      <c r="AL4" s="222"/>
      <c r="AM4" s="222"/>
      <c r="AN4" s="222"/>
      <c r="AO4" s="222"/>
      <c r="AP4" s="222"/>
      <c r="AQ4" s="222"/>
      <c r="AR4" s="222"/>
      <c r="AS4" s="222"/>
      <c r="AT4" s="222"/>
      <c r="AU4" s="222"/>
      <c r="AV4" s="222"/>
      <c r="AW4" s="222"/>
      <c r="AX4" s="222"/>
      <c r="AY4" s="222"/>
      <c r="AZ4" s="222"/>
      <c r="BA4" s="222"/>
      <c r="BB4" s="222"/>
      <c r="BC4" s="222"/>
      <c r="BD4" s="222"/>
      <c r="BE4" s="222"/>
      <c r="BF4" s="222"/>
      <c r="BG4" s="222"/>
      <c r="BH4" s="222"/>
      <c r="BI4" s="222"/>
      <c r="BJ4" s="222"/>
      <c r="BK4" s="222"/>
      <c r="BL4" s="222"/>
      <c r="BM4" s="222"/>
      <c r="BN4" s="222"/>
      <c r="BO4" s="222"/>
      <c r="BP4" s="222"/>
      <c r="BQ4" s="222"/>
      <c r="BR4" s="222"/>
      <c r="BS4" s="222"/>
      <c r="BT4" s="222"/>
      <c r="BU4" s="222"/>
      <c r="BV4" s="222"/>
      <c r="BW4" s="222"/>
      <c r="BX4" s="222"/>
      <c r="BY4" s="222"/>
      <c r="BZ4" s="222"/>
      <c r="CA4" s="222"/>
      <c r="CB4" s="222"/>
      <c r="CC4" s="222"/>
      <c r="CD4" s="222"/>
      <c r="CE4" s="222"/>
      <c r="CF4" s="222"/>
      <c r="CG4" s="222"/>
      <c r="CH4" s="222"/>
      <c r="CI4" s="222"/>
      <c r="CJ4" s="222"/>
      <c r="CK4" s="222"/>
      <c r="CL4" s="222"/>
      <c r="CM4" s="222"/>
      <c r="CN4" s="222"/>
      <c r="CO4" s="222"/>
      <c r="CP4" s="222"/>
      <c r="CQ4" s="222"/>
      <c r="CR4" s="222"/>
      <c r="CS4" s="222"/>
      <c r="CT4" s="222"/>
      <c r="CU4" s="222"/>
      <c r="CV4" s="222"/>
      <c r="CW4" s="222"/>
      <c r="CX4" s="222"/>
      <c r="CY4" s="222"/>
      <c r="CZ4" s="222"/>
      <c r="DA4" s="222"/>
      <c r="DB4" s="222"/>
      <c r="DC4" s="222"/>
      <c r="DD4" s="222"/>
      <c r="DE4" s="222"/>
      <c r="DF4" s="222"/>
      <c r="DG4" s="222"/>
      <c r="DH4" s="222"/>
      <c r="DI4" s="222"/>
      <c r="DJ4" s="222"/>
      <c r="DK4" s="222"/>
      <c r="DL4" s="222"/>
      <c r="DM4" s="222"/>
      <c r="DN4" s="222"/>
      <c r="DO4" s="222"/>
      <c r="DP4" s="222"/>
      <c r="DQ4" s="222"/>
      <c r="DR4" s="222"/>
      <c r="DS4" s="222"/>
      <c r="DT4" s="222"/>
      <c r="DU4" s="222"/>
      <c r="DV4" s="222"/>
      <c r="DW4" s="222"/>
      <c r="DX4" s="222"/>
      <c r="DY4" s="222"/>
      <c r="DZ4" s="222"/>
      <c r="EA4" s="222"/>
      <c r="EB4" s="222"/>
      <c r="EC4" s="222"/>
      <c r="ED4" s="222"/>
      <c r="EE4" s="222"/>
      <c r="EF4" s="222"/>
      <c r="EG4" s="222"/>
      <c r="EH4" s="222"/>
      <c r="EI4" s="222"/>
      <c r="EJ4" s="222"/>
      <c r="EK4" s="222"/>
      <c r="EL4" s="222"/>
      <c r="EM4" s="222"/>
      <c r="EN4" s="222"/>
      <c r="EO4" s="222"/>
      <c r="EP4" s="222"/>
      <c r="EQ4" s="222"/>
      <c r="ER4" s="222"/>
      <c r="ES4" s="222"/>
      <c r="ET4" s="222"/>
      <c r="EU4" s="222"/>
      <c r="EV4" s="222"/>
      <c r="EW4" s="222"/>
      <c r="EX4" s="222"/>
      <c r="EY4" s="222"/>
      <c r="EZ4" s="222"/>
      <c r="FA4" s="222"/>
      <c r="FB4" s="222"/>
      <c r="FC4" s="222"/>
      <c r="FD4" s="222"/>
      <c r="FE4" s="222"/>
      <c r="FF4" s="222"/>
      <c r="FG4" s="222"/>
      <c r="FH4" s="222"/>
      <c r="FI4" s="222"/>
      <c r="FJ4" s="222"/>
      <c r="FK4" s="222"/>
      <c r="FL4" s="222"/>
      <c r="FM4" s="222"/>
      <c r="FN4" s="222"/>
      <c r="FO4" s="222"/>
      <c r="FP4" s="222"/>
      <c r="FQ4" s="222"/>
      <c r="FR4" s="222"/>
      <c r="FS4" s="222"/>
      <c r="FT4" s="222"/>
      <c r="FU4" s="222"/>
      <c r="FV4" s="222"/>
      <c r="FW4" s="222"/>
      <c r="FX4" s="222"/>
      <c r="FY4" s="222"/>
      <c r="FZ4" s="222"/>
      <c r="GA4" s="222"/>
      <c r="GB4" s="222"/>
      <c r="GC4" s="222"/>
      <c r="GD4" s="222"/>
      <c r="GE4" s="222"/>
      <c r="GF4" s="222"/>
      <c r="GG4" s="222"/>
      <c r="GH4" s="222"/>
      <c r="GI4" s="222"/>
      <c r="GJ4" s="222"/>
      <c r="GK4" s="222"/>
      <c r="GL4" s="222"/>
      <c r="GM4" s="222"/>
      <c r="GN4" s="222"/>
      <c r="GO4" s="222"/>
      <c r="GP4" s="222"/>
      <c r="GQ4" s="222"/>
      <c r="GR4" s="222"/>
      <c r="GS4" s="222"/>
      <c r="GT4" s="222"/>
      <c r="GU4" s="222"/>
      <c r="GV4" s="222"/>
      <c r="GW4" s="222"/>
      <c r="GX4" s="222"/>
      <c r="GY4" s="222"/>
      <c r="GZ4" s="222"/>
      <c r="HA4" s="222"/>
      <c r="HB4" s="222"/>
      <c r="HC4" s="222"/>
      <c r="HD4" s="222"/>
      <c r="HE4" s="222"/>
      <c r="HF4" s="222"/>
      <c r="HG4" s="222"/>
      <c r="HH4" s="222"/>
      <c r="HI4" s="222"/>
      <c r="HJ4" s="222"/>
      <c r="HK4" s="222"/>
      <c r="HL4" s="222"/>
      <c r="HM4" s="222"/>
      <c r="HN4" s="222"/>
      <c r="HO4" s="222"/>
      <c r="HP4" s="222"/>
      <c r="HQ4" s="222"/>
      <c r="HR4" s="222"/>
      <c r="HS4" s="222"/>
      <c r="HT4" s="222"/>
      <c r="HU4" s="222"/>
    </row>
    <row r="5" spans="2:229" s="227" customFormat="1" ht="13.5" customHeight="1">
      <c r="B5" s="226" t="s">
        <v>90</v>
      </c>
      <c r="C5" s="221" t="s">
        <v>91</v>
      </c>
      <c r="D5" s="221" t="s">
        <v>120</v>
      </c>
      <c r="E5" s="221" t="s">
        <v>236</v>
      </c>
      <c r="F5" s="221" t="s">
        <v>237</v>
      </c>
      <c r="G5" s="221" t="s">
        <v>236</v>
      </c>
      <c r="H5" s="221" t="s">
        <v>237</v>
      </c>
      <c r="I5" s="221" t="s">
        <v>235</v>
      </c>
      <c r="J5" s="221" t="s">
        <v>10</v>
      </c>
      <c r="K5" s="221" t="s">
        <v>277</v>
      </c>
      <c r="L5" s="798" t="s">
        <v>278</v>
      </c>
    </row>
    <row r="6" spans="2:229" s="140" customFormat="1" ht="13.5" customHeight="1">
      <c r="B6" s="799" t="s">
        <v>230</v>
      </c>
      <c r="C6" s="595">
        <v>61.7</v>
      </c>
      <c r="D6" s="596">
        <v>44988.5</v>
      </c>
      <c r="E6" s="597">
        <v>18.899999999999999</v>
      </c>
      <c r="F6" s="597">
        <v>12</v>
      </c>
      <c r="G6" s="597">
        <v>35.4</v>
      </c>
      <c r="H6" s="597">
        <v>19.13</v>
      </c>
      <c r="I6" s="598">
        <v>0.26900000000000002</v>
      </c>
      <c r="J6" s="598">
        <v>0.13100000000000001</v>
      </c>
      <c r="K6" s="597">
        <v>51.2</v>
      </c>
      <c r="L6" s="800">
        <v>3.2899999999999999E-2</v>
      </c>
      <c r="M6" s="228"/>
      <c r="N6" s="228"/>
    </row>
    <row r="7" spans="2:229" s="140" customFormat="1" ht="13.5" customHeight="1">
      <c r="B7" s="799" t="s">
        <v>229</v>
      </c>
      <c r="C7" s="595">
        <v>52.05</v>
      </c>
      <c r="D7" s="596">
        <v>42465.5</v>
      </c>
      <c r="E7" s="597">
        <v>12.8</v>
      </c>
      <c r="F7" s="597">
        <v>11.9</v>
      </c>
      <c r="G7" s="597">
        <v>21.7</v>
      </c>
      <c r="H7" s="597">
        <v>17.47</v>
      </c>
      <c r="I7" s="598">
        <v>0.34399999999999997</v>
      </c>
      <c r="J7" s="598">
        <v>0.183</v>
      </c>
      <c r="K7" s="597">
        <v>24.4</v>
      </c>
      <c r="L7" s="800">
        <v>8.72E-2</v>
      </c>
      <c r="M7" s="228"/>
      <c r="N7" s="228"/>
    </row>
    <row r="8" spans="2:229" s="140" customFormat="1" ht="13.5" customHeight="1">
      <c r="B8" s="799" t="s">
        <v>227</v>
      </c>
      <c r="C8" s="595">
        <v>62.25</v>
      </c>
      <c r="D8" s="596">
        <v>29126.1</v>
      </c>
      <c r="E8" s="597">
        <v>15.7</v>
      </c>
      <c r="F8" s="597">
        <v>11.45</v>
      </c>
      <c r="G8" s="597">
        <v>35.5</v>
      </c>
      <c r="H8" s="597">
        <v>17.190000000000001</v>
      </c>
      <c r="I8" s="598">
        <v>0.35899999999999999</v>
      </c>
      <c r="J8" s="598">
        <v>0.128</v>
      </c>
      <c r="K8" s="597">
        <v>28.2</v>
      </c>
      <c r="L8" s="800">
        <v>6.1800000000000001E-2</v>
      </c>
      <c r="M8" s="228"/>
      <c r="N8" s="228"/>
    </row>
    <row r="9" spans="2:229" s="140" customFormat="1" ht="13.5" customHeight="1">
      <c r="B9" s="799" t="s">
        <v>233</v>
      </c>
      <c r="C9" s="595">
        <v>100.07</v>
      </c>
      <c r="D9" s="596">
        <v>23833.3</v>
      </c>
      <c r="E9" s="597">
        <v>14.3</v>
      </c>
      <c r="F9" s="597">
        <v>13.41</v>
      </c>
      <c r="G9" s="597">
        <v>26.5</v>
      </c>
      <c r="H9" s="597">
        <v>22.88</v>
      </c>
      <c r="I9" s="598">
        <v>0.45</v>
      </c>
      <c r="J9" s="598">
        <v>0.224</v>
      </c>
      <c r="K9" s="597">
        <v>52.3</v>
      </c>
      <c r="L9" s="800">
        <v>5.3999999999999999E-2</v>
      </c>
      <c r="M9" s="228"/>
      <c r="N9" s="228"/>
    </row>
    <row r="10" spans="2:229" s="140" customFormat="1" ht="13.5" customHeight="1">
      <c r="B10" s="799" t="s">
        <v>228</v>
      </c>
      <c r="C10" s="595">
        <v>34.49</v>
      </c>
      <c r="D10" s="596">
        <v>22922.5</v>
      </c>
      <c r="E10" s="597">
        <v>9.5</v>
      </c>
      <c r="F10" s="597">
        <v>10.47</v>
      </c>
      <c r="G10" s="597"/>
      <c r="H10" s="597">
        <v>15.09</v>
      </c>
      <c r="I10" s="598">
        <v>0.20200000000000001</v>
      </c>
      <c r="J10" s="598">
        <v>0.13300000000000001</v>
      </c>
      <c r="K10" s="597">
        <v>14.4</v>
      </c>
      <c r="L10" s="800">
        <v>7.7899999999999997E-2</v>
      </c>
      <c r="M10" s="228"/>
      <c r="N10" s="228"/>
    </row>
    <row r="11" spans="2:229" s="140" customFormat="1" ht="13.5" customHeight="1">
      <c r="B11" s="799" t="s">
        <v>231</v>
      </c>
      <c r="C11" s="595">
        <v>38.71</v>
      </c>
      <c r="D11" s="596">
        <v>22378.799999999999</v>
      </c>
      <c r="E11" s="597">
        <v>10</v>
      </c>
      <c r="F11" s="597">
        <v>6.94</v>
      </c>
      <c r="G11" s="597">
        <v>15.6</v>
      </c>
      <c r="H11" s="597">
        <v>10.59</v>
      </c>
      <c r="I11" s="598">
        <v>7.6999999999999999E-2</v>
      </c>
      <c r="J11" s="598">
        <v>5.6000000000000001E-2</v>
      </c>
      <c r="K11" s="597">
        <v>37.9</v>
      </c>
      <c r="L11" s="800">
        <v>1.23E-2</v>
      </c>
      <c r="M11" s="228"/>
      <c r="N11" s="228"/>
    </row>
    <row r="12" spans="2:229" s="140" customFormat="1" ht="13.5" customHeight="1">
      <c r="B12" s="799" t="s">
        <v>232</v>
      </c>
      <c r="C12" s="595">
        <v>45.16</v>
      </c>
      <c r="D12" s="596">
        <v>17851.400000000001</v>
      </c>
      <c r="E12" s="597">
        <v>12</v>
      </c>
      <c r="F12" s="597">
        <v>11.55</v>
      </c>
      <c r="G12" s="597">
        <v>18.8</v>
      </c>
      <c r="H12" s="597">
        <v>19.010000000000002</v>
      </c>
      <c r="I12" s="598">
        <v>0.33900000000000002</v>
      </c>
      <c r="J12" s="598">
        <v>0.17899999999999999</v>
      </c>
      <c r="K12" s="597">
        <v>26.7</v>
      </c>
      <c r="L12" s="800">
        <v>7.1800000000000003E-2</v>
      </c>
      <c r="M12" s="228"/>
      <c r="N12" s="228"/>
    </row>
    <row r="13" spans="2:229" s="140" customFormat="1" ht="13.5" customHeight="1">
      <c r="B13" s="815" t="s">
        <v>234</v>
      </c>
      <c r="C13" s="816">
        <v>110.59</v>
      </c>
      <c r="D13" s="817">
        <v>13365.8</v>
      </c>
      <c r="E13" s="810">
        <v>11.4</v>
      </c>
      <c r="F13" s="810">
        <v>10.07</v>
      </c>
      <c r="G13" s="810">
        <v>20.399999999999999</v>
      </c>
      <c r="H13" s="810">
        <v>19.89</v>
      </c>
      <c r="I13" s="818">
        <v>0.36199999999999999</v>
      </c>
      <c r="J13" s="818">
        <v>0.21299999999999999</v>
      </c>
      <c r="K13" s="810">
        <v>30.6</v>
      </c>
      <c r="L13" s="819">
        <v>7.1999999999999995E-2</v>
      </c>
      <c r="M13" s="228"/>
      <c r="N13" s="228"/>
    </row>
    <row r="14" spans="2:229" s="140" customFormat="1" ht="6.75" customHeight="1">
      <c r="B14" s="813"/>
      <c r="C14" s="801"/>
      <c r="D14" s="802"/>
      <c r="E14" s="803"/>
      <c r="F14" s="804"/>
      <c r="G14" s="803"/>
      <c r="H14" s="804"/>
      <c r="I14" s="805"/>
      <c r="J14" s="805"/>
      <c r="K14" s="804"/>
      <c r="L14" s="805"/>
      <c r="M14" s="814"/>
      <c r="N14" s="228"/>
    </row>
    <row r="15" spans="2:229" s="140" customFormat="1" ht="13.5" customHeight="1">
      <c r="B15" s="229" t="str">
        <f>B2</f>
        <v>Mondelez International, Inc. (MDLZ)</v>
      </c>
      <c r="C15" s="230">
        <f>Summary!E6</f>
        <v>34.36</v>
      </c>
      <c r="D15" s="231">
        <v>72105</v>
      </c>
      <c r="E15" s="232">
        <v>14.3</v>
      </c>
      <c r="F15" s="232">
        <v>13.5</v>
      </c>
      <c r="G15" s="232">
        <v>27</v>
      </c>
      <c r="H15" s="232">
        <v>20.100000000000001</v>
      </c>
      <c r="I15" s="233">
        <v>0.36799999999999999</v>
      </c>
      <c r="J15" s="233">
        <v>0.14699999999999999</v>
      </c>
      <c r="K15" s="232">
        <v>43.9</v>
      </c>
      <c r="L15" s="797">
        <v>3.3799999999999997E-2</v>
      </c>
      <c r="M15" s="228"/>
      <c r="N15" s="228"/>
    </row>
    <row r="16" spans="2:229" s="235" customFormat="1" ht="13.5" customHeight="1">
      <c r="B16" s="806" t="s">
        <v>121</v>
      </c>
      <c r="C16" s="807"/>
      <c r="D16" s="808"/>
      <c r="E16" s="809">
        <f t="shared" ref="E16:J16" si="0">AVERAGE(E6:E15)</f>
        <v>13.211111111111112</v>
      </c>
      <c r="F16" s="809">
        <f t="shared" si="0"/>
        <v>11.254444444444443</v>
      </c>
      <c r="G16" s="810">
        <f t="shared" si="0"/>
        <v>25.112500000000001</v>
      </c>
      <c r="H16" s="810">
        <f t="shared" si="0"/>
        <v>17.927777777777777</v>
      </c>
      <c r="I16" s="811">
        <f t="shared" si="0"/>
        <v>0.30777777777777776</v>
      </c>
      <c r="J16" s="811">
        <f t="shared" si="0"/>
        <v>0.15488888888888891</v>
      </c>
      <c r="K16" s="810">
        <f t="shared" ref="K16:L16" si="1">AVERAGE(K6:K15)</f>
        <v>34.4</v>
      </c>
      <c r="L16" s="812">
        <f t="shared" si="1"/>
        <v>5.5966666666666658E-2</v>
      </c>
      <c r="M16" s="234"/>
      <c r="N16" s="234"/>
    </row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</sheetData>
  <sortState xmlns:xlrd2="http://schemas.microsoft.com/office/spreadsheetml/2017/richdata2" ref="B7:L15">
    <sortCondition descending="1" ref="D7:D15"/>
  </sortState>
  <mergeCells count="2">
    <mergeCell ref="I4:J4"/>
    <mergeCell ref="K4:L4"/>
  </mergeCells>
  <pageMargins left="0.2" right="0.2" top="0.5" bottom="0.5" header="0.5" footer="0.5"/>
  <pageSetup scale="94" fitToWidth="0" fitToHeight="0" orientation="landscape" r:id="rId1"/>
  <headerFooter alignWithMargins="0"/>
  <colBreaks count="1" manualBreakCount="1">
    <brk id="13" max="1048575" man="1"/>
  </col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1"/>
  </sheetPr>
  <dimension ref="A2:B9"/>
  <sheetViews>
    <sheetView showGridLines="0" workbookViewId="0"/>
  </sheetViews>
  <sheetFormatPr defaultRowHeight="11.25"/>
  <cols>
    <col min="1" max="1" width="5.83203125" style="951" customWidth="1"/>
    <col min="2" max="16384" width="9.33203125" style="951"/>
  </cols>
  <sheetData>
    <row r="2" spans="1:2">
      <c r="B2" s="952" t="s">
        <v>342</v>
      </c>
    </row>
    <row r="3" spans="1:2">
      <c r="A3" s="951">
        <v>1</v>
      </c>
      <c r="B3" s="951" t="s">
        <v>324</v>
      </c>
    </row>
    <row r="4" spans="1:2">
      <c r="A4" s="951">
        <f>A3+1</f>
        <v>2</v>
      </c>
      <c r="B4" s="951" t="s">
        <v>325</v>
      </c>
    </row>
    <row r="5" spans="1:2">
      <c r="A5" s="951">
        <f>A4+1</f>
        <v>3</v>
      </c>
      <c r="B5" s="951" t="s">
        <v>340</v>
      </c>
    </row>
    <row r="6" spans="1:2">
      <c r="A6" s="951">
        <f t="shared" ref="A6:A9" si="0">A5+1</f>
        <v>4</v>
      </c>
      <c r="B6" s="951" t="s">
        <v>329</v>
      </c>
    </row>
    <row r="7" spans="1:2">
      <c r="A7" s="951">
        <f t="shared" si="0"/>
        <v>5</v>
      </c>
      <c r="B7" s="951" t="s">
        <v>326</v>
      </c>
    </row>
    <row r="8" spans="1:2">
      <c r="A8" s="951">
        <f t="shared" si="0"/>
        <v>6</v>
      </c>
      <c r="B8" s="951" t="s">
        <v>341</v>
      </c>
    </row>
    <row r="9" spans="1:2">
      <c r="A9" s="951">
        <f t="shared" si="0"/>
        <v>7</v>
      </c>
      <c r="B9" s="951" t="s">
        <v>339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14</vt:i4>
      </vt:variant>
    </vt:vector>
  </HeadingPairs>
  <TitlesOfParts>
    <vt:vector size="29" baseType="lpstr">
      <vt:lpstr>Cover</vt:lpstr>
      <vt:lpstr>Summary</vt:lpstr>
      <vt:lpstr>IS</vt:lpstr>
      <vt:lpstr>IS-Segments</vt:lpstr>
      <vt:lpstr>BS</vt:lpstr>
      <vt:lpstr>CF</vt:lpstr>
      <vt:lpstr>WC</vt:lpstr>
      <vt:lpstr>Equity</vt:lpstr>
      <vt:lpstr>Debt</vt:lpstr>
      <vt:lpstr>DCF</vt:lpstr>
      <vt:lpstr>Sensitivity</vt:lpstr>
      <vt:lpstr>Holders</vt:lpstr>
      <vt:lpstr>Returns</vt:lpstr>
      <vt:lpstr>Comp Sheet</vt:lpstr>
      <vt:lpstr>To-Do List</vt:lpstr>
      <vt:lpstr>BS!Print_Area</vt:lpstr>
      <vt:lpstr>CF!Print_Area</vt:lpstr>
      <vt:lpstr>'Comp Sheet'!Print_Area</vt:lpstr>
      <vt:lpstr>Cover!Print_Area</vt:lpstr>
      <vt:lpstr>DCF!Print_Area</vt:lpstr>
      <vt:lpstr>Debt!Print_Area</vt:lpstr>
      <vt:lpstr>Equity!Print_Area</vt:lpstr>
      <vt:lpstr>Holders!Print_Area</vt:lpstr>
      <vt:lpstr>IS!Print_Area</vt:lpstr>
      <vt:lpstr>'IS-Segments'!Print_Area</vt:lpstr>
      <vt:lpstr>Returns!Print_Area</vt:lpstr>
      <vt:lpstr>Sensitivity!Print_Area</vt:lpstr>
      <vt:lpstr>Summary!Print_Area</vt:lpstr>
      <vt:lpstr>WC!Print_Area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2014-12-22T00:01:41Z</dcterms:created>
  <dcterms:modified xsi:type="dcterms:W3CDTF">2026-03-03T04:10:42Z</dcterms:modified>
</cp:coreProperties>
</file>