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E551F308-9EC5-49DE-8BAA-F852972E40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mmary" sheetId="5" r:id="rId1"/>
    <sheet name="Model" sheetId="1" r:id="rId2"/>
    <sheet name="Drivers" sheetId="7" r:id="rId3"/>
    <sheet name="Notes" sheetId="2" r:id="rId4"/>
    <sheet name="Properties" sheetId="6" r:id="rId5"/>
  </sheets>
  <definedNames>
    <definedName name="case">Drivers!$B$3</definedName>
    <definedName name="_xlnm.Print_Area" localSheetId="2">Drivers!$B$2:$T$33</definedName>
    <definedName name="_xlnm.Print_Area" localSheetId="1">Model!$B$1:$BA$249</definedName>
    <definedName name="_xlnm.Print_Area" localSheetId="0">Summary!$B$2:$BH$30</definedName>
    <definedName name="_xlnm.Print_Titles" localSheetId="1">Model!$1:$6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140" i="1" l="1"/>
  <c r="AA141" i="1" s="1"/>
  <c r="Z140" i="1"/>
  <c r="Z141" i="1" s="1"/>
  <c r="Y140" i="1"/>
  <c r="Y141" i="1" s="1"/>
  <c r="X140" i="1"/>
  <c r="X141" i="1" s="1"/>
  <c r="V140" i="1"/>
  <c r="V141" i="1" s="1"/>
  <c r="U140" i="1"/>
  <c r="U141" i="1" s="1"/>
  <c r="T140" i="1"/>
  <c r="T141" i="1" s="1"/>
  <c r="S140" i="1"/>
  <c r="S141" i="1" s="1"/>
  <c r="AH28" i="5"/>
  <c r="AG28" i="5"/>
  <c r="AF28" i="5"/>
  <c r="AE28" i="5"/>
  <c r="AC28" i="5"/>
  <c r="AB28" i="5"/>
  <c r="AA28" i="5"/>
  <c r="Z28" i="5"/>
  <c r="AZ139" i="1"/>
  <c r="AY139" i="1"/>
  <c r="AX139" i="1"/>
  <c r="AW139" i="1"/>
  <c r="AU139" i="1"/>
  <c r="AT139" i="1"/>
  <c r="AS139" i="1"/>
  <c r="AR139" i="1"/>
  <c r="AP139" i="1"/>
  <c r="AO139" i="1"/>
  <c r="AN139" i="1"/>
  <c r="AM139" i="1"/>
  <c r="AG139" i="1"/>
  <c r="AF139" i="1"/>
  <c r="AE139" i="1"/>
  <c r="AD139" i="1"/>
  <c r="AC139" i="1"/>
  <c r="AB139" i="1"/>
  <c r="AA139" i="1"/>
  <c r="Z139" i="1"/>
  <c r="Y139" i="1"/>
  <c r="Y143" i="1" s="1"/>
  <c r="AF27" i="5" s="1"/>
  <c r="X139" i="1"/>
  <c r="W139" i="1"/>
  <c r="V139" i="1"/>
  <c r="U139" i="1"/>
  <c r="T139" i="1"/>
  <c r="T143" i="1" s="1"/>
  <c r="AA27" i="5" s="1"/>
  <c r="S139" i="1"/>
  <c r="R139" i="1"/>
  <c r="S143" i="1" l="1"/>
  <c r="Z27" i="5" s="1"/>
  <c r="X143" i="1"/>
  <c r="AE27" i="5" s="1"/>
  <c r="V143" i="1"/>
  <c r="AC27" i="5" s="1"/>
  <c r="Z143" i="1"/>
  <c r="AG27" i="5" s="1"/>
  <c r="U143" i="1"/>
  <c r="AB27" i="5" s="1"/>
  <c r="AA143" i="1"/>
  <c r="AH27" i="5" s="1"/>
  <c r="C19" i="6"/>
  <c r="T30" i="7"/>
  <c r="BA63" i="1" s="1"/>
  <c r="O30" i="7"/>
  <c r="AV63" i="1" s="1"/>
  <c r="J30" i="7"/>
  <c r="AQ63" i="1" s="1"/>
  <c r="T25" i="7"/>
  <c r="BA59" i="1" s="1"/>
  <c r="O25" i="7"/>
  <c r="AV59" i="1" s="1"/>
  <c r="J25" i="7"/>
  <c r="AQ59" i="1" s="1"/>
  <c r="T20" i="7"/>
  <c r="BA55" i="1" s="1"/>
  <c r="O20" i="7"/>
  <c r="AV55" i="1" s="1"/>
  <c r="J20" i="7"/>
  <c r="AQ55" i="1" s="1"/>
  <c r="T13" i="7"/>
  <c r="BA30" i="1" s="1"/>
  <c r="O13" i="7"/>
  <c r="AV30" i="1" s="1"/>
  <c r="J13" i="7"/>
  <c r="AQ30" i="1" s="1"/>
  <c r="T8" i="7"/>
  <c r="BA28" i="1" s="1"/>
  <c r="O8" i="7"/>
  <c r="AV28" i="1" s="1"/>
  <c r="J8" i="7"/>
  <c r="AQ28" i="1" s="1"/>
  <c r="AL189" i="1" l="1"/>
  <c r="AK88" i="1"/>
  <c r="AJ88" i="1"/>
  <c r="AI88" i="1"/>
  <c r="AH88" i="1"/>
  <c r="AC32" i="1"/>
  <c r="AG270" i="1" l="1"/>
  <c r="AG273" i="1"/>
  <c r="AB56" i="1"/>
  <c r="AG56" i="1"/>
  <c r="AL56" i="1"/>
  <c r="G24" i="6"/>
  <c r="AZ117" i="1"/>
  <c r="AY117" i="1"/>
  <c r="AX117" i="1"/>
  <c r="AW117" i="1"/>
  <c r="AU117" i="1"/>
  <c r="AT117" i="1"/>
  <c r="AS117" i="1"/>
  <c r="AR117" i="1"/>
  <c r="AP117" i="1"/>
  <c r="AO117" i="1"/>
  <c r="AN117" i="1"/>
  <c r="AM117" i="1"/>
  <c r="AL117" i="1"/>
  <c r="AK117" i="1"/>
  <c r="AJ117" i="1"/>
  <c r="AI117" i="1"/>
  <c r="AH117" i="1"/>
  <c r="AG117" i="1"/>
  <c r="AF117" i="1"/>
  <c r="AE117" i="1"/>
  <c r="AD117" i="1"/>
  <c r="AC117" i="1"/>
  <c r="AB117" i="1"/>
  <c r="AA117" i="1"/>
  <c r="Z117" i="1"/>
  <c r="Y117" i="1"/>
  <c r="X117" i="1"/>
  <c r="W117" i="1"/>
  <c r="V117" i="1"/>
  <c r="U117" i="1"/>
  <c r="T117" i="1"/>
  <c r="S117" i="1"/>
  <c r="R117" i="1"/>
  <c r="AZ115" i="1"/>
  <c r="AY115" i="1"/>
  <c r="AX115" i="1"/>
  <c r="AW115" i="1"/>
  <c r="AU115" i="1"/>
  <c r="AT115" i="1"/>
  <c r="AS115" i="1"/>
  <c r="AR115" i="1"/>
  <c r="AP115" i="1"/>
  <c r="AO115" i="1"/>
  <c r="AN115" i="1"/>
  <c r="AM115" i="1"/>
  <c r="AL115" i="1"/>
  <c r="AK115" i="1"/>
  <c r="AJ115" i="1"/>
  <c r="AI115" i="1"/>
  <c r="AH115" i="1"/>
  <c r="AG115" i="1"/>
  <c r="AF115" i="1"/>
  <c r="AE115" i="1"/>
  <c r="AD115" i="1"/>
  <c r="AC115" i="1"/>
  <c r="AB115" i="1"/>
  <c r="AA115" i="1"/>
  <c r="Z115" i="1"/>
  <c r="Y115" i="1"/>
  <c r="X115" i="1"/>
  <c r="W115" i="1"/>
  <c r="V115" i="1"/>
  <c r="U115" i="1"/>
  <c r="T115" i="1"/>
  <c r="S115" i="1"/>
  <c r="R115" i="1"/>
  <c r="AL116" i="1" s="1"/>
  <c r="AG268" i="1"/>
  <c r="AL283" i="1"/>
  <c r="AK283" i="1"/>
  <c r="AJ283" i="1"/>
  <c r="AI283" i="1"/>
  <c r="AH283" i="1"/>
  <c r="AG283" i="1"/>
  <c r="AF283" i="1"/>
  <c r="AE283" i="1"/>
  <c r="AD283" i="1"/>
  <c r="AC283" i="1"/>
  <c r="AB283" i="1"/>
  <c r="AQ83" i="1"/>
  <c r="AV83" i="1" s="1"/>
  <c r="BA83" i="1" s="1"/>
  <c r="AL96" i="1"/>
  <c r="BA88" i="1"/>
  <c r="AV88" i="1"/>
  <c r="AQ88" i="1"/>
  <c r="AZ96" i="1"/>
  <c r="AY96" i="1"/>
  <c r="AX96" i="1"/>
  <c r="AW96" i="1"/>
  <c r="AU96" i="1"/>
  <c r="AT96" i="1"/>
  <c r="AS96" i="1"/>
  <c r="AR96" i="1"/>
  <c r="AP96" i="1"/>
  <c r="AO96" i="1"/>
  <c r="AN96" i="1"/>
  <c r="AM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AZ95" i="1"/>
  <c r="AY95" i="1"/>
  <c r="AX95" i="1"/>
  <c r="AW95" i="1"/>
  <c r="AU95" i="1"/>
  <c r="AT95" i="1"/>
  <c r="AS95" i="1"/>
  <c r="AR95" i="1"/>
  <c r="AP95" i="1"/>
  <c r="AO95" i="1"/>
  <c r="AN95" i="1"/>
  <c r="AM95" i="1"/>
  <c r="AK95" i="1"/>
  <c r="AJ95" i="1"/>
  <c r="AI95" i="1"/>
  <c r="AH95" i="1"/>
  <c r="AF95" i="1"/>
  <c r="AE95" i="1"/>
  <c r="AD95" i="1"/>
  <c r="AC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AF88" i="1"/>
  <c r="AE88" i="1"/>
  <c r="AD88" i="1"/>
  <c r="AC88" i="1"/>
  <c r="AA88" i="1"/>
  <c r="Z88" i="1"/>
  <c r="Y88" i="1"/>
  <c r="X88" i="1"/>
  <c r="V88" i="1"/>
  <c r="U88" i="1"/>
  <c r="T88" i="1"/>
  <c r="S88" i="1"/>
  <c r="Q88" i="1"/>
  <c r="P88" i="1"/>
  <c r="O88" i="1"/>
  <c r="N88" i="1"/>
  <c r="L88" i="1"/>
  <c r="K88" i="1"/>
  <c r="J88" i="1"/>
  <c r="I88" i="1"/>
  <c r="AA197" i="1"/>
  <c r="Z197" i="1"/>
  <c r="Y197" i="1"/>
  <c r="X197" i="1"/>
  <c r="V197" i="1"/>
  <c r="U197" i="1"/>
  <c r="T197" i="1"/>
  <c r="Y198" i="1" s="1"/>
  <c r="S197" i="1"/>
  <c r="X198" i="1" s="1"/>
  <c r="AA198" i="1" l="1"/>
  <c r="AL118" i="1"/>
  <c r="AL119" i="1" s="1"/>
  <c r="Z198" i="1"/>
  <c r="AQ94" i="1"/>
  <c r="AV94" i="1"/>
  <c r="BA94" i="1"/>
  <c r="AQ166" i="1"/>
  <c r="AV166" i="1" s="1"/>
  <c r="BA166" i="1" s="1"/>
  <c r="AP212" i="1"/>
  <c r="AO212" i="1"/>
  <c r="AN212" i="1"/>
  <c r="AM212" i="1"/>
  <c r="AL212" i="1"/>
  <c r="AK212" i="1"/>
  <c r="AJ212" i="1"/>
  <c r="AI212" i="1"/>
  <c r="AH212" i="1"/>
  <c r="AG212" i="1"/>
  <c r="AF212" i="1"/>
  <c r="AE212" i="1"/>
  <c r="AD212" i="1"/>
  <c r="AC212" i="1"/>
  <c r="AB212" i="1"/>
  <c r="AA212" i="1"/>
  <c r="Z212" i="1"/>
  <c r="Y212" i="1"/>
  <c r="X212" i="1"/>
  <c r="W212" i="1"/>
  <c r="V212" i="1"/>
  <c r="U212" i="1"/>
  <c r="T212" i="1"/>
  <c r="S212" i="1"/>
  <c r="R212" i="1"/>
  <c r="AL20" i="1"/>
  <c r="AL16" i="1"/>
  <c r="AL17" i="1" s="1"/>
  <c r="AL14" i="1"/>
  <c r="AL15" i="1" s="1"/>
  <c r="AL18" i="1"/>
  <c r="AQ10" i="1"/>
  <c r="AV10" i="1" s="1"/>
  <c r="BA10" i="1" s="1"/>
  <c r="AZ63" i="1"/>
  <c r="AY63" i="1"/>
  <c r="AX63" i="1"/>
  <c r="AW63" i="1"/>
  <c r="AU63" i="1"/>
  <c r="AT63" i="1"/>
  <c r="AS63" i="1"/>
  <c r="AR63" i="1"/>
  <c r="AZ121" i="1" l="1"/>
  <c r="AY121" i="1"/>
  <c r="AX121" i="1"/>
  <c r="AW121" i="1"/>
  <c r="AU121" i="1"/>
  <c r="AT121" i="1"/>
  <c r="AS121" i="1"/>
  <c r="AR121" i="1"/>
  <c r="AP121" i="1"/>
  <c r="AO121" i="1"/>
  <c r="AN121" i="1"/>
  <c r="AM121" i="1"/>
  <c r="AL121" i="1"/>
  <c r="AK121" i="1"/>
  <c r="AJ121" i="1"/>
  <c r="AI121" i="1"/>
  <c r="AH121" i="1"/>
  <c r="AG121" i="1"/>
  <c r="AF121" i="1"/>
  <c r="AE121" i="1"/>
  <c r="AD121" i="1"/>
  <c r="AC121" i="1"/>
  <c r="AB121" i="1"/>
  <c r="AA121" i="1"/>
  <c r="Z121" i="1"/>
  <c r="Y121" i="1"/>
  <c r="X121" i="1"/>
  <c r="W121" i="1"/>
  <c r="V121" i="1"/>
  <c r="U121" i="1"/>
  <c r="T121" i="1"/>
  <c r="S121" i="1"/>
  <c r="R121" i="1"/>
  <c r="Q121" i="1"/>
  <c r="P121" i="1"/>
  <c r="O121" i="1"/>
  <c r="N121" i="1"/>
  <c r="M121" i="1"/>
  <c r="AZ237" i="1" l="1"/>
  <c r="AY237" i="1"/>
  <c r="AX237" i="1"/>
  <c r="AW237" i="1"/>
  <c r="AU237" i="1"/>
  <c r="AT237" i="1"/>
  <c r="AS237" i="1"/>
  <c r="AR237" i="1"/>
  <c r="AP237" i="1"/>
  <c r="AO237" i="1"/>
  <c r="AN237" i="1"/>
  <c r="AM237" i="1"/>
  <c r="AL237" i="1"/>
  <c r="AK237" i="1"/>
  <c r="AJ237" i="1"/>
  <c r="AI237" i="1"/>
  <c r="AH237" i="1"/>
  <c r="AG237" i="1"/>
  <c r="AF237" i="1"/>
  <c r="AE237" i="1"/>
  <c r="AD237" i="1"/>
  <c r="AC237" i="1"/>
  <c r="AB237" i="1"/>
  <c r="AA237" i="1"/>
  <c r="Z237" i="1"/>
  <c r="Y237" i="1"/>
  <c r="X237" i="1"/>
  <c r="W237" i="1"/>
  <c r="V237" i="1"/>
  <c r="U237" i="1"/>
  <c r="T237" i="1"/>
  <c r="S237" i="1"/>
  <c r="R237" i="1"/>
  <c r="BA104" i="1"/>
  <c r="AZ104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BG26" i="5" l="1"/>
  <c r="BF26" i="5"/>
  <c r="BE26" i="5"/>
  <c r="BD26" i="5"/>
  <c r="BB26" i="5"/>
  <c r="BA26" i="5"/>
  <c r="AZ26" i="5"/>
  <c r="AY26" i="5"/>
  <c r="AW26" i="5"/>
  <c r="AV26" i="5"/>
  <c r="AU26" i="5"/>
  <c r="AT26" i="5"/>
  <c r="AR26" i="5"/>
  <c r="AQ26" i="5"/>
  <c r="AP26" i="5"/>
  <c r="AO26" i="5"/>
  <c r="AM26" i="5"/>
  <c r="AL26" i="5"/>
  <c r="AK26" i="5"/>
  <c r="AJ26" i="5"/>
  <c r="AH26" i="5"/>
  <c r="AG26" i="5"/>
  <c r="AF26" i="5"/>
  <c r="AE26" i="5"/>
  <c r="AC26" i="5"/>
  <c r="AB26" i="5"/>
  <c r="AA26" i="5"/>
  <c r="Z26" i="5"/>
  <c r="BG25" i="5"/>
  <c r="BF25" i="5"/>
  <c r="BE25" i="5"/>
  <c r="BD25" i="5"/>
  <c r="BB25" i="5"/>
  <c r="BA25" i="5"/>
  <c r="AZ25" i="5"/>
  <c r="AY25" i="5"/>
  <c r="AW25" i="5"/>
  <c r="AV25" i="5"/>
  <c r="AU25" i="5"/>
  <c r="AT25" i="5"/>
  <c r="AR25" i="5"/>
  <c r="AQ25" i="5"/>
  <c r="AP25" i="5"/>
  <c r="AO25" i="5"/>
  <c r="AM25" i="5"/>
  <c r="AL25" i="5"/>
  <c r="AK25" i="5"/>
  <c r="AJ25" i="5"/>
  <c r="R238" i="1"/>
  <c r="R229" i="1"/>
  <c r="R231" i="1" s="1"/>
  <c r="R225" i="1"/>
  <c r="R216" i="1"/>
  <c r="R206" i="1"/>
  <c r="AA185" i="1"/>
  <c r="Z185" i="1"/>
  <c r="Y185" i="1"/>
  <c r="X185" i="1"/>
  <c r="W185" i="1"/>
  <c r="W187" i="1" s="1"/>
  <c r="V185" i="1"/>
  <c r="U185" i="1"/>
  <c r="T185" i="1"/>
  <c r="S185" i="1"/>
  <c r="R185" i="1"/>
  <c r="R187" i="1" s="1"/>
  <c r="AA184" i="1"/>
  <c r="AH25" i="5" s="1"/>
  <c r="Z184" i="1"/>
  <c r="AG25" i="5" s="1"/>
  <c r="Y184" i="1"/>
  <c r="AF25" i="5" s="1"/>
  <c r="X184" i="1"/>
  <c r="AE25" i="5" s="1"/>
  <c r="W184" i="1"/>
  <c r="AD25" i="5" s="1"/>
  <c r="V184" i="1"/>
  <c r="AC25" i="5" s="1"/>
  <c r="U184" i="1"/>
  <c r="AB25" i="5" s="1"/>
  <c r="T184" i="1"/>
  <c r="AA25" i="5" s="1"/>
  <c r="S184" i="1"/>
  <c r="Z25" i="5" s="1"/>
  <c r="R184" i="1"/>
  <c r="R170" i="1"/>
  <c r="R175" i="1" s="1"/>
  <c r="R180" i="1" s="1"/>
  <c r="W170" i="1"/>
  <c r="W175" i="1" s="1"/>
  <c r="W180" i="1" s="1"/>
  <c r="R153" i="1"/>
  <c r="W153" i="1"/>
  <c r="W140" i="1" s="1"/>
  <c r="W141" i="1" l="1"/>
  <c r="W143" i="1"/>
  <c r="R140" i="1"/>
  <c r="W161" i="1"/>
  <c r="W197" i="1"/>
  <c r="R161" i="1"/>
  <c r="R197" i="1"/>
  <c r="R186" i="1"/>
  <c r="Y26" i="5" s="1"/>
  <c r="Y25" i="5"/>
  <c r="W186" i="1"/>
  <c r="AD26" i="5" s="1"/>
  <c r="R141" i="1" l="1"/>
  <c r="R143" i="1"/>
  <c r="W198" i="1"/>
  <c r="BA127" i="1"/>
  <c r="AV127" i="1"/>
  <c r="AQ127" i="1"/>
  <c r="AZ123" i="1"/>
  <c r="AY123" i="1"/>
  <c r="AX123" i="1"/>
  <c r="AW123" i="1"/>
  <c r="AU123" i="1"/>
  <c r="AT123" i="1"/>
  <c r="AS123" i="1"/>
  <c r="AR123" i="1"/>
  <c r="AP123" i="1"/>
  <c r="AO123" i="1"/>
  <c r="AN123" i="1"/>
  <c r="AM123" i="1"/>
  <c r="AQ111" i="1"/>
  <c r="AZ131" i="1"/>
  <c r="AY131" i="1"/>
  <c r="AX131" i="1"/>
  <c r="AW131" i="1"/>
  <c r="AU131" i="1"/>
  <c r="AT131" i="1"/>
  <c r="AS131" i="1"/>
  <c r="AR131" i="1"/>
  <c r="B131" i="1"/>
  <c r="BA134" i="1"/>
  <c r="BA205" i="1" s="1"/>
  <c r="AZ130" i="1"/>
  <c r="AY130" i="1"/>
  <c r="AX130" i="1"/>
  <c r="AW130" i="1"/>
  <c r="AU130" i="1"/>
  <c r="AT130" i="1"/>
  <c r="AS130" i="1"/>
  <c r="AR130" i="1"/>
  <c r="AQ130" i="1"/>
  <c r="AV111" i="1" l="1"/>
  <c r="Y27" i="5"/>
  <c r="R144" i="1"/>
  <c r="Y28" i="5" s="1"/>
  <c r="AD27" i="5"/>
  <c r="W144" i="1"/>
  <c r="AD28" i="5" s="1"/>
  <c r="AL112" i="1"/>
  <c r="AG112" i="1"/>
  <c r="AB112" i="1"/>
  <c r="AZ100" i="1"/>
  <c r="AY100" i="1"/>
  <c r="AX100" i="1"/>
  <c r="AW100" i="1"/>
  <c r="AU100" i="1"/>
  <c r="AT100" i="1"/>
  <c r="AS100" i="1"/>
  <c r="AR100" i="1"/>
  <c r="AP100" i="1"/>
  <c r="AO100" i="1"/>
  <c r="AN100" i="1"/>
  <c r="AM100" i="1"/>
  <c r="AK100" i="1"/>
  <c r="AJ100" i="1"/>
  <c r="AI100" i="1"/>
  <c r="AH100" i="1"/>
  <c r="AF100" i="1"/>
  <c r="AE100" i="1"/>
  <c r="AD100" i="1"/>
  <c r="AC100" i="1"/>
  <c r="AA100" i="1"/>
  <c r="Z100" i="1"/>
  <c r="Y100" i="1"/>
  <c r="X100" i="1"/>
  <c r="W100" i="1"/>
  <c r="V100" i="1"/>
  <c r="U100" i="1"/>
  <c r="T100" i="1"/>
  <c r="S100" i="1"/>
  <c r="R100" i="1"/>
  <c r="AA101" i="1"/>
  <c r="Z101" i="1"/>
  <c r="Y101" i="1"/>
  <c r="X101" i="1"/>
  <c r="W101" i="1"/>
  <c r="V101" i="1"/>
  <c r="U101" i="1"/>
  <c r="T101" i="1"/>
  <c r="S101" i="1"/>
  <c r="R101" i="1"/>
  <c r="AA102" i="1"/>
  <c r="Z102" i="1"/>
  <c r="Y102" i="1"/>
  <c r="X102" i="1"/>
  <c r="W102" i="1"/>
  <c r="V102" i="1"/>
  <c r="U102" i="1"/>
  <c r="T102" i="1"/>
  <c r="S102" i="1"/>
  <c r="R102" i="1"/>
  <c r="BA101" i="1"/>
  <c r="AZ101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M101" i="1"/>
  <c r="AZ102" i="1"/>
  <c r="AY102" i="1"/>
  <c r="AX102" i="1"/>
  <c r="AW102" i="1"/>
  <c r="AU102" i="1"/>
  <c r="AT102" i="1"/>
  <c r="AS102" i="1"/>
  <c r="AR102" i="1"/>
  <c r="AP102" i="1"/>
  <c r="AO102" i="1"/>
  <c r="AN102" i="1"/>
  <c r="AM102" i="1"/>
  <c r="BG9" i="5"/>
  <c r="BF9" i="5"/>
  <c r="BE9" i="5"/>
  <c r="BD9" i="5"/>
  <c r="BB9" i="5"/>
  <c r="BA9" i="5"/>
  <c r="AZ9" i="5"/>
  <c r="AY9" i="5"/>
  <c r="AW9" i="5"/>
  <c r="AV9" i="5"/>
  <c r="AU9" i="5"/>
  <c r="AT9" i="5"/>
  <c r="AS9" i="5"/>
  <c r="AR9" i="5"/>
  <c r="AQ9" i="5"/>
  <c r="AP9" i="5"/>
  <c r="AO9" i="5"/>
  <c r="AN9" i="5"/>
  <c r="AM9" i="5"/>
  <c r="AL9" i="5"/>
  <c r="AK9" i="5"/>
  <c r="AJ9" i="5"/>
  <c r="AI9" i="5"/>
  <c r="AH9" i="5"/>
  <c r="AG9" i="5"/>
  <c r="AF9" i="5"/>
  <c r="AE9" i="5"/>
  <c r="AD9" i="5"/>
  <c r="AC9" i="5"/>
  <c r="AB9" i="5"/>
  <c r="AA9" i="5"/>
  <c r="Z9" i="5"/>
  <c r="Y9" i="5"/>
  <c r="X9" i="5"/>
  <c r="W9" i="5"/>
  <c r="V9" i="5"/>
  <c r="U9" i="5"/>
  <c r="T9" i="5"/>
  <c r="S9" i="5"/>
  <c r="R9" i="5"/>
  <c r="Q9" i="5"/>
  <c r="P9" i="5"/>
  <c r="O9" i="5"/>
  <c r="G12" i="5"/>
  <c r="AQ172" i="1"/>
  <c r="AV172" i="1" s="1"/>
  <c r="BA172" i="1" s="1"/>
  <c r="BA111" i="1" l="1"/>
  <c r="U103" i="1"/>
  <c r="U105" i="1" s="1"/>
  <c r="Y103" i="1"/>
  <c r="Y105" i="1" s="1"/>
  <c r="S103" i="1"/>
  <c r="S105" i="1" s="1"/>
  <c r="W103" i="1"/>
  <c r="W105" i="1" s="1"/>
  <c r="AA103" i="1"/>
  <c r="AA105" i="1" s="1"/>
  <c r="R103" i="1"/>
  <c r="R105" i="1" s="1"/>
  <c r="V103" i="1"/>
  <c r="V105" i="1" s="1"/>
  <c r="Z103" i="1"/>
  <c r="Z105" i="1" s="1"/>
  <c r="AO103" i="1"/>
  <c r="AT103" i="1"/>
  <c r="AY103" i="1"/>
  <c r="AP103" i="1"/>
  <c r="AU103" i="1"/>
  <c r="AZ103" i="1"/>
  <c r="T103" i="1"/>
  <c r="T105" i="1" s="1"/>
  <c r="X103" i="1"/>
  <c r="X105" i="1" s="1"/>
  <c r="AM103" i="1"/>
  <c r="AR103" i="1"/>
  <c r="AW103" i="1"/>
  <c r="AN103" i="1"/>
  <c r="AS103" i="1"/>
  <c r="AX103" i="1"/>
  <c r="AL185" i="1"/>
  <c r="AL187" i="1" s="1"/>
  <c r="AG185" i="1"/>
  <c r="AG187" i="1" s="1"/>
  <c r="AB185" i="1"/>
  <c r="AB187" i="1" s="1"/>
  <c r="AQ177" i="1"/>
  <c r="AV177" i="1" s="1"/>
  <c r="BA177" i="1" s="1"/>
  <c r="AL184" i="1"/>
  <c r="AS25" i="5" s="1"/>
  <c r="AG184" i="1"/>
  <c r="AN25" i="5" s="1"/>
  <c r="AB184" i="1"/>
  <c r="AI25" i="5" s="1"/>
  <c r="AQ160" i="1"/>
  <c r="AV160" i="1" s="1"/>
  <c r="BA160" i="1" s="1"/>
  <c r="T107" i="1" l="1"/>
  <c r="T106" i="1"/>
  <c r="S107" i="1"/>
  <c r="S106" i="1"/>
  <c r="R107" i="1"/>
  <c r="R106" i="1"/>
  <c r="Y107" i="1"/>
  <c r="Y106" i="1"/>
  <c r="V107" i="1"/>
  <c r="V106" i="1"/>
  <c r="AA107" i="1"/>
  <c r="AA106" i="1"/>
  <c r="U107" i="1"/>
  <c r="U106" i="1"/>
  <c r="X106" i="1"/>
  <c r="X107" i="1"/>
  <c r="Z107" i="1"/>
  <c r="Z106" i="1"/>
  <c r="W107" i="1"/>
  <c r="W106" i="1"/>
  <c r="BF15" i="5"/>
  <c r="AY105" i="1"/>
  <c r="AY109" i="1" s="1"/>
  <c r="BE15" i="5"/>
  <c r="AX105" i="1"/>
  <c r="AX109" i="1" s="1"/>
  <c r="AY15" i="5"/>
  <c r="AR105" i="1"/>
  <c r="AR109" i="1" s="1"/>
  <c r="BG15" i="5"/>
  <c r="AZ105" i="1"/>
  <c r="AZ109" i="1" s="1"/>
  <c r="BA15" i="5"/>
  <c r="AT105" i="1"/>
  <c r="AT109" i="1" s="1"/>
  <c r="AZ15" i="5"/>
  <c r="AS105" i="1"/>
  <c r="AS109" i="1" s="1"/>
  <c r="AT15" i="5"/>
  <c r="AM105" i="1"/>
  <c r="AM109" i="1" s="1"/>
  <c r="BB15" i="5"/>
  <c r="AU105" i="1"/>
  <c r="AU109" i="1" s="1"/>
  <c r="AV15" i="5"/>
  <c r="AO105" i="1"/>
  <c r="AO109" i="1" s="1"/>
  <c r="BD15" i="5"/>
  <c r="AW105" i="1"/>
  <c r="AW109" i="1" s="1"/>
  <c r="AU15" i="5"/>
  <c r="AN105" i="1"/>
  <c r="AN109" i="1" s="1"/>
  <c r="AW15" i="5"/>
  <c r="AP105" i="1"/>
  <c r="AP109" i="1" s="1"/>
  <c r="AB186" i="1"/>
  <c r="AI26" i="5" s="1"/>
  <c r="AG186" i="1"/>
  <c r="AN26" i="5" s="1"/>
  <c r="AL186" i="1"/>
  <c r="AS26" i="5" s="1"/>
  <c r="G10" i="5"/>
  <c r="AU159" i="1"/>
  <c r="AT159" i="1"/>
  <c r="AS159" i="1"/>
  <c r="AR159" i="1"/>
  <c r="AU158" i="1"/>
  <c r="AZ158" i="1" s="1"/>
  <c r="AT158" i="1"/>
  <c r="AY158" i="1" s="1"/>
  <c r="AS158" i="1"/>
  <c r="AX158" i="1" s="1"/>
  <c r="AR158" i="1"/>
  <c r="AW158" i="1" s="1"/>
  <c r="AU157" i="1"/>
  <c r="AZ157" i="1" s="1"/>
  <c r="AT157" i="1"/>
  <c r="AY157" i="1" s="1"/>
  <c r="AS157" i="1"/>
  <c r="AX157" i="1" s="1"/>
  <c r="AR157" i="1"/>
  <c r="AW157" i="1" s="1"/>
  <c r="AU156" i="1"/>
  <c r="AZ156" i="1" s="1"/>
  <c r="AT156" i="1"/>
  <c r="AY156" i="1" s="1"/>
  <c r="AS156" i="1"/>
  <c r="AX156" i="1" s="1"/>
  <c r="AR156" i="1"/>
  <c r="AW156" i="1" s="1"/>
  <c r="AQ159" i="1"/>
  <c r="AV159" i="1" s="1"/>
  <c r="BA159" i="1" s="1"/>
  <c r="AQ157" i="1"/>
  <c r="AV157" i="1" s="1"/>
  <c r="BA157" i="1" s="1"/>
  <c r="AQ156" i="1"/>
  <c r="AV156" i="1" s="1"/>
  <c r="BA156" i="1" s="1"/>
  <c r="AW107" i="1" l="1"/>
  <c r="AW106" i="1"/>
  <c r="AZ107" i="1"/>
  <c r="AZ106" i="1"/>
  <c r="AU107" i="1"/>
  <c r="AU106" i="1"/>
  <c r="AX107" i="1"/>
  <c r="AX106" i="1"/>
  <c r="AN107" i="1"/>
  <c r="AN106" i="1"/>
  <c r="AO107" i="1"/>
  <c r="AO106" i="1"/>
  <c r="AM107" i="1"/>
  <c r="AM106" i="1"/>
  <c r="AT107" i="1"/>
  <c r="AT106" i="1"/>
  <c r="AR107" i="1"/>
  <c r="AR106" i="1"/>
  <c r="AY107" i="1"/>
  <c r="AY106" i="1"/>
  <c r="AP107" i="1"/>
  <c r="AP106" i="1"/>
  <c r="AS106" i="1"/>
  <c r="AS107" i="1"/>
  <c r="AX159" i="1"/>
  <c r="AW159" i="1"/>
  <c r="AY159" i="1"/>
  <c r="AZ159" i="1"/>
  <c r="AP230" i="1"/>
  <c r="AO230" i="1"/>
  <c r="AN230" i="1"/>
  <c r="AM230" i="1"/>
  <c r="AP229" i="1"/>
  <c r="AP231" i="1" s="1"/>
  <c r="AU230" i="1" s="1"/>
  <c r="AO229" i="1"/>
  <c r="AO231" i="1" s="1"/>
  <c r="AT230" i="1" s="1"/>
  <c r="AN229" i="1"/>
  <c r="AN231" i="1" s="1"/>
  <c r="AS230" i="1" s="1"/>
  <c r="AM229" i="1"/>
  <c r="AM231" i="1" s="1"/>
  <c r="AR230" i="1" s="1"/>
  <c r="AZ226" i="1"/>
  <c r="AY226" i="1"/>
  <c r="AX226" i="1"/>
  <c r="AW226" i="1"/>
  <c r="AU226" i="1"/>
  <c r="AT226" i="1"/>
  <c r="AS226" i="1"/>
  <c r="AR226" i="1"/>
  <c r="AZ217" i="1"/>
  <c r="AY217" i="1"/>
  <c r="AX217" i="1"/>
  <c r="AW217" i="1"/>
  <c r="AU217" i="1"/>
  <c r="AT217" i="1"/>
  <c r="AS217" i="1"/>
  <c r="AR217" i="1"/>
  <c r="AZ205" i="1"/>
  <c r="AY205" i="1"/>
  <c r="AX205" i="1"/>
  <c r="AW205" i="1"/>
  <c r="AU205" i="1"/>
  <c r="AT205" i="1"/>
  <c r="AS205" i="1"/>
  <c r="AR205" i="1"/>
  <c r="BA211" i="1"/>
  <c r="AZ211" i="1"/>
  <c r="AY211" i="1"/>
  <c r="AX211" i="1"/>
  <c r="AW211" i="1"/>
  <c r="AV211" i="1"/>
  <c r="AU211" i="1"/>
  <c r="AT211" i="1"/>
  <c r="AS211" i="1"/>
  <c r="AR211" i="1"/>
  <c r="AZ210" i="1"/>
  <c r="AY210" i="1"/>
  <c r="AX210" i="1"/>
  <c r="AW210" i="1"/>
  <c r="AU210" i="1"/>
  <c r="AT210" i="1"/>
  <c r="AS210" i="1"/>
  <c r="AR210" i="1"/>
  <c r="AZ208" i="1"/>
  <c r="AY208" i="1"/>
  <c r="AX208" i="1"/>
  <c r="AW208" i="1"/>
  <c r="AU208" i="1"/>
  <c r="AT208" i="1"/>
  <c r="AS208" i="1"/>
  <c r="AR208" i="1"/>
  <c r="AZ207" i="1"/>
  <c r="AY207" i="1"/>
  <c r="AX207" i="1"/>
  <c r="AW207" i="1"/>
  <c r="AW212" i="1" s="1"/>
  <c r="AU207" i="1"/>
  <c r="AU212" i="1" s="1"/>
  <c r="AT207" i="1"/>
  <c r="AS207" i="1"/>
  <c r="AS212" i="1" s="1"/>
  <c r="AR207" i="1"/>
  <c r="AR212" i="1" s="1"/>
  <c r="AQ211" i="1"/>
  <c r="AZ212" i="1" l="1"/>
  <c r="AY212" i="1"/>
  <c r="AT212" i="1"/>
  <c r="AX212" i="1"/>
  <c r="AT229" i="1"/>
  <c r="AX229" i="1"/>
  <c r="AU229" i="1"/>
  <c r="AU231" i="1" s="1"/>
  <c r="AZ230" i="1" s="1"/>
  <c r="AY229" i="1"/>
  <c r="AR229" i="1"/>
  <c r="AR231" i="1" s="1"/>
  <c r="AW230" i="1" s="1"/>
  <c r="AZ229" i="1"/>
  <c r="AS229" i="1"/>
  <c r="AS231" i="1" s="1"/>
  <c r="AX230" i="1" s="1"/>
  <c r="AW229" i="1"/>
  <c r="AT231" i="1"/>
  <c r="AY230" i="1" s="1"/>
  <c r="AW231" i="1" l="1"/>
  <c r="AY231" i="1"/>
  <c r="AX231" i="1"/>
  <c r="AZ231" i="1"/>
  <c r="BA204" i="1"/>
  <c r="AV204" i="1"/>
  <c r="AQ204" i="1"/>
  <c r="AQ96" i="1"/>
  <c r="AP64" i="1"/>
  <c r="AO64" i="1"/>
  <c r="AN64" i="1"/>
  <c r="AM64" i="1"/>
  <c r="AL64" i="1"/>
  <c r="AL195" i="1" s="1"/>
  <c r="AK64" i="1"/>
  <c r="AJ64" i="1"/>
  <c r="AI64" i="1"/>
  <c r="AH64" i="1"/>
  <c r="AG64" i="1"/>
  <c r="AG195" i="1" s="1"/>
  <c r="AF64" i="1"/>
  <c r="AE64" i="1"/>
  <c r="AD64" i="1"/>
  <c r="AC64" i="1"/>
  <c r="AB64" i="1"/>
  <c r="AB195" i="1" s="1"/>
  <c r="AA64" i="1"/>
  <c r="Z64" i="1"/>
  <c r="Y64" i="1"/>
  <c r="X64" i="1"/>
  <c r="W64" i="1"/>
  <c r="W195" i="1" s="1"/>
  <c r="AV96" i="1" l="1"/>
  <c r="AQ223" i="1"/>
  <c r="AZ238" i="1"/>
  <c r="AY238" i="1"/>
  <c r="AX238" i="1"/>
  <c r="AW238" i="1"/>
  <c r="AU238" i="1"/>
  <c r="AT238" i="1"/>
  <c r="AS238" i="1"/>
  <c r="AR238" i="1"/>
  <c r="AP238" i="1"/>
  <c r="AO238" i="1"/>
  <c r="AN238" i="1"/>
  <c r="AM238" i="1"/>
  <c r="AL238" i="1"/>
  <c r="AK238" i="1"/>
  <c r="AJ238" i="1"/>
  <c r="AI238" i="1"/>
  <c r="AH238" i="1"/>
  <c r="AG238" i="1"/>
  <c r="AF238" i="1"/>
  <c r="AE238" i="1"/>
  <c r="AD238" i="1"/>
  <c r="AC238" i="1"/>
  <c r="AB238" i="1"/>
  <c r="AA238" i="1"/>
  <c r="Z238" i="1"/>
  <c r="Y238" i="1"/>
  <c r="X238" i="1"/>
  <c r="W238" i="1"/>
  <c r="AL101" i="1"/>
  <c r="AG101" i="1"/>
  <c r="AB101" i="1"/>
  <c r="AL102" i="1"/>
  <c r="AK102" i="1"/>
  <c r="AK103" i="1" s="1"/>
  <c r="AJ102" i="1"/>
  <c r="AJ103" i="1" s="1"/>
  <c r="AI102" i="1"/>
  <c r="AI103" i="1" s="1"/>
  <c r="AH102" i="1"/>
  <c r="AH103" i="1" s="1"/>
  <c r="AG102" i="1"/>
  <c r="AF102" i="1"/>
  <c r="AF103" i="1" s="1"/>
  <c r="AE102" i="1"/>
  <c r="AE103" i="1" s="1"/>
  <c r="AD102" i="1"/>
  <c r="AD103" i="1" s="1"/>
  <c r="AC102" i="1"/>
  <c r="AC103" i="1" s="1"/>
  <c r="AB102" i="1"/>
  <c r="AG247" i="1"/>
  <c r="AG249" i="1" s="1"/>
  <c r="AL247" i="1"/>
  <c r="AL249" i="1" s="1"/>
  <c r="AL229" i="1"/>
  <c r="AL225" i="1"/>
  <c r="AL216" i="1"/>
  <c r="AL206" i="1"/>
  <c r="AL153" i="1"/>
  <c r="AK123" i="1"/>
  <c r="AJ123" i="1"/>
  <c r="AI123" i="1"/>
  <c r="AH123" i="1"/>
  <c r="AF123" i="1"/>
  <c r="AE123" i="1"/>
  <c r="AD123" i="1"/>
  <c r="AC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AG11" i="1"/>
  <c r="AB11" i="1"/>
  <c r="W11" i="1"/>
  <c r="R11" i="1"/>
  <c r="AZ34" i="1"/>
  <c r="AY34" i="1"/>
  <c r="AX34" i="1"/>
  <c r="AW34" i="1"/>
  <c r="AU34" i="1"/>
  <c r="AT34" i="1"/>
  <c r="AS34" i="1"/>
  <c r="AR34" i="1"/>
  <c r="AQ31" i="1"/>
  <c r="AQ29" i="1"/>
  <c r="AQ16" i="1" s="1"/>
  <c r="AQ27" i="1"/>
  <c r="AL11" i="1"/>
  <c r="AQ226" i="1" l="1"/>
  <c r="AQ117" i="1"/>
  <c r="AL161" i="1"/>
  <c r="AJ15" i="5"/>
  <c r="AC105" i="1"/>
  <c r="AC109" i="1" s="1"/>
  <c r="AR15" i="5"/>
  <c r="AK105" i="1"/>
  <c r="AK109" i="1" s="1"/>
  <c r="AV31" i="1"/>
  <c r="AQ18" i="1"/>
  <c r="AQ15" i="5"/>
  <c r="AJ105" i="1"/>
  <c r="AJ109" i="1" s="1"/>
  <c r="AV27" i="1"/>
  <c r="AQ14" i="1"/>
  <c r="AK15" i="5"/>
  <c r="AD105" i="1"/>
  <c r="AD109" i="1" s="1"/>
  <c r="AO15" i="5"/>
  <c r="AH105" i="1"/>
  <c r="AH109" i="1" s="1"/>
  <c r="AM15" i="5"/>
  <c r="AF105" i="1"/>
  <c r="AF109" i="1" s="1"/>
  <c r="AL15" i="5"/>
  <c r="AE105" i="1"/>
  <c r="AE109" i="1" s="1"/>
  <c r="AP15" i="5"/>
  <c r="AI105" i="1"/>
  <c r="AI109" i="1" s="1"/>
  <c r="AV29" i="1"/>
  <c r="AV16" i="1" s="1"/>
  <c r="AV223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W230" i="1"/>
  <c r="W229" i="1"/>
  <c r="AB229" i="1"/>
  <c r="AG229" i="1"/>
  <c r="W225" i="1"/>
  <c r="AB225" i="1"/>
  <c r="AG225" i="1"/>
  <c r="AG216" i="1"/>
  <c r="AB216" i="1"/>
  <c r="W216" i="1"/>
  <c r="W206" i="1"/>
  <c r="AB206" i="1"/>
  <c r="AG206" i="1"/>
  <c r="AI107" i="1" l="1"/>
  <c r="AI106" i="1"/>
  <c r="AF106" i="1"/>
  <c r="AF107" i="1"/>
  <c r="AD107" i="1"/>
  <c r="AD106" i="1"/>
  <c r="AJ106" i="1"/>
  <c r="AJ107" i="1"/>
  <c r="AK107" i="1"/>
  <c r="AK106" i="1"/>
  <c r="AE107" i="1"/>
  <c r="AE106" i="1"/>
  <c r="AH107" i="1"/>
  <c r="AH106" i="1"/>
  <c r="AC107" i="1"/>
  <c r="AC106" i="1"/>
  <c r="AV226" i="1"/>
  <c r="AV117" i="1"/>
  <c r="BA223" i="1"/>
  <c r="BA96" i="1"/>
  <c r="BA27" i="1"/>
  <c r="BA14" i="1" s="1"/>
  <c r="AV14" i="1"/>
  <c r="BA31" i="1"/>
  <c r="BA18" i="1" s="1"/>
  <c r="AV18" i="1"/>
  <c r="BA29" i="1"/>
  <c r="BA16" i="1" s="1"/>
  <c r="W231" i="1"/>
  <c r="AB230" i="1" s="1"/>
  <c r="AB231" i="1" s="1"/>
  <c r="AG230" i="1" s="1"/>
  <c r="AG231" i="1" s="1"/>
  <c r="AL230" i="1" s="1"/>
  <c r="AL231" i="1" s="1"/>
  <c r="AQ230" i="1" s="1"/>
  <c r="BG14" i="5"/>
  <c r="BF14" i="5"/>
  <c r="BE14" i="5"/>
  <c r="BD14" i="5"/>
  <c r="BB14" i="5"/>
  <c r="BA14" i="5"/>
  <c r="AZ14" i="5"/>
  <c r="AY14" i="5"/>
  <c r="AW14" i="5"/>
  <c r="AV14" i="5"/>
  <c r="AU14" i="5"/>
  <c r="AT14" i="5"/>
  <c r="AR14" i="5"/>
  <c r="AQ14" i="5"/>
  <c r="AP14" i="5"/>
  <c r="AO14" i="5"/>
  <c r="AM14" i="5"/>
  <c r="AL14" i="5"/>
  <c r="AK14" i="5"/>
  <c r="AJ14" i="5"/>
  <c r="AH14" i="5"/>
  <c r="AG14" i="5"/>
  <c r="AF14" i="5"/>
  <c r="AE14" i="5"/>
  <c r="BG13" i="5"/>
  <c r="BF13" i="5"/>
  <c r="BE13" i="5"/>
  <c r="BD13" i="5"/>
  <c r="BB13" i="5"/>
  <c r="BA13" i="5"/>
  <c r="AZ13" i="5"/>
  <c r="AY13" i="5"/>
  <c r="AW13" i="5"/>
  <c r="AV13" i="5"/>
  <c r="AU13" i="5"/>
  <c r="AT13" i="5"/>
  <c r="AR13" i="5"/>
  <c r="AQ13" i="5"/>
  <c r="AP13" i="5"/>
  <c r="AO13" i="5"/>
  <c r="AM13" i="5"/>
  <c r="AL13" i="5"/>
  <c r="AK13" i="5"/>
  <c r="AJ13" i="5"/>
  <c r="AH13" i="5"/>
  <c r="AG13" i="5"/>
  <c r="AF13" i="5"/>
  <c r="AE13" i="5"/>
  <c r="X11" i="5"/>
  <c r="W11" i="5"/>
  <c r="V11" i="5"/>
  <c r="U11" i="5"/>
  <c r="S11" i="5"/>
  <c r="R11" i="5"/>
  <c r="Q11" i="5"/>
  <c r="P11" i="5"/>
  <c r="E23" i="5"/>
  <c r="F23" i="5" s="1"/>
  <c r="G23" i="5" s="1"/>
  <c r="G9" i="5"/>
  <c r="AL190" i="1" l="1"/>
  <c r="AP108" i="1"/>
  <c r="AN108" i="1"/>
  <c r="AM108" i="1"/>
  <c r="AU108" i="1"/>
  <c r="AW108" i="1"/>
  <c r="AT108" i="1"/>
  <c r="AS108" i="1"/>
  <c r="AZ108" i="1"/>
  <c r="AY108" i="1"/>
  <c r="AX108" i="1"/>
  <c r="AO108" i="1"/>
  <c r="AR108" i="1"/>
  <c r="BA226" i="1"/>
  <c r="BA117" i="1"/>
  <c r="AO23" i="5"/>
  <c r="BE23" i="5"/>
  <c r="BB23" i="5"/>
  <c r="AY23" i="5"/>
  <c r="AR23" i="5"/>
  <c r="AP23" i="5"/>
  <c r="BF23" i="5"/>
  <c r="AV23" i="5"/>
  <c r="AW23" i="5"/>
  <c r="AT23" i="5"/>
  <c r="AQ23" i="5"/>
  <c r="BG23" i="5"/>
  <c r="AZ23" i="5"/>
  <c r="BA23" i="5"/>
  <c r="AU23" i="5"/>
  <c r="BD23" i="5"/>
  <c r="E20" i="5"/>
  <c r="G13" i="5"/>
  <c r="BG21" i="5" l="1"/>
  <c r="AY21" i="5"/>
  <c r="AU21" i="5"/>
  <c r="AQ21" i="5"/>
  <c r="BB21" i="5"/>
  <c r="AT21" i="5"/>
  <c r="BE21" i="5"/>
  <c r="BA21" i="5"/>
  <c r="AW21" i="5"/>
  <c r="AS21" i="5"/>
  <c r="AO21" i="5"/>
  <c r="BF21" i="5"/>
  <c r="BD21" i="5"/>
  <c r="AZ21" i="5"/>
  <c r="AV21" i="5"/>
  <c r="AR21" i="5"/>
  <c r="AN21" i="5"/>
  <c r="AP21" i="5"/>
  <c r="F20" i="5"/>
  <c r="G20" i="5" l="1"/>
  <c r="M6" i="5" l="1"/>
  <c r="L6" i="5" s="1"/>
  <c r="K6" i="5" s="1"/>
  <c r="J6" i="5" s="1"/>
  <c r="AB93" i="1"/>
  <c r="AG93" i="1"/>
  <c r="AG95" i="1" s="1"/>
  <c r="AL93" i="1"/>
  <c r="AL73" i="1"/>
  <c r="AL69" i="1"/>
  <c r="AL100" i="1" l="1"/>
  <c r="AL103" i="1" s="1"/>
  <c r="AL95" i="1"/>
  <c r="AB100" i="1"/>
  <c r="AB103" i="1" s="1"/>
  <c r="AB95" i="1"/>
  <c r="AS15" i="5"/>
  <c r="AS23" i="5" s="1"/>
  <c r="AL105" i="1"/>
  <c r="AL109" i="1" s="1"/>
  <c r="AI15" i="5"/>
  <c r="AB105" i="1"/>
  <c r="AB109" i="1" s="1"/>
  <c r="AG97" i="1"/>
  <c r="AN14" i="5" s="1"/>
  <c r="AG100" i="1"/>
  <c r="AG103" i="1" s="1"/>
  <c r="AN13" i="5"/>
  <c r="AG123" i="1"/>
  <c r="AI13" i="5"/>
  <c r="AB123" i="1"/>
  <c r="AS13" i="5"/>
  <c r="AL123" i="1"/>
  <c r="AB97" i="1"/>
  <c r="AI14" i="5" s="1"/>
  <c r="AL97" i="1"/>
  <c r="AS14" i="5" s="1"/>
  <c r="AZ170" i="1"/>
  <c r="AZ175" i="1" s="1"/>
  <c r="AZ180" i="1" s="1"/>
  <c r="AY170" i="1"/>
  <c r="AY175" i="1" s="1"/>
  <c r="AY180" i="1" s="1"/>
  <c r="AX170" i="1"/>
  <c r="AX175" i="1" s="1"/>
  <c r="AX180" i="1" s="1"/>
  <c r="AW170" i="1"/>
  <c r="AW175" i="1" s="1"/>
  <c r="AW180" i="1" s="1"/>
  <c r="AU170" i="1"/>
  <c r="AU175" i="1" s="1"/>
  <c r="AU180" i="1" s="1"/>
  <c r="AT170" i="1"/>
  <c r="AT175" i="1" s="1"/>
  <c r="AT180" i="1" s="1"/>
  <c r="AS170" i="1"/>
  <c r="AS175" i="1" s="1"/>
  <c r="AS180" i="1" s="1"/>
  <c r="AR170" i="1"/>
  <c r="AR175" i="1" s="1"/>
  <c r="AR180" i="1" s="1"/>
  <c r="AP170" i="1"/>
  <c r="AP175" i="1" s="1"/>
  <c r="AP180" i="1" s="1"/>
  <c r="AO170" i="1"/>
  <c r="AO175" i="1" s="1"/>
  <c r="AO180" i="1" s="1"/>
  <c r="AN170" i="1"/>
  <c r="AN175" i="1" s="1"/>
  <c r="AN180" i="1" s="1"/>
  <c r="AM170" i="1"/>
  <c r="AM175" i="1" s="1"/>
  <c r="AM180" i="1" s="1"/>
  <c r="AL170" i="1"/>
  <c r="AL140" i="1" s="1"/>
  <c r="AL141" i="1" s="1"/>
  <c r="AK170" i="1"/>
  <c r="AK140" i="1" s="1"/>
  <c r="AK141" i="1" s="1"/>
  <c r="AJ170" i="1"/>
  <c r="AJ140" i="1" s="1"/>
  <c r="AJ141" i="1" s="1"/>
  <c r="AI170" i="1"/>
  <c r="AI140" i="1" s="1"/>
  <c r="AI141" i="1" s="1"/>
  <c r="AH170" i="1"/>
  <c r="AH140" i="1" s="1"/>
  <c r="AH141" i="1" s="1"/>
  <c r="AG170" i="1"/>
  <c r="AG175" i="1" s="1"/>
  <c r="AG180" i="1" s="1"/>
  <c r="AF170" i="1"/>
  <c r="AF140" i="1" s="1"/>
  <c r="AE170" i="1"/>
  <c r="AE140" i="1" s="1"/>
  <c r="AD170" i="1"/>
  <c r="AD140" i="1" s="1"/>
  <c r="AC170" i="1"/>
  <c r="AC140" i="1" s="1"/>
  <c r="AB170" i="1"/>
  <c r="AB175" i="1" s="1"/>
  <c r="AB180" i="1" s="1"/>
  <c r="AK161" i="1"/>
  <c r="AJ161" i="1"/>
  <c r="AI161" i="1"/>
  <c r="AH161" i="1"/>
  <c r="AF161" i="1"/>
  <c r="AE161" i="1"/>
  <c r="AD161" i="1"/>
  <c r="AC161" i="1"/>
  <c r="AZ153" i="1"/>
  <c r="AY153" i="1"/>
  <c r="AX153" i="1"/>
  <c r="AW153" i="1"/>
  <c r="AU153" i="1"/>
  <c r="AT153" i="1"/>
  <c r="AS153" i="1"/>
  <c r="AS140" i="1" s="1"/>
  <c r="AR153" i="1"/>
  <c r="AR140" i="1" s="1"/>
  <c r="AP153" i="1"/>
  <c r="AO153" i="1"/>
  <c r="AN153" i="1"/>
  <c r="AN140" i="1" s="1"/>
  <c r="AM153" i="1"/>
  <c r="AM140" i="1" s="1"/>
  <c r="AB153" i="1"/>
  <c r="AG153" i="1"/>
  <c r="AB84" i="1"/>
  <c r="W84" i="1"/>
  <c r="AZ76" i="1"/>
  <c r="AZ80" i="1" s="1"/>
  <c r="AZ84" i="1" s="1"/>
  <c r="AY76" i="1"/>
  <c r="AY80" i="1" s="1"/>
  <c r="AY84" i="1" s="1"/>
  <c r="AX76" i="1"/>
  <c r="AX80" i="1" s="1"/>
  <c r="AW76" i="1"/>
  <c r="AW80" i="1" s="1"/>
  <c r="AW82" i="1" s="1"/>
  <c r="AU76" i="1"/>
  <c r="AU80" i="1" s="1"/>
  <c r="AU84" i="1" s="1"/>
  <c r="AT76" i="1"/>
  <c r="AT80" i="1" s="1"/>
  <c r="AS76" i="1"/>
  <c r="AS80" i="1" s="1"/>
  <c r="AS82" i="1" s="1"/>
  <c r="AR76" i="1"/>
  <c r="AR80" i="1" s="1"/>
  <c r="AR84" i="1" s="1"/>
  <c r="AP76" i="1"/>
  <c r="AP80" i="1" s="1"/>
  <c r="AO76" i="1"/>
  <c r="AO80" i="1" s="1"/>
  <c r="AO82" i="1" s="1"/>
  <c r="AN76" i="1"/>
  <c r="AN80" i="1" s="1"/>
  <c r="AN84" i="1" s="1"/>
  <c r="AM76" i="1"/>
  <c r="AM80" i="1" s="1"/>
  <c r="AM84" i="1" s="1"/>
  <c r="AB82" i="1"/>
  <c r="W82" i="1"/>
  <c r="AF80" i="1"/>
  <c r="AF82" i="1" s="1"/>
  <c r="AE80" i="1"/>
  <c r="AE84" i="1" s="1"/>
  <c r="AD80" i="1"/>
  <c r="AD84" i="1" s="1"/>
  <c r="AC80" i="1"/>
  <c r="AC82" i="1" s="1"/>
  <c r="AA80" i="1"/>
  <c r="AA84" i="1" s="1"/>
  <c r="Z80" i="1"/>
  <c r="Z84" i="1" s="1"/>
  <c r="Y80" i="1"/>
  <c r="Y84" i="1" s="1"/>
  <c r="X80" i="1"/>
  <c r="X82" i="1" s="1"/>
  <c r="V80" i="1"/>
  <c r="V84" i="1" s="1"/>
  <c r="U80" i="1"/>
  <c r="U84" i="1" s="1"/>
  <c r="T80" i="1"/>
  <c r="T82" i="1" s="1"/>
  <c r="S80" i="1"/>
  <c r="S84" i="1" s="1"/>
  <c r="AG76" i="1"/>
  <c r="AG78" i="1" s="1"/>
  <c r="AF76" i="1"/>
  <c r="AE76" i="1"/>
  <c r="AD76" i="1"/>
  <c r="AC76" i="1"/>
  <c r="AB76" i="1"/>
  <c r="AB78" i="1" s="1"/>
  <c r="AA76" i="1"/>
  <c r="Z76" i="1"/>
  <c r="Y76" i="1"/>
  <c r="X76" i="1"/>
  <c r="W76" i="1"/>
  <c r="W78" i="1" s="1"/>
  <c r="V76" i="1"/>
  <c r="U76" i="1"/>
  <c r="T76" i="1"/>
  <c r="S76" i="1"/>
  <c r="R76" i="1"/>
  <c r="R80" i="1" s="1"/>
  <c r="AZ71" i="1"/>
  <c r="AY71" i="1"/>
  <c r="AX71" i="1"/>
  <c r="AW71" i="1"/>
  <c r="AU71" i="1"/>
  <c r="AT71" i="1"/>
  <c r="AS71" i="1"/>
  <c r="AR71" i="1"/>
  <c r="AP71" i="1"/>
  <c r="AO71" i="1"/>
  <c r="AN71" i="1"/>
  <c r="AM71" i="1"/>
  <c r="AF71" i="1"/>
  <c r="AF73" i="1" s="1"/>
  <c r="AE71" i="1"/>
  <c r="AE73" i="1" s="1"/>
  <c r="AD71" i="1"/>
  <c r="AD73" i="1" s="1"/>
  <c r="AC71" i="1"/>
  <c r="AC73" i="1" s="1"/>
  <c r="AA71" i="1"/>
  <c r="AA73" i="1" s="1"/>
  <c r="Z71" i="1"/>
  <c r="Z73" i="1" s="1"/>
  <c r="Y71" i="1"/>
  <c r="Y73" i="1" s="1"/>
  <c r="X71" i="1"/>
  <c r="X73" i="1" s="1"/>
  <c r="V71" i="1"/>
  <c r="V73" i="1" s="1"/>
  <c r="U71" i="1"/>
  <c r="U73" i="1" s="1"/>
  <c r="T71" i="1"/>
  <c r="T73" i="1" s="1"/>
  <c r="S71" i="1"/>
  <c r="S73" i="1" s="1"/>
  <c r="Q71" i="1"/>
  <c r="P71" i="1"/>
  <c r="O71" i="1"/>
  <c r="N71" i="1"/>
  <c r="V64" i="1"/>
  <c r="U64" i="1"/>
  <c r="T64" i="1"/>
  <c r="S64" i="1"/>
  <c r="R64" i="1"/>
  <c r="R195" i="1" s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Z54" i="1"/>
  <c r="AY54" i="1"/>
  <c r="AX54" i="1"/>
  <c r="AW54" i="1"/>
  <c r="AU54" i="1"/>
  <c r="AT54" i="1"/>
  <c r="AS54" i="1"/>
  <c r="AR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H54" i="1"/>
  <c r="G54" i="1"/>
  <c r="F54" i="1"/>
  <c r="E54" i="1"/>
  <c r="D54" i="1"/>
  <c r="AZ50" i="1"/>
  <c r="AY50" i="1"/>
  <c r="AX50" i="1"/>
  <c r="AW50" i="1"/>
  <c r="AU50" i="1"/>
  <c r="AT50" i="1"/>
  <c r="AS50" i="1"/>
  <c r="AR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BA48" i="1"/>
  <c r="BA62" i="1" s="1"/>
  <c r="AZ48" i="1"/>
  <c r="AZ62" i="1" s="1"/>
  <c r="AZ64" i="1" s="1"/>
  <c r="AY48" i="1"/>
  <c r="AY62" i="1" s="1"/>
  <c r="AY64" i="1" s="1"/>
  <c r="AX48" i="1"/>
  <c r="AX62" i="1" s="1"/>
  <c r="AX64" i="1" s="1"/>
  <c r="AW48" i="1"/>
  <c r="AW62" i="1" s="1"/>
  <c r="AW64" i="1" s="1"/>
  <c r="AV48" i="1"/>
  <c r="AV62" i="1" s="1"/>
  <c r="AU48" i="1"/>
  <c r="AU62" i="1" s="1"/>
  <c r="AU64" i="1" s="1"/>
  <c r="AT48" i="1"/>
  <c r="AT62" i="1" s="1"/>
  <c r="AT64" i="1" s="1"/>
  <c r="AS48" i="1"/>
  <c r="AS62" i="1" s="1"/>
  <c r="AS64" i="1" s="1"/>
  <c r="AR48" i="1"/>
  <c r="AR62" i="1" s="1"/>
  <c r="AR64" i="1" s="1"/>
  <c r="AQ48" i="1"/>
  <c r="AQ62" i="1" s="1"/>
  <c r="AP48" i="1"/>
  <c r="AP63" i="1" s="1"/>
  <c r="AO48" i="1"/>
  <c r="AO63" i="1" s="1"/>
  <c r="AN48" i="1"/>
  <c r="AN63" i="1" s="1"/>
  <c r="AM48" i="1"/>
  <c r="AM63" i="1" s="1"/>
  <c r="AL48" i="1"/>
  <c r="AL63" i="1" s="1"/>
  <c r="AK48" i="1"/>
  <c r="AK63" i="1" s="1"/>
  <c r="AJ48" i="1"/>
  <c r="AJ63" i="1" s="1"/>
  <c r="AI48" i="1"/>
  <c r="AI63" i="1" s="1"/>
  <c r="AH48" i="1"/>
  <c r="AH63" i="1" s="1"/>
  <c r="AG48" i="1"/>
  <c r="AG63" i="1" s="1"/>
  <c r="AF48" i="1"/>
  <c r="AF63" i="1" s="1"/>
  <c r="AE48" i="1"/>
  <c r="AE63" i="1" s="1"/>
  <c r="AD48" i="1"/>
  <c r="AD63" i="1" s="1"/>
  <c r="AC48" i="1"/>
  <c r="AC63" i="1" s="1"/>
  <c r="AB48" i="1"/>
  <c r="AB63" i="1" s="1"/>
  <c r="AA48" i="1"/>
  <c r="AA63" i="1" s="1"/>
  <c r="Z48" i="1"/>
  <c r="Z63" i="1" s="1"/>
  <c r="Y48" i="1"/>
  <c r="Y63" i="1" s="1"/>
  <c r="X48" i="1"/>
  <c r="X63" i="1" s="1"/>
  <c r="W48" i="1"/>
  <c r="W63" i="1" s="1"/>
  <c r="V48" i="1"/>
  <c r="V63" i="1" s="1"/>
  <c r="U48" i="1"/>
  <c r="U63" i="1" s="1"/>
  <c r="T48" i="1"/>
  <c r="T63" i="1" s="1"/>
  <c r="S48" i="1"/>
  <c r="S63" i="1" s="1"/>
  <c r="R48" i="1"/>
  <c r="R63" i="1" s="1"/>
  <c r="Q48" i="1"/>
  <c r="Q63" i="1" s="1"/>
  <c r="P48" i="1"/>
  <c r="P63" i="1" s="1"/>
  <c r="O48" i="1"/>
  <c r="O63" i="1" s="1"/>
  <c r="N48" i="1"/>
  <c r="N63" i="1" s="1"/>
  <c r="M48" i="1"/>
  <c r="M63" i="1" s="1"/>
  <c r="L48" i="1"/>
  <c r="L63" i="1" s="1"/>
  <c r="K48" i="1"/>
  <c r="K63" i="1" s="1"/>
  <c r="J48" i="1"/>
  <c r="J63" i="1" s="1"/>
  <c r="I48" i="1"/>
  <c r="I63" i="1" s="1"/>
  <c r="H48" i="1"/>
  <c r="H63" i="1" s="1"/>
  <c r="G48" i="1"/>
  <c r="G63" i="1" s="1"/>
  <c r="F48" i="1"/>
  <c r="F63" i="1" s="1"/>
  <c r="E48" i="1"/>
  <c r="E63" i="1" s="1"/>
  <c r="D48" i="1"/>
  <c r="D63" i="1" s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50" i="1"/>
  <c r="C49" i="1"/>
  <c r="C48" i="1"/>
  <c r="C63" i="1" s="1"/>
  <c r="C47" i="1"/>
  <c r="AZ36" i="1"/>
  <c r="AY36" i="1"/>
  <c r="AX36" i="1"/>
  <c r="AW36" i="1"/>
  <c r="AU36" i="1"/>
  <c r="AT36" i="1"/>
  <c r="AS36" i="1"/>
  <c r="AR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W34" i="1"/>
  <c r="V34" i="1"/>
  <c r="U34" i="1"/>
  <c r="T34" i="1"/>
  <c r="S34" i="1"/>
  <c r="R34" i="1"/>
  <c r="Q34" i="1"/>
  <c r="P34" i="1"/>
  <c r="O34" i="1"/>
  <c r="N34" i="1"/>
  <c r="AZ32" i="1"/>
  <c r="AY32" i="1"/>
  <c r="AX32" i="1"/>
  <c r="AW32" i="1"/>
  <c r="AU32" i="1"/>
  <c r="AT32" i="1"/>
  <c r="AS32" i="1"/>
  <c r="AR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B32" i="1"/>
  <c r="W32" i="1"/>
  <c r="V32" i="1"/>
  <c r="U32" i="1"/>
  <c r="T32" i="1"/>
  <c r="S32" i="1"/>
  <c r="R32" i="1"/>
  <c r="Q32" i="1"/>
  <c r="P32" i="1"/>
  <c r="O32" i="1"/>
  <c r="N32" i="1"/>
  <c r="M32" i="1"/>
  <c r="H32" i="1"/>
  <c r="G32" i="1"/>
  <c r="F32" i="1"/>
  <c r="E32" i="1"/>
  <c r="D32" i="1"/>
  <c r="AZ30" i="1"/>
  <c r="AY30" i="1"/>
  <c r="AX30" i="1"/>
  <c r="AW30" i="1"/>
  <c r="AU30" i="1"/>
  <c r="AT30" i="1"/>
  <c r="AS30" i="1"/>
  <c r="AR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W30" i="1"/>
  <c r="V30" i="1"/>
  <c r="U30" i="1"/>
  <c r="T30" i="1"/>
  <c r="S30" i="1"/>
  <c r="R30" i="1"/>
  <c r="Q30" i="1"/>
  <c r="P30" i="1"/>
  <c r="O30" i="1"/>
  <c r="N30" i="1"/>
  <c r="M30" i="1"/>
  <c r="H30" i="1"/>
  <c r="G30" i="1"/>
  <c r="F30" i="1"/>
  <c r="E30" i="1"/>
  <c r="D30" i="1"/>
  <c r="AZ28" i="1"/>
  <c r="AY28" i="1"/>
  <c r="AX28" i="1"/>
  <c r="AW28" i="1"/>
  <c r="AU28" i="1"/>
  <c r="AT28" i="1"/>
  <c r="AS28" i="1"/>
  <c r="AR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W28" i="1"/>
  <c r="V28" i="1"/>
  <c r="U28" i="1"/>
  <c r="T28" i="1"/>
  <c r="S28" i="1"/>
  <c r="R28" i="1"/>
  <c r="Q28" i="1"/>
  <c r="P28" i="1"/>
  <c r="O28" i="1"/>
  <c r="N28" i="1"/>
  <c r="M28" i="1"/>
  <c r="H28" i="1"/>
  <c r="G28" i="1"/>
  <c r="F28" i="1"/>
  <c r="E28" i="1"/>
  <c r="D28" i="1"/>
  <c r="AZ22" i="1"/>
  <c r="AY22" i="1"/>
  <c r="AX22" i="1"/>
  <c r="AW22" i="1"/>
  <c r="AU22" i="1"/>
  <c r="AT22" i="1"/>
  <c r="AS22" i="1"/>
  <c r="AR22" i="1"/>
  <c r="AP22" i="1"/>
  <c r="AO22" i="1"/>
  <c r="AN22" i="1"/>
  <c r="AM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Z21" i="1"/>
  <c r="AY21" i="1"/>
  <c r="AX21" i="1"/>
  <c r="AW21" i="1"/>
  <c r="AU21" i="1"/>
  <c r="AT21" i="1"/>
  <c r="AS21" i="1"/>
  <c r="AR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BA15" i="1"/>
  <c r="AZ15" i="1"/>
  <c r="AY15" i="1"/>
  <c r="AX15" i="1"/>
  <c r="AW15" i="1"/>
  <c r="AU15" i="1"/>
  <c r="AT15" i="1"/>
  <c r="AS15" i="1"/>
  <c r="AR15" i="1"/>
  <c r="AP15" i="1"/>
  <c r="AO15" i="1"/>
  <c r="AN15" i="1"/>
  <c r="AM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21" i="1"/>
  <c r="M19" i="1"/>
  <c r="M17" i="1"/>
  <c r="M11" i="1"/>
  <c r="M15" i="1"/>
  <c r="H19" i="1"/>
  <c r="G19" i="1"/>
  <c r="F19" i="1"/>
  <c r="E19" i="1"/>
  <c r="D19" i="1"/>
  <c r="H17" i="1"/>
  <c r="G17" i="1"/>
  <c r="F17" i="1"/>
  <c r="E17" i="1"/>
  <c r="D17" i="1"/>
  <c r="H15" i="1"/>
  <c r="G15" i="1"/>
  <c r="F15" i="1"/>
  <c r="E15" i="1"/>
  <c r="D15" i="1"/>
  <c r="G11" i="1"/>
  <c r="F11" i="1"/>
  <c r="E11" i="1"/>
  <c r="D11" i="1"/>
  <c r="H11" i="1"/>
  <c r="AW140" i="1" l="1"/>
  <c r="AX140" i="1"/>
  <c r="AX141" i="1"/>
  <c r="AX144" i="1" s="1"/>
  <c r="BE28" i="5" s="1"/>
  <c r="AX143" i="1"/>
  <c r="BE27" i="5" s="1"/>
  <c r="AD141" i="1"/>
  <c r="AD144" i="1" s="1"/>
  <c r="AK28" i="5" s="1"/>
  <c r="AD143" i="1"/>
  <c r="AK27" i="5" s="1"/>
  <c r="AN141" i="1"/>
  <c r="AN144" i="1" s="1"/>
  <c r="AU28" i="5" s="1"/>
  <c r="AN143" i="1"/>
  <c r="AU27" i="5" s="1"/>
  <c r="AC141" i="1"/>
  <c r="AC144" i="1" s="1"/>
  <c r="AJ28" i="5" s="1"/>
  <c r="AC143" i="1"/>
  <c r="AJ27" i="5" s="1"/>
  <c r="AE141" i="1"/>
  <c r="AE144" i="1" s="1"/>
  <c r="AL28" i="5" s="1"/>
  <c r="AE143" i="1"/>
  <c r="AL27" i="5" s="1"/>
  <c r="AS141" i="1"/>
  <c r="AS144" i="1" s="1"/>
  <c r="AZ28" i="5" s="1"/>
  <c r="AS143" i="1"/>
  <c r="AZ27" i="5" s="1"/>
  <c r="AM141" i="1"/>
  <c r="AM144" i="1" s="1"/>
  <c r="AT28" i="5" s="1"/>
  <c r="AM143" i="1"/>
  <c r="AT27" i="5" s="1"/>
  <c r="AR141" i="1"/>
  <c r="AR144" i="1" s="1"/>
  <c r="AY28" i="5" s="1"/>
  <c r="AR143" i="1"/>
  <c r="AY27" i="5" s="1"/>
  <c r="AW141" i="1"/>
  <c r="AW144" i="1" s="1"/>
  <c r="BD28" i="5" s="1"/>
  <c r="AW143" i="1"/>
  <c r="BD27" i="5" s="1"/>
  <c r="AF141" i="1"/>
  <c r="AF144" i="1" s="1"/>
  <c r="AM28" i="5" s="1"/>
  <c r="AF143" i="1"/>
  <c r="AM27" i="5" s="1"/>
  <c r="AG140" i="1"/>
  <c r="AO140" i="1"/>
  <c r="AT140" i="1"/>
  <c r="AY140" i="1"/>
  <c r="AB140" i="1"/>
  <c r="AP140" i="1"/>
  <c r="AU140" i="1"/>
  <c r="AZ140" i="1"/>
  <c r="AB107" i="1"/>
  <c r="AB106" i="1"/>
  <c r="AL108" i="1"/>
  <c r="AL107" i="1"/>
  <c r="AL106" i="1"/>
  <c r="AN161" i="1"/>
  <c r="AN197" i="1"/>
  <c r="AS161" i="1"/>
  <c r="AS197" i="1"/>
  <c r="AX161" i="1"/>
  <c r="AX197" i="1"/>
  <c r="AK175" i="1"/>
  <c r="AK197" i="1"/>
  <c r="AG161" i="1"/>
  <c r="AG197" i="1"/>
  <c r="AO161" i="1"/>
  <c r="AO197" i="1"/>
  <c r="AT161" i="1"/>
  <c r="AT197" i="1"/>
  <c r="AY161" i="1"/>
  <c r="AY197" i="1"/>
  <c r="AD175" i="1"/>
  <c r="AD197" i="1"/>
  <c r="AH175" i="1"/>
  <c r="AH197" i="1"/>
  <c r="AL175" i="1"/>
  <c r="AL180" i="1" s="1"/>
  <c r="AL197" i="1"/>
  <c r="AB161" i="1"/>
  <c r="AB197" i="1"/>
  <c r="AP161" i="1"/>
  <c r="AP197" i="1"/>
  <c r="AU161" i="1"/>
  <c r="AU197" i="1"/>
  <c r="AZ161" i="1"/>
  <c r="AZ197" i="1"/>
  <c r="AE175" i="1"/>
  <c r="AE197" i="1"/>
  <c r="AI175" i="1"/>
  <c r="AI197" i="1"/>
  <c r="AN198" i="1" s="1"/>
  <c r="AC175" i="1"/>
  <c r="AC197" i="1"/>
  <c r="AM161" i="1"/>
  <c r="AM197" i="1"/>
  <c r="AR161" i="1"/>
  <c r="AR197" i="1"/>
  <c r="AW161" i="1"/>
  <c r="AW197" i="1"/>
  <c r="AF175" i="1"/>
  <c r="AF197" i="1"/>
  <c r="AJ175" i="1"/>
  <c r="AJ197" i="1"/>
  <c r="N43" i="1"/>
  <c r="N42" i="1"/>
  <c r="V42" i="1"/>
  <c r="V43" i="1"/>
  <c r="AD43" i="1"/>
  <c r="AD42" i="1"/>
  <c r="AL42" i="1"/>
  <c r="AL43" i="1"/>
  <c r="AU43" i="1"/>
  <c r="AU42" i="1"/>
  <c r="K42" i="1"/>
  <c r="K43" i="1"/>
  <c r="O42" i="1"/>
  <c r="O43" i="1"/>
  <c r="S42" i="1"/>
  <c r="S43" i="1"/>
  <c r="W42" i="1"/>
  <c r="W43" i="1"/>
  <c r="AA42" i="1"/>
  <c r="AA43" i="1"/>
  <c r="AE42" i="1"/>
  <c r="AE43" i="1"/>
  <c r="AI42" i="1"/>
  <c r="AI43" i="1"/>
  <c r="AM42" i="1"/>
  <c r="AM43" i="1"/>
  <c r="AR42" i="1"/>
  <c r="AR43" i="1"/>
  <c r="AW42" i="1"/>
  <c r="AW43" i="1"/>
  <c r="H42" i="1"/>
  <c r="H43" i="1"/>
  <c r="L43" i="1"/>
  <c r="L42" i="1"/>
  <c r="P42" i="1"/>
  <c r="P43" i="1"/>
  <c r="T43" i="1"/>
  <c r="T42" i="1"/>
  <c r="X43" i="1"/>
  <c r="X42" i="1"/>
  <c r="AB42" i="1"/>
  <c r="AB43" i="1"/>
  <c r="AF43" i="1"/>
  <c r="AF42" i="1"/>
  <c r="AJ43" i="1"/>
  <c r="AJ42" i="1"/>
  <c r="AN43" i="1"/>
  <c r="AN42" i="1"/>
  <c r="AS42" i="1"/>
  <c r="AS43" i="1"/>
  <c r="AX43" i="1"/>
  <c r="AX42" i="1"/>
  <c r="AN15" i="5"/>
  <c r="AN23" i="5" s="1"/>
  <c r="AG105" i="1"/>
  <c r="AG109" i="1" s="1"/>
  <c r="J42" i="1"/>
  <c r="J43" i="1"/>
  <c r="R42" i="1"/>
  <c r="R43" i="1"/>
  <c r="Z42" i="1"/>
  <c r="Z43" i="1"/>
  <c r="AH42" i="1"/>
  <c r="AH43" i="1"/>
  <c r="AP42" i="1"/>
  <c r="AP43" i="1"/>
  <c r="AZ42" i="1"/>
  <c r="AZ43" i="1"/>
  <c r="I43" i="1"/>
  <c r="I42" i="1"/>
  <c r="M43" i="1"/>
  <c r="M42" i="1"/>
  <c r="Q43" i="1"/>
  <c r="Q42" i="1"/>
  <c r="U43" i="1"/>
  <c r="U42" i="1"/>
  <c r="Y43" i="1"/>
  <c r="Y42" i="1"/>
  <c r="AC43" i="1"/>
  <c r="AC42" i="1"/>
  <c r="AG43" i="1"/>
  <c r="AG42" i="1"/>
  <c r="AK43" i="1"/>
  <c r="AK42" i="1"/>
  <c r="AO43" i="1"/>
  <c r="AO42" i="1"/>
  <c r="AT43" i="1"/>
  <c r="AT42" i="1"/>
  <c r="AY43" i="1"/>
  <c r="AY42" i="1"/>
  <c r="AS19" i="5"/>
  <c r="AN19" i="5"/>
  <c r="AF85" i="1"/>
  <c r="AM11" i="5" s="1"/>
  <c r="AS85" i="1"/>
  <c r="AZ11" i="5" s="1"/>
  <c r="AZ22" i="5" s="1"/>
  <c r="AC85" i="1"/>
  <c r="AJ11" i="5" s="1"/>
  <c r="W85" i="1"/>
  <c r="AD11" i="5" s="1"/>
  <c r="AO85" i="1"/>
  <c r="AV11" i="5" s="1"/>
  <c r="AV22" i="5" s="1"/>
  <c r="X85" i="1"/>
  <c r="AE11" i="5" s="1"/>
  <c r="T85" i="1"/>
  <c r="AA11" i="5" s="1"/>
  <c r="AB85" i="1"/>
  <c r="AI11" i="5" s="1"/>
  <c r="AW85" i="1"/>
  <c r="BD11" i="5" s="1"/>
  <c r="BD22" i="5" s="1"/>
  <c r="AG80" i="1"/>
  <c r="AG82" i="1" s="1"/>
  <c r="T84" i="1"/>
  <c r="Y82" i="1"/>
  <c r="AP82" i="1"/>
  <c r="AP84" i="1"/>
  <c r="AT84" i="1"/>
  <c r="AT82" i="1"/>
  <c r="AX82" i="1"/>
  <c r="AX84" i="1"/>
  <c r="AM82" i="1"/>
  <c r="AU82" i="1"/>
  <c r="AC84" i="1"/>
  <c r="AS84" i="1"/>
  <c r="X84" i="1"/>
  <c r="AF84" i="1"/>
  <c r="AD82" i="1"/>
  <c r="AY82" i="1"/>
  <c r="AO84" i="1"/>
  <c r="AW84" i="1"/>
  <c r="R84" i="1"/>
  <c r="R82" i="1"/>
  <c r="U82" i="1"/>
  <c r="V82" i="1"/>
  <c r="Z82" i="1"/>
  <c r="AN82" i="1"/>
  <c r="AR82" i="1"/>
  <c r="AZ82" i="1"/>
  <c r="R78" i="1"/>
  <c r="S82" i="1"/>
  <c r="AA82" i="1"/>
  <c r="AE82" i="1"/>
  <c r="AJ51" i="1"/>
  <c r="AZ51" i="1"/>
  <c r="E51" i="1"/>
  <c r="E67" i="1" s="1"/>
  <c r="I51" i="1"/>
  <c r="M51" i="1"/>
  <c r="M67" i="1" s="1"/>
  <c r="Q51" i="1"/>
  <c r="Q72" i="1" s="1"/>
  <c r="U51" i="1"/>
  <c r="U65" i="1" s="1"/>
  <c r="Y51" i="1"/>
  <c r="AC51" i="1"/>
  <c r="AC287" i="1" s="1"/>
  <c r="AG51" i="1"/>
  <c r="AK51" i="1"/>
  <c r="AO51" i="1"/>
  <c r="AO61" i="1" s="1"/>
  <c r="AS51" i="1"/>
  <c r="AS61" i="1" s="1"/>
  <c r="AW51" i="1"/>
  <c r="P23" i="1"/>
  <c r="T23" i="1"/>
  <c r="X23" i="1"/>
  <c r="AF23" i="1"/>
  <c r="AJ23" i="1"/>
  <c r="AN23" i="1"/>
  <c r="AZ23" i="1"/>
  <c r="G51" i="1"/>
  <c r="G59" i="1" s="1"/>
  <c r="K51" i="1"/>
  <c r="K55" i="1" s="1"/>
  <c r="O51" i="1"/>
  <c r="O67" i="1" s="1"/>
  <c r="S51" i="1"/>
  <c r="W51" i="1"/>
  <c r="W61" i="1" s="1"/>
  <c r="AA51" i="1"/>
  <c r="AE51" i="1"/>
  <c r="AE287" i="1" s="1"/>
  <c r="AI51" i="1"/>
  <c r="AM51" i="1"/>
  <c r="AM61" i="1" s="1"/>
  <c r="AU51" i="1"/>
  <c r="AU61" i="1" s="1"/>
  <c r="AY51" i="1"/>
  <c r="AY61" i="1" s="1"/>
  <c r="C51" i="1"/>
  <c r="C67" i="1" s="1"/>
  <c r="D51" i="1"/>
  <c r="D59" i="1" s="1"/>
  <c r="H51" i="1"/>
  <c r="L51" i="1"/>
  <c r="L67" i="1" s="1"/>
  <c r="P51" i="1"/>
  <c r="P65" i="1" s="1"/>
  <c r="T51" i="1"/>
  <c r="T55" i="1" s="1"/>
  <c r="X51" i="1"/>
  <c r="AB51" i="1"/>
  <c r="AB287" i="1" s="1"/>
  <c r="AF51" i="1"/>
  <c r="AF287" i="1" s="1"/>
  <c r="AN51" i="1"/>
  <c r="AN61" i="1" s="1"/>
  <c r="AR51" i="1"/>
  <c r="AR61" i="1" s="1"/>
  <c r="F51" i="1"/>
  <c r="F65" i="1" s="1"/>
  <c r="J51" i="1"/>
  <c r="N51" i="1"/>
  <c r="R51" i="1"/>
  <c r="V51" i="1"/>
  <c r="Z51" i="1"/>
  <c r="AD51" i="1"/>
  <c r="AD287" i="1" s="1"/>
  <c r="AH51" i="1"/>
  <c r="AL51" i="1"/>
  <c r="AP51" i="1"/>
  <c r="AP61" i="1" s="1"/>
  <c r="AT51" i="1"/>
  <c r="AT61" i="1" s="1"/>
  <c r="AX51" i="1"/>
  <c r="AX61" i="1" s="1"/>
  <c r="AR23" i="1"/>
  <c r="E23" i="1"/>
  <c r="M23" i="1"/>
  <c r="Q23" i="1"/>
  <c r="U23" i="1"/>
  <c r="Y23" i="1"/>
  <c r="AC23" i="1"/>
  <c r="AK23" i="1"/>
  <c r="AO23" i="1"/>
  <c r="AS23" i="1"/>
  <c r="AW23" i="1"/>
  <c r="F23" i="1"/>
  <c r="AL23" i="1"/>
  <c r="AP23" i="1"/>
  <c r="AT23" i="1"/>
  <c r="AX23" i="1"/>
  <c r="G23" i="1"/>
  <c r="AM23" i="1"/>
  <c r="AU23" i="1"/>
  <c r="AY23" i="1"/>
  <c r="D23" i="1"/>
  <c r="H23" i="1"/>
  <c r="N23" i="1"/>
  <c r="V23" i="1"/>
  <c r="Z23" i="1"/>
  <c r="AD23" i="1"/>
  <c r="AH23" i="1"/>
  <c r="O37" i="1"/>
  <c r="S37" i="1"/>
  <c r="AA37" i="1"/>
  <c r="AE37" i="1"/>
  <c r="AI37" i="1"/>
  <c r="AM37" i="1"/>
  <c r="AU37" i="1"/>
  <c r="AY37" i="1"/>
  <c r="W37" i="1"/>
  <c r="G37" i="1"/>
  <c r="F37" i="1"/>
  <c r="N37" i="1"/>
  <c r="V37" i="1"/>
  <c r="AD37" i="1"/>
  <c r="R37" i="1"/>
  <c r="AL37" i="1"/>
  <c r="AT37" i="1"/>
  <c r="H37" i="1"/>
  <c r="P37" i="1"/>
  <c r="X37" i="1"/>
  <c r="AF37" i="1"/>
  <c r="AN37" i="1"/>
  <c r="D37" i="1"/>
  <c r="T37" i="1"/>
  <c r="AB37" i="1"/>
  <c r="AJ37" i="1"/>
  <c r="AR37" i="1"/>
  <c r="AZ37" i="1"/>
  <c r="Z37" i="1"/>
  <c r="AH37" i="1"/>
  <c r="AP37" i="1"/>
  <c r="AX37" i="1"/>
  <c r="M37" i="1"/>
  <c r="Q37" i="1"/>
  <c r="U37" i="1"/>
  <c r="Y37" i="1"/>
  <c r="AC37" i="1"/>
  <c r="AG37" i="1"/>
  <c r="AK37" i="1"/>
  <c r="AO37" i="1"/>
  <c r="AS37" i="1"/>
  <c r="AW37" i="1"/>
  <c r="E37" i="1"/>
  <c r="AB23" i="1"/>
  <c r="AG23" i="1"/>
  <c r="R23" i="1"/>
  <c r="O23" i="1"/>
  <c r="S23" i="1"/>
  <c r="W23" i="1"/>
  <c r="AA23" i="1"/>
  <c r="AE23" i="1"/>
  <c r="AI23" i="1"/>
  <c r="AY141" i="1" l="1"/>
  <c r="AY144" i="1" s="1"/>
  <c r="BF28" i="5" s="1"/>
  <c r="AY143" i="1"/>
  <c r="BF27" i="5" s="1"/>
  <c r="AU141" i="1"/>
  <c r="AU144" i="1" s="1"/>
  <c r="BB28" i="5" s="1"/>
  <c r="AU143" i="1"/>
  <c r="BB27" i="5" s="1"/>
  <c r="AT141" i="1"/>
  <c r="AT144" i="1" s="1"/>
  <c r="BA28" i="5" s="1"/>
  <c r="AT143" i="1"/>
  <c r="BA27" i="5" s="1"/>
  <c r="AP141" i="1"/>
  <c r="AP144" i="1" s="1"/>
  <c r="AW28" i="5" s="1"/>
  <c r="AP143" i="1"/>
  <c r="AW27" i="5" s="1"/>
  <c r="AO141" i="1"/>
  <c r="AO144" i="1" s="1"/>
  <c r="AV28" i="5" s="1"/>
  <c r="AO143" i="1"/>
  <c r="AV27" i="5" s="1"/>
  <c r="AZ141" i="1"/>
  <c r="AZ144" i="1" s="1"/>
  <c r="BG28" i="5" s="1"/>
  <c r="AZ143" i="1"/>
  <c r="BG27" i="5" s="1"/>
  <c r="AB141" i="1"/>
  <c r="AB144" i="1" s="1"/>
  <c r="AI28" i="5" s="1"/>
  <c r="AB143" i="1"/>
  <c r="AI27" i="5" s="1"/>
  <c r="AG141" i="1"/>
  <c r="AG144" i="1" s="1"/>
  <c r="AN28" i="5" s="1"/>
  <c r="AG143" i="1"/>
  <c r="AN27" i="5" s="1"/>
  <c r="AI287" i="1"/>
  <c r="AI66" i="1"/>
  <c r="AI71" i="1" s="1"/>
  <c r="AI74" i="1" s="1"/>
  <c r="AI139" i="1" s="1"/>
  <c r="AI143" i="1" s="1"/>
  <c r="AJ287" i="1"/>
  <c r="AJ66" i="1"/>
  <c r="AJ71" i="1" s="1"/>
  <c r="AJ74" i="1" s="1"/>
  <c r="AJ139" i="1" s="1"/>
  <c r="AJ143" i="1" s="1"/>
  <c r="AL61" i="1"/>
  <c r="AL287" i="1"/>
  <c r="AG84" i="1"/>
  <c r="AG61" i="1"/>
  <c r="AG287" i="1"/>
  <c r="AH287" i="1"/>
  <c r="AH66" i="1"/>
  <c r="AH71" i="1" s="1"/>
  <c r="AH74" i="1" s="1"/>
  <c r="AH139" i="1" s="1"/>
  <c r="AH143" i="1" s="1"/>
  <c r="AK287" i="1"/>
  <c r="AK66" i="1"/>
  <c r="AK71" i="1" s="1"/>
  <c r="AK74" i="1" s="1"/>
  <c r="AK139" i="1" s="1"/>
  <c r="AK143" i="1" s="1"/>
  <c r="AG107" i="1"/>
  <c r="AG106" i="1"/>
  <c r="AW198" i="1"/>
  <c r="AZ198" i="1"/>
  <c r="AM198" i="1"/>
  <c r="AT198" i="1"/>
  <c r="AP198" i="1"/>
  <c r="AX198" i="1"/>
  <c r="U72" i="1"/>
  <c r="G67" i="1"/>
  <c r="AH198" i="1"/>
  <c r="AC198" i="1"/>
  <c r="AJ198" i="1"/>
  <c r="AE198" i="1"/>
  <c r="E59" i="1"/>
  <c r="AO198" i="1"/>
  <c r="AR198" i="1"/>
  <c r="AU198" i="1"/>
  <c r="AI198" i="1"/>
  <c r="AD198" i="1"/>
  <c r="AY198" i="1"/>
  <c r="AL198" i="1"/>
  <c r="AS198" i="1"/>
  <c r="AK198" i="1"/>
  <c r="AF198" i="1"/>
  <c r="AG198" i="1"/>
  <c r="AB198" i="1"/>
  <c r="AC236" i="1"/>
  <c r="AC61" i="1"/>
  <c r="AJ236" i="1"/>
  <c r="AJ61" i="1"/>
  <c r="Z236" i="1"/>
  <c r="Z61" i="1"/>
  <c r="AA67" i="1"/>
  <c r="AA61" i="1"/>
  <c r="Y236" i="1"/>
  <c r="Y61" i="1"/>
  <c r="AD236" i="1"/>
  <c r="AD61" i="1"/>
  <c r="X236" i="1"/>
  <c r="X61" i="1"/>
  <c r="AE236" i="1"/>
  <c r="AE61" i="1"/>
  <c r="AF236" i="1"/>
  <c r="AF61" i="1"/>
  <c r="AK236" i="1"/>
  <c r="AK61" i="1"/>
  <c r="AH236" i="1"/>
  <c r="AH61" i="1"/>
  <c r="AB55" i="1"/>
  <c r="AB61" i="1"/>
  <c r="AI236" i="1"/>
  <c r="AI61" i="1"/>
  <c r="AW122" i="1"/>
  <c r="AW61" i="1"/>
  <c r="AZ122" i="1"/>
  <c r="AZ61" i="1"/>
  <c r="AZ85" i="1"/>
  <c r="BG11" i="5" s="1"/>
  <c r="BG22" i="5" s="1"/>
  <c r="AQ11" i="5"/>
  <c r="AQ22" i="5" s="1"/>
  <c r="AD85" i="1"/>
  <c r="AK11" i="5" s="1"/>
  <c r="AP85" i="1"/>
  <c r="AW11" i="5" s="1"/>
  <c r="AW22" i="5" s="1"/>
  <c r="AO11" i="5"/>
  <c r="AO22" i="5" s="1"/>
  <c r="S85" i="1"/>
  <c r="Z11" i="5" s="1"/>
  <c r="AR85" i="1"/>
  <c r="AY11" i="5" s="1"/>
  <c r="AY22" i="5" s="1"/>
  <c r="V85" i="1"/>
  <c r="AC11" i="5" s="1"/>
  <c r="AU85" i="1"/>
  <c r="BB11" i="5" s="1"/>
  <c r="BB22" i="5" s="1"/>
  <c r="AT85" i="1"/>
  <c r="BA11" i="5" s="1"/>
  <c r="BA22" i="5" s="1"/>
  <c r="Y85" i="1"/>
  <c r="AF11" i="5" s="1"/>
  <c r="AK55" i="1"/>
  <c r="AN85" i="1"/>
  <c r="AU11" i="5" s="1"/>
  <c r="AU22" i="5" s="1"/>
  <c r="U85" i="1"/>
  <c r="AB11" i="5" s="1"/>
  <c r="AM85" i="1"/>
  <c r="AT11" i="5" s="1"/>
  <c r="AT22" i="5" s="1"/>
  <c r="AA85" i="1"/>
  <c r="AH11" i="5" s="1"/>
  <c r="Z85" i="1"/>
  <c r="AG11" i="5" s="1"/>
  <c r="AR11" i="5"/>
  <c r="AR22" i="5" s="1"/>
  <c r="AX85" i="1"/>
  <c r="BE11" i="5" s="1"/>
  <c r="BE22" i="5" s="1"/>
  <c r="R85" i="1"/>
  <c r="Y11" i="5" s="1"/>
  <c r="AE85" i="1"/>
  <c r="AL11" i="5" s="1"/>
  <c r="AP11" i="5"/>
  <c r="AP22" i="5" s="1"/>
  <c r="AY85" i="1"/>
  <c r="BF11" i="5" s="1"/>
  <c r="BF22" i="5" s="1"/>
  <c r="AG85" i="1"/>
  <c r="AN11" i="5" s="1"/>
  <c r="AN22" i="5" s="1"/>
  <c r="AN236" i="1"/>
  <c r="AN122" i="1"/>
  <c r="AM236" i="1"/>
  <c r="AM122" i="1"/>
  <c r="W236" i="1"/>
  <c r="W194" i="1"/>
  <c r="W193" i="1"/>
  <c r="AO236" i="1"/>
  <c r="AO122" i="1"/>
  <c r="AP236" i="1"/>
  <c r="AP122" i="1"/>
  <c r="AX236" i="1"/>
  <c r="AX122" i="1"/>
  <c r="R236" i="1"/>
  <c r="R194" i="1"/>
  <c r="R193" i="1"/>
  <c r="AU236" i="1"/>
  <c r="AU122" i="1"/>
  <c r="AS65" i="1"/>
  <c r="AS122" i="1"/>
  <c r="AT236" i="1"/>
  <c r="AT122" i="1"/>
  <c r="AR236" i="1"/>
  <c r="AR122" i="1"/>
  <c r="AY236" i="1"/>
  <c r="AY122" i="1"/>
  <c r="L59" i="1"/>
  <c r="O70" i="1"/>
  <c r="Q55" i="1"/>
  <c r="AE70" i="1"/>
  <c r="AE67" i="1"/>
  <c r="O55" i="1"/>
  <c r="D55" i="1"/>
  <c r="M72" i="1"/>
  <c r="AC55" i="1"/>
  <c r="AG52" i="1"/>
  <c r="Q65" i="1"/>
  <c r="AB194" i="1"/>
  <c r="AB193" i="1"/>
  <c r="AL236" i="1"/>
  <c r="AL194" i="1"/>
  <c r="AL193" i="1"/>
  <c r="AG193" i="1"/>
  <c r="AG194" i="1"/>
  <c r="E52" i="1"/>
  <c r="D65" i="1"/>
  <c r="AE55" i="1"/>
  <c r="AK72" i="1"/>
  <c r="AJ55" i="1"/>
  <c r="AN67" i="1"/>
  <c r="T65" i="1"/>
  <c r="M65" i="1"/>
  <c r="AB59" i="1"/>
  <c r="AB236" i="1"/>
  <c r="AC70" i="1"/>
  <c r="AA55" i="1"/>
  <c r="AA236" i="1"/>
  <c r="AS72" i="1"/>
  <c r="AS236" i="1"/>
  <c r="AJ52" i="1"/>
  <c r="M55" i="1"/>
  <c r="AN59" i="1"/>
  <c r="AC65" i="1"/>
  <c r="AJ70" i="1"/>
  <c r="AC67" i="1"/>
  <c r="AJ59" i="1"/>
  <c r="AJ65" i="1"/>
  <c r="AC72" i="1"/>
  <c r="AW55" i="1"/>
  <c r="AW59" i="1" s="1"/>
  <c r="AW236" i="1"/>
  <c r="AG55" i="1"/>
  <c r="AG236" i="1"/>
  <c r="AZ72" i="1"/>
  <c r="AZ236" i="1"/>
  <c r="AA70" i="1"/>
  <c r="Q67" i="1"/>
  <c r="Q68" i="1" s="1"/>
  <c r="AU67" i="1"/>
  <c r="K67" i="1"/>
  <c r="V52" i="1"/>
  <c r="V122" i="1"/>
  <c r="AC7" i="5"/>
  <c r="AF70" i="1"/>
  <c r="AF122" i="1"/>
  <c r="AM7" i="5"/>
  <c r="W59" i="1"/>
  <c r="W122" i="1"/>
  <c r="AD7" i="5"/>
  <c r="AK67" i="1"/>
  <c r="AK122" i="1"/>
  <c r="AR7" i="5"/>
  <c r="AH122" i="1"/>
  <c r="AO7" i="5"/>
  <c r="AI122" i="1"/>
  <c r="AP7" i="5"/>
  <c r="AL122" i="1"/>
  <c r="AS7" i="5"/>
  <c r="AL66" i="1"/>
  <c r="AL67" i="1" s="1"/>
  <c r="U67" i="1"/>
  <c r="U122" i="1"/>
  <c r="AB7" i="5"/>
  <c r="AB122" i="1"/>
  <c r="AI7" i="5"/>
  <c r="U70" i="1"/>
  <c r="Q59" i="1"/>
  <c r="Q122" i="1"/>
  <c r="X7" i="5"/>
  <c r="E55" i="1"/>
  <c r="AD72" i="1"/>
  <c r="AD122" i="1"/>
  <c r="AK7" i="5"/>
  <c r="N72" i="1"/>
  <c r="N122" i="1"/>
  <c r="U7" i="5"/>
  <c r="U52" i="1"/>
  <c r="AB52" i="1"/>
  <c r="C55" i="1"/>
  <c r="AK65" i="1"/>
  <c r="X70" i="1"/>
  <c r="X122" i="1"/>
  <c r="AE7" i="5"/>
  <c r="H55" i="1"/>
  <c r="H122" i="1"/>
  <c r="O7" i="5"/>
  <c r="O18" i="5" s="1"/>
  <c r="AK70" i="1"/>
  <c r="Q70" i="1"/>
  <c r="AE59" i="1"/>
  <c r="AE122" i="1"/>
  <c r="AL7" i="5"/>
  <c r="O59" i="1"/>
  <c r="O122" i="1"/>
  <c r="V7" i="5"/>
  <c r="AK59" i="1"/>
  <c r="U59" i="1"/>
  <c r="AC59" i="1"/>
  <c r="AC122" i="1"/>
  <c r="AJ7" i="5"/>
  <c r="M59" i="1"/>
  <c r="M122" i="1"/>
  <c r="T7" i="5"/>
  <c r="AJ122" i="1"/>
  <c r="AQ7" i="5"/>
  <c r="P70" i="1"/>
  <c r="P122" i="1"/>
  <c r="W7" i="5"/>
  <c r="AM59" i="1"/>
  <c r="AT7" i="5"/>
  <c r="R52" i="1"/>
  <c r="R122" i="1"/>
  <c r="Y7" i="5"/>
  <c r="L72" i="1"/>
  <c r="L122" i="1"/>
  <c r="S7" i="5"/>
  <c r="S67" i="1"/>
  <c r="S122" i="1"/>
  <c r="Z7" i="5"/>
  <c r="AG66" i="1"/>
  <c r="AG71" i="1" s="1"/>
  <c r="AG72" i="1" s="1"/>
  <c r="AG122" i="1"/>
  <c r="AN7" i="5"/>
  <c r="AH52" i="1"/>
  <c r="U55" i="1"/>
  <c r="AP52" i="1"/>
  <c r="AW7" i="5"/>
  <c r="Z122" i="1"/>
  <c r="AG7" i="5"/>
  <c r="J72" i="1"/>
  <c r="J122" i="1"/>
  <c r="Q7" i="5"/>
  <c r="Q52" i="1"/>
  <c r="AF67" i="1"/>
  <c r="L55" i="1"/>
  <c r="AM70" i="1"/>
  <c r="E65" i="1"/>
  <c r="AN70" i="1"/>
  <c r="AU7" i="5"/>
  <c r="T70" i="1"/>
  <c r="T122" i="1"/>
  <c r="AA7" i="5"/>
  <c r="AA18" i="5" s="1"/>
  <c r="AG70" i="1"/>
  <c r="W55" i="1"/>
  <c r="AA59" i="1"/>
  <c r="AA122" i="1"/>
  <c r="AH7" i="5"/>
  <c r="K122" i="1"/>
  <c r="R7" i="5"/>
  <c r="AO67" i="1"/>
  <c r="AV7" i="5"/>
  <c r="Y67" i="1"/>
  <c r="Y122" i="1"/>
  <c r="AF7" i="5"/>
  <c r="I55" i="1"/>
  <c r="I122" i="1"/>
  <c r="P7" i="5"/>
  <c r="AZ67" i="1"/>
  <c r="AS55" i="1"/>
  <c r="AS59" i="1" s="1"/>
  <c r="AW65" i="1"/>
  <c r="AW67" i="1"/>
  <c r="AZ55" i="1"/>
  <c r="AZ59" i="1" s="1"/>
  <c r="AS67" i="1"/>
  <c r="AZ52" i="1"/>
  <c r="AZ65" i="1"/>
  <c r="BD7" i="5"/>
  <c r="BG7" i="5"/>
  <c r="AZ7" i="5"/>
  <c r="AX72" i="1"/>
  <c r="BE7" i="5"/>
  <c r="AY67" i="1"/>
  <c r="BF7" i="5"/>
  <c r="AW72" i="1"/>
  <c r="AT72" i="1"/>
  <c r="BA7" i="5"/>
  <c r="AY7" i="5"/>
  <c r="BB7" i="5"/>
  <c r="AG59" i="1"/>
  <c r="AG65" i="1"/>
  <c r="AL52" i="1"/>
  <c r="AA52" i="1"/>
  <c r="AF59" i="1"/>
  <c r="P55" i="1"/>
  <c r="C59" i="1"/>
  <c r="W66" i="1"/>
  <c r="W67" i="1" s="1"/>
  <c r="G55" i="1"/>
  <c r="Y72" i="1"/>
  <c r="AF52" i="1"/>
  <c r="W52" i="1"/>
  <c r="F52" i="1"/>
  <c r="AK52" i="1"/>
  <c r="C65" i="1"/>
  <c r="P67" i="1"/>
  <c r="I59" i="1"/>
  <c r="D52" i="1"/>
  <c r="P52" i="1"/>
  <c r="G52" i="1"/>
  <c r="AM67" i="1"/>
  <c r="AF65" i="1"/>
  <c r="AF55" i="1"/>
  <c r="P59" i="1"/>
  <c r="W70" i="1"/>
  <c r="AM55" i="1"/>
  <c r="AI70" i="1"/>
  <c r="S70" i="1"/>
  <c r="I72" i="1"/>
  <c r="AO72" i="1"/>
  <c r="AO55" i="1"/>
  <c r="Y55" i="1"/>
  <c r="I67" i="1"/>
  <c r="AO65" i="1"/>
  <c r="Y65" i="1"/>
  <c r="I65" i="1"/>
  <c r="AO70" i="1"/>
  <c r="Y70" i="1"/>
  <c r="AO59" i="1"/>
  <c r="AO52" i="1"/>
  <c r="Y59" i="1"/>
  <c r="P72" i="1"/>
  <c r="AF72" i="1"/>
  <c r="AE72" i="1"/>
  <c r="H72" i="1"/>
  <c r="H67" i="1"/>
  <c r="M68" i="1" s="1"/>
  <c r="AY55" i="1"/>
  <c r="AY59" i="1" s="1"/>
  <c r="S59" i="1"/>
  <c r="S55" i="1"/>
  <c r="AI65" i="1"/>
  <c r="AY72" i="1"/>
  <c r="AW52" i="1"/>
  <c r="X59" i="1"/>
  <c r="AU65" i="1"/>
  <c r="AE65" i="1"/>
  <c r="O65" i="1"/>
  <c r="AU72" i="1"/>
  <c r="T72" i="1"/>
  <c r="AM52" i="1"/>
  <c r="AX52" i="1"/>
  <c r="AP70" i="1"/>
  <c r="AP72" i="1"/>
  <c r="Z70" i="1"/>
  <c r="Z72" i="1"/>
  <c r="AS52" i="1"/>
  <c r="Y52" i="1"/>
  <c r="X65" i="1"/>
  <c r="AN55" i="1"/>
  <c r="AN52" i="1"/>
  <c r="T67" i="1"/>
  <c r="D67" i="1"/>
  <c r="E68" i="1" s="1"/>
  <c r="K59" i="1"/>
  <c r="K72" i="1"/>
  <c r="AA65" i="1"/>
  <c r="K65" i="1"/>
  <c r="O72" i="1"/>
  <c r="X72" i="1"/>
  <c r="AN72" i="1"/>
  <c r="AI59" i="1"/>
  <c r="AI55" i="1"/>
  <c r="AY65" i="1"/>
  <c r="S65" i="1"/>
  <c r="T52" i="1"/>
  <c r="AL70" i="1"/>
  <c r="V70" i="1"/>
  <c r="V72" i="1"/>
  <c r="AN65" i="1"/>
  <c r="T59" i="1"/>
  <c r="AU55" i="1"/>
  <c r="AU59" i="1" s="1"/>
  <c r="AM65" i="1"/>
  <c r="W65" i="1"/>
  <c r="G65" i="1"/>
  <c r="AM72" i="1"/>
  <c r="AA72" i="1"/>
  <c r="S72" i="1"/>
  <c r="AR72" i="1"/>
  <c r="N65" i="1"/>
  <c r="N70" i="1"/>
  <c r="AC52" i="1"/>
  <c r="M52" i="1"/>
  <c r="H65" i="1"/>
  <c r="AL65" i="1"/>
  <c r="AR52" i="1"/>
  <c r="X52" i="1"/>
  <c r="L65" i="1"/>
  <c r="AD65" i="1"/>
  <c r="AD70" i="1"/>
  <c r="V65" i="1"/>
  <c r="AR55" i="1"/>
  <c r="AR59" i="1" s="1"/>
  <c r="X55" i="1"/>
  <c r="H59" i="1"/>
  <c r="AT65" i="1"/>
  <c r="AT52" i="1"/>
  <c r="AX65" i="1"/>
  <c r="AH65" i="1"/>
  <c r="AH70" i="1"/>
  <c r="R65" i="1"/>
  <c r="R70" i="1"/>
  <c r="R66" i="1"/>
  <c r="R67" i="1" s="1"/>
  <c r="AR65" i="1"/>
  <c r="AR67" i="1"/>
  <c r="X67" i="1"/>
  <c r="AC68" i="1" s="1"/>
  <c r="H52" i="1"/>
  <c r="AB70" i="1"/>
  <c r="AB66" i="1"/>
  <c r="AB65" i="1"/>
  <c r="AP55" i="1"/>
  <c r="AP59" i="1"/>
  <c r="AP67" i="1"/>
  <c r="J55" i="1"/>
  <c r="J59" i="1"/>
  <c r="J67" i="1"/>
  <c r="O68" i="1" s="1"/>
  <c r="AY52" i="1"/>
  <c r="AI52" i="1"/>
  <c r="S52" i="1"/>
  <c r="N52" i="1"/>
  <c r="AL55" i="1"/>
  <c r="AL59" i="1"/>
  <c r="V55" i="1"/>
  <c r="V59" i="1"/>
  <c r="V67" i="1"/>
  <c r="F55" i="1"/>
  <c r="F59" i="1"/>
  <c r="F67" i="1"/>
  <c r="Z55" i="1"/>
  <c r="Z59" i="1"/>
  <c r="Z67" i="1"/>
  <c r="AU52" i="1"/>
  <c r="AE52" i="1"/>
  <c r="Z52" i="1"/>
  <c r="AX55" i="1"/>
  <c r="AX59" i="1" s="1"/>
  <c r="AX67" i="1"/>
  <c r="AH55" i="1"/>
  <c r="AH59" i="1"/>
  <c r="AH67" i="1"/>
  <c r="R55" i="1"/>
  <c r="R59" i="1"/>
  <c r="O52" i="1"/>
  <c r="AT55" i="1"/>
  <c r="AT59" i="1" s="1"/>
  <c r="AT67" i="1"/>
  <c r="AD52" i="1"/>
  <c r="AD55" i="1"/>
  <c r="AD59" i="1"/>
  <c r="AD67" i="1"/>
  <c r="N55" i="1"/>
  <c r="N59" i="1"/>
  <c r="N67" i="1"/>
  <c r="AP65" i="1"/>
  <c r="Z65" i="1"/>
  <c r="J65" i="1"/>
  <c r="AI72" i="1" l="1"/>
  <c r="AI67" i="1"/>
  <c r="AS68" i="1"/>
  <c r="AS70" i="1" s="1"/>
  <c r="AH72" i="1"/>
  <c r="AJ76" i="1"/>
  <c r="AH76" i="1"/>
  <c r="AJ72" i="1"/>
  <c r="AI76" i="1"/>
  <c r="AJ67" i="1"/>
  <c r="AJ68" i="1" s="1"/>
  <c r="AK76" i="1"/>
  <c r="AF68" i="1"/>
  <c r="U68" i="1"/>
  <c r="AZ68" i="1"/>
  <c r="AZ70" i="1" s="1"/>
  <c r="AW68" i="1"/>
  <c r="AW70" i="1" s="1"/>
  <c r="Y68" i="1"/>
  <c r="AN68" i="1"/>
  <c r="X68" i="1"/>
  <c r="AK68" i="1"/>
  <c r="AI17" i="5"/>
  <c r="T68" i="1"/>
  <c r="H68" i="1"/>
  <c r="Y17" i="5"/>
  <c r="AF18" i="5"/>
  <c r="AF17" i="5"/>
  <c r="P68" i="1"/>
  <c r="R71" i="1"/>
  <c r="R72" i="1" s="1"/>
  <c r="Y18" i="5"/>
  <c r="R17" i="5"/>
  <c r="R18" i="5"/>
  <c r="AW18" i="5"/>
  <c r="AW17" i="5"/>
  <c r="Z17" i="5"/>
  <c r="Z18" i="5"/>
  <c r="AJ17" i="5"/>
  <c r="AJ18" i="5"/>
  <c r="AP17" i="5"/>
  <c r="AP18" i="5"/>
  <c r="AO18" i="5"/>
  <c r="AO17" i="5"/>
  <c r="AR17" i="5"/>
  <c r="AR18" i="5"/>
  <c r="AD17" i="5"/>
  <c r="AC17" i="5"/>
  <c r="AC18" i="5"/>
  <c r="W71" i="1"/>
  <c r="AD18" i="5"/>
  <c r="AU18" i="5"/>
  <c r="AU17" i="5"/>
  <c r="S17" i="5"/>
  <c r="S18" i="5"/>
  <c r="AN17" i="5"/>
  <c r="AT18" i="5"/>
  <c r="AT17" i="5"/>
  <c r="T17" i="5"/>
  <c r="T18" i="5"/>
  <c r="AL17" i="5"/>
  <c r="AL18" i="5"/>
  <c r="AK17" i="5"/>
  <c r="AK18" i="5"/>
  <c r="AB18" i="5"/>
  <c r="AB17" i="5"/>
  <c r="AS18" i="5"/>
  <c r="AL71" i="1"/>
  <c r="AM18" i="5"/>
  <c r="AM17" i="5"/>
  <c r="P17" i="5"/>
  <c r="P18" i="5"/>
  <c r="AG67" i="1"/>
  <c r="AL68" i="1" s="1"/>
  <c r="AN18" i="5"/>
  <c r="W18" i="5"/>
  <c r="W17" i="5"/>
  <c r="AX68" i="1"/>
  <c r="AX70" i="1" s="1"/>
  <c r="AI18" i="5"/>
  <c r="AV18" i="5"/>
  <c r="AV17" i="5"/>
  <c r="AH18" i="5"/>
  <c r="AH17" i="5"/>
  <c r="Q17" i="5"/>
  <c r="Q18" i="5"/>
  <c r="AG18" i="5"/>
  <c r="AG17" i="5"/>
  <c r="AQ17" i="5"/>
  <c r="AQ18" i="5"/>
  <c r="AA17" i="5"/>
  <c r="V18" i="5"/>
  <c r="V17" i="5"/>
  <c r="AE18" i="5"/>
  <c r="AE17" i="5"/>
  <c r="U17" i="5"/>
  <c r="U18" i="5"/>
  <c r="X17" i="5"/>
  <c r="X18" i="5"/>
  <c r="AS17" i="5"/>
  <c r="AR68" i="1"/>
  <c r="AR70" i="1" s="1"/>
  <c r="BE18" i="5"/>
  <c r="BE17" i="5"/>
  <c r="BG18" i="5"/>
  <c r="BG17" i="5"/>
  <c r="AY18" i="5"/>
  <c r="AY17" i="5"/>
  <c r="BF17" i="5"/>
  <c r="BF18" i="5"/>
  <c r="AZ18" i="5"/>
  <c r="AZ17" i="5"/>
  <c r="BD18" i="5"/>
  <c r="BD17" i="5"/>
  <c r="BB18" i="5"/>
  <c r="BB17" i="5"/>
  <c r="BA17" i="5"/>
  <c r="BA18" i="5"/>
  <c r="AG73" i="1"/>
  <c r="D68" i="1"/>
  <c r="AB67" i="1"/>
  <c r="AB71" i="1"/>
  <c r="W68" i="1"/>
  <c r="R68" i="1"/>
  <c r="G68" i="1"/>
  <c r="F68" i="1"/>
  <c r="AU68" i="1"/>
  <c r="AU70" i="1" s="1"/>
  <c r="AP68" i="1"/>
  <c r="AM68" i="1"/>
  <c r="AH68" i="1"/>
  <c r="AA68" i="1"/>
  <c r="V68" i="1"/>
  <c r="AI68" i="1"/>
  <c r="AD68" i="1"/>
  <c r="AY68" i="1"/>
  <c r="AY70" i="1" s="1"/>
  <c r="AT68" i="1"/>
  <c r="AT70" i="1" s="1"/>
  <c r="S68" i="1"/>
  <c r="N68" i="1"/>
  <c r="AE68" i="1"/>
  <c r="Z68" i="1"/>
  <c r="AH80" i="1" l="1"/>
  <c r="AH78" i="1"/>
  <c r="AI80" i="1"/>
  <c r="AI78" i="1"/>
  <c r="AH144" i="1"/>
  <c r="AO28" i="5" s="1"/>
  <c r="AO27" i="5"/>
  <c r="AO68" i="1"/>
  <c r="AK80" i="1"/>
  <c r="AK78" i="1"/>
  <c r="AP27" i="5"/>
  <c r="AI144" i="1"/>
  <c r="AP28" i="5" s="1"/>
  <c r="AJ80" i="1"/>
  <c r="AJ78" i="1"/>
  <c r="AK144" i="1"/>
  <c r="AR28" i="5" s="1"/>
  <c r="AR27" i="5"/>
  <c r="AQ27" i="5"/>
  <c r="AJ144" i="1"/>
  <c r="AQ28" i="5" s="1"/>
  <c r="R73" i="1"/>
  <c r="W72" i="1"/>
  <c r="W73" i="1"/>
  <c r="AL74" i="1"/>
  <c r="AL139" i="1" s="1"/>
  <c r="AL143" i="1" s="1"/>
  <c r="AL72" i="1"/>
  <c r="AB72" i="1"/>
  <c r="AB73" i="1"/>
  <c r="AB68" i="1"/>
  <c r="AG68" i="1"/>
  <c r="AJ84" i="1" l="1"/>
  <c r="AJ82" i="1"/>
  <c r="AK84" i="1"/>
  <c r="AK82" i="1"/>
  <c r="AI84" i="1"/>
  <c r="AI82" i="1"/>
  <c r="AH84" i="1"/>
  <c r="AH82" i="1"/>
  <c r="AL76" i="1"/>
  <c r="AL80" i="1" s="1"/>
  <c r="F6" i="1"/>
  <c r="E6" i="1" s="1"/>
  <c r="D6" i="1" s="1"/>
  <c r="C6" i="1" s="1"/>
  <c r="AL78" i="1" l="1"/>
  <c r="AL144" i="1"/>
  <c r="AS28" i="5" s="1"/>
  <c r="AS27" i="5"/>
  <c r="AL82" i="1"/>
  <c r="AL84" i="1"/>
  <c r="AL85" i="1" l="1"/>
  <c r="AS11" i="5" s="1"/>
  <c r="AS22" i="5" s="1"/>
  <c r="AQ33" i="1"/>
  <c r="AQ36" i="1" l="1"/>
  <c r="AQ42" i="1" s="1"/>
  <c r="AQ20" i="1"/>
  <c r="AQ21" i="1" s="1"/>
  <c r="AV33" i="1"/>
  <c r="AQ50" i="1"/>
  <c r="AQ51" i="1" s="1"/>
  <c r="AQ215" i="1" l="1"/>
  <c r="AQ236" i="1" s="1"/>
  <c r="AQ61" i="1"/>
  <c r="AQ43" i="1"/>
  <c r="AQ37" i="1"/>
  <c r="AV36" i="1"/>
  <c r="AV42" i="1" s="1"/>
  <c r="AV20" i="1"/>
  <c r="BA33" i="1"/>
  <c r="AX7" i="5"/>
  <c r="AX17" i="5" s="1"/>
  <c r="AQ150" i="1"/>
  <c r="AQ149" i="1"/>
  <c r="AV50" i="1"/>
  <c r="AV51" i="1" s="1"/>
  <c r="AQ69" i="1"/>
  <c r="AQ203" i="1" s="1"/>
  <c r="AQ58" i="1"/>
  <c r="AQ53" i="1"/>
  <c r="AQ54" i="1" s="1"/>
  <c r="AQ52" i="1"/>
  <c r="AV43" i="1" l="1"/>
  <c r="AQ151" i="1"/>
  <c r="AQ165" i="1"/>
  <c r="AV37" i="1"/>
  <c r="AV52" i="1"/>
  <c r="AV61" i="1"/>
  <c r="BA50" i="1"/>
  <c r="BA51" i="1" s="1"/>
  <c r="BA61" i="1" s="1"/>
  <c r="BA20" i="1"/>
  <c r="AV21" i="1"/>
  <c r="AV22" i="1"/>
  <c r="BA36" i="1"/>
  <c r="BC7" i="5"/>
  <c r="BC17" i="5" s="1"/>
  <c r="AQ207" i="1"/>
  <c r="AQ167" i="1"/>
  <c r="AQ168" i="1"/>
  <c r="AQ164" i="1"/>
  <c r="AQ173" i="1"/>
  <c r="AV173" i="1" s="1"/>
  <c r="AV58" i="1"/>
  <c r="AV149" i="1"/>
  <c r="AV150" i="1"/>
  <c r="AV69" i="1"/>
  <c r="AV203" i="1" s="1"/>
  <c r="AV215" i="1"/>
  <c r="AV217" i="1" s="1"/>
  <c r="AV53" i="1"/>
  <c r="AV54" i="1" s="1"/>
  <c r="BA58" i="1" l="1"/>
  <c r="BA52" i="1"/>
  <c r="BA173" i="1" s="1"/>
  <c r="AV165" i="1"/>
  <c r="BA215" i="1"/>
  <c r="BA217" i="1" s="1"/>
  <c r="BA149" i="1"/>
  <c r="BA207" i="1" s="1"/>
  <c r="AV151" i="1"/>
  <c r="BA151" i="1" s="1"/>
  <c r="AQ209" i="1"/>
  <c r="BH7" i="5"/>
  <c r="BH17" i="5" s="1"/>
  <c r="BA53" i="1"/>
  <c r="BA150" i="1"/>
  <c r="AV164" i="1"/>
  <c r="BA21" i="1"/>
  <c r="BA22" i="1"/>
  <c r="BA23" i="1" s="1"/>
  <c r="BA69" i="1"/>
  <c r="BA203" i="1" s="1"/>
  <c r="AV167" i="1"/>
  <c r="BA37" i="1"/>
  <c r="BA42" i="1"/>
  <c r="BA43" i="1"/>
  <c r="AV238" i="1"/>
  <c r="AV91" i="1"/>
  <c r="BA54" i="1"/>
  <c r="AV168" i="1"/>
  <c r="AV207" i="1"/>
  <c r="AQ208" i="1"/>
  <c r="BA167" i="1" l="1"/>
  <c r="BA164" i="1"/>
  <c r="BA91" i="1"/>
  <c r="BA165" i="1"/>
  <c r="BA238" i="1"/>
  <c r="BA208" i="1"/>
  <c r="AV209" i="1"/>
  <c r="AV208" i="1"/>
  <c r="BA168" i="1"/>
  <c r="AQ217" i="1" l="1"/>
  <c r="AQ91" i="1" l="1"/>
  <c r="AQ238" i="1"/>
  <c r="AQ155" i="1"/>
  <c r="AV155" i="1" s="1"/>
  <c r="BA155" i="1" s="1"/>
  <c r="AQ64" i="1"/>
  <c r="BA64" i="1"/>
  <c r="AV64" i="1"/>
  <c r="AV163" i="1" s="1"/>
  <c r="AV170" i="1" l="1"/>
  <c r="AQ66" i="1"/>
  <c r="AQ65" i="1"/>
  <c r="AQ163" i="1"/>
  <c r="AV210" i="1" s="1"/>
  <c r="BA65" i="1"/>
  <c r="BA163" i="1"/>
  <c r="BA66" i="1"/>
  <c r="AV65" i="1"/>
  <c r="AV66" i="1"/>
  <c r="AV67" i="1" l="1"/>
  <c r="AV71" i="1"/>
  <c r="BA71" i="1"/>
  <c r="BA67" i="1"/>
  <c r="BA170" i="1"/>
  <c r="BA210" i="1"/>
  <c r="AQ67" i="1"/>
  <c r="AQ68" i="1" s="1"/>
  <c r="AQ71" i="1"/>
  <c r="AQ210" i="1"/>
  <c r="AQ170" i="1"/>
  <c r="BA68" i="1" l="1"/>
  <c r="AQ72" i="1"/>
  <c r="AQ74" i="1"/>
  <c r="BA74" i="1"/>
  <c r="BA72" i="1"/>
  <c r="AV74" i="1"/>
  <c r="AV72" i="1"/>
  <c r="AV68" i="1"/>
  <c r="BA139" i="1" l="1"/>
  <c r="AQ139" i="1"/>
  <c r="AV139" i="1"/>
  <c r="BA76" i="1"/>
  <c r="AV76" i="1"/>
  <c r="AQ76" i="1"/>
  <c r="AV77" i="1" l="1"/>
  <c r="AV126" i="1"/>
  <c r="AQ77" i="1"/>
  <c r="AQ126" i="1"/>
  <c r="BA77" i="1"/>
  <c r="BA126" i="1"/>
  <c r="BA131" i="1" s="1"/>
  <c r="AQ102" i="1" l="1"/>
  <c r="BA102" i="1"/>
  <c r="AV102" i="1"/>
  <c r="AQ80" i="1"/>
  <c r="AQ84" i="1" s="1"/>
  <c r="AV80" i="1"/>
  <c r="AQ128" i="1"/>
  <c r="AQ134" i="1" s="1"/>
  <c r="AQ131" i="1"/>
  <c r="AQ132" i="1"/>
  <c r="AV130" i="1" s="1"/>
  <c r="BA80" i="1"/>
  <c r="AV128" i="1"/>
  <c r="AV131" i="1"/>
  <c r="AQ205" i="1" l="1"/>
  <c r="AQ174" i="1" s="1"/>
  <c r="AV132" i="1"/>
  <c r="BA130" i="1" s="1"/>
  <c r="BA132" i="1" s="1"/>
  <c r="AV134" i="1"/>
  <c r="AV205" i="1" s="1"/>
  <c r="AQ202" i="1"/>
  <c r="AQ179" i="1"/>
  <c r="AV179" i="1" s="1"/>
  <c r="BA179" i="1" s="1"/>
  <c r="AQ82" i="1"/>
  <c r="AQ85" i="1" s="1"/>
  <c r="AX11" i="5" s="1"/>
  <c r="AX22" i="5" s="1"/>
  <c r="BA84" i="1"/>
  <c r="BA202" i="1"/>
  <c r="BA82" i="1"/>
  <c r="BA87" i="1" s="1"/>
  <c r="AV82" i="1"/>
  <c r="AV87" i="1" s="1"/>
  <c r="AV84" i="1"/>
  <c r="AV202" i="1"/>
  <c r="AQ135" i="1" l="1"/>
  <c r="AQ136" i="1" s="1"/>
  <c r="AL135" i="1"/>
  <c r="AQ87" i="1"/>
  <c r="AQ89" i="1" s="1"/>
  <c r="AV174" i="1"/>
  <c r="AQ175" i="1"/>
  <c r="AQ180" i="1" s="1"/>
  <c r="BA85" i="1"/>
  <c r="BH11" i="5" s="1"/>
  <c r="BH22" i="5" s="1"/>
  <c r="AV85" i="1"/>
  <c r="BC11" i="5" s="1"/>
  <c r="BC22" i="5" s="1"/>
  <c r="AL136" i="1" l="1"/>
  <c r="E22" i="5"/>
  <c r="F22" i="5" s="1"/>
  <c r="G22" i="5" s="1"/>
  <c r="AQ121" i="1"/>
  <c r="AQ122" i="1"/>
  <c r="AQ185" i="1"/>
  <c r="AQ187" i="1" s="1"/>
  <c r="AQ93" i="1"/>
  <c r="AQ237" i="1"/>
  <c r="AX9" i="5"/>
  <c r="AX18" i="5" s="1"/>
  <c r="BA174" i="1"/>
  <c r="AV175" i="1"/>
  <c r="AV180" i="1" s="1"/>
  <c r="BA175" i="1" l="1"/>
  <c r="BA180" i="1" s="1"/>
  <c r="AQ95" i="1"/>
  <c r="AQ123" i="1"/>
  <c r="AX21" i="5"/>
  <c r="AQ100" i="1"/>
  <c r="AQ103" i="1" s="1"/>
  <c r="AX15" i="5" s="1"/>
  <c r="AX23" i="5" s="1"/>
  <c r="AX13" i="5"/>
  <c r="AQ97" i="1"/>
  <c r="AX14" i="5" s="1"/>
  <c r="AX19" i="5" s="1"/>
  <c r="AQ105" i="1" l="1"/>
  <c r="AQ108" i="1" l="1"/>
  <c r="AQ109" i="1"/>
  <c r="AQ107" i="1"/>
  <c r="AQ106" i="1"/>
  <c r="AQ15" i="1"/>
  <c r="AV15" i="1"/>
  <c r="AQ22" i="1"/>
  <c r="AQ23" i="1" s="1"/>
  <c r="AV23" i="1" l="1"/>
  <c r="AV89" i="1"/>
  <c r="AV237" i="1" s="1"/>
  <c r="BC9" i="5" l="1"/>
  <c r="BC18" i="5" s="1"/>
  <c r="AV93" i="1"/>
  <c r="AV123" i="1" s="1"/>
  <c r="AV122" i="1"/>
  <c r="AV121" i="1"/>
  <c r="AV185" i="1"/>
  <c r="AV187" i="1" s="1"/>
  <c r="E16" i="5" l="1"/>
  <c r="E18" i="5" s="1"/>
  <c r="BC21" i="5"/>
  <c r="AV100" i="1"/>
  <c r="AV103" i="1" s="1"/>
  <c r="BC15" i="5" s="1"/>
  <c r="BC23" i="5" s="1"/>
  <c r="AV95" i="1"/>
  <c r="BC13" i="5"/>
  <c r="AV97" i="1"/>
  <c r="BC14" i="5" s="1"/>
  <c r="BC19" i="5" s="1"/>
  <c r="AV105" i="1" l="1"/>
  <c r="AV109" i="1" s="1"/>
  <c r="AV106" i="1"/>
  <c r="AV108" i="1"/>
  <c r="AV107" i="1"/>
  <c r="BA89" i="1"/>
  <c r="BA237" i="1" s="1"/>
  <c r="BA93" i="1" l="1"/>
  <c r="BA123" i="1" s="1"/>
  <c r="BA121" i="1"/>
  <c r="BA122" i="1"/>
  <c r="BA185" i="1"/>
  <c r="BA187" i="1" s="1"/>
  <c r="BH9" i="5"/>
  <c r="BH13" i="5" l="1"/>
  <c r="BA95" i="1"/>
  <c r="BA100" i="1"/>
  <c r="BA103" i="1" s="1"/>
  <c r="BA105" i="1" s="1"/>
  <c r="BA109" i="1" s="1"/>
  <c r="BA97" i="1"/>
  <c r="BH14" i="5" s="1"/>
  <c r="BH19" i="5" s="1"/>
  <c r="BH18" i="5"/>
  <c r="BH21" i="5"/>
  <c r="BH15" i="5" l="1"/>
  <c r="BH23" i="5" s="1"/>
  <c r="BA108" i="1"/>
  <c r="BA106" i="1"/>
  <c r="BA107" i="1"/>
  <c r="BC28" i="5"/>
  <c r="AV144" i="1"/>
  <c r="AV141" i="1"/>
  <c r="AX28" i="5"/>
  <c r="AQ144" i="1"/>
  <c r="AQ141" i="1"/>
  <c r="G27" i="5"/>
  <c r="G24" i="5"/>
  <c r="G16" i="5"/>
  <c r="G18" i="5"/>
  <c r="G21" i="5"/>
  <c r="E27" i="5"/>
  <c r="AX27" i="5"/>
  <c r="AQ140" i="1"/>
  <c r="AQ143" i="1"/>
  <c r="BH26" i="5"/>
  <c r="BA186" i="1"/>
  <c r="BA115" i="1"/>
  <c r="AQ115" i="1"/>
  <c r="AQ189" i="1"/>
  <c r="F27" i="5"/>
  <c r="F24" i="5"/>
  <c r="F21" i="5"/>
  <c r="F18" i="5"/>
  <c r="F16" i="5"/>
  <c r="AQ158" i="1"/>
  <c r="AQ161" i="1"/>
  <c r="E21" i="5"/>
  <c r="E24" i="5"/>
  <c r="G29" i="5"/>
  <c r="G30" i="5"/>
  <c r="E19" i="5"/>
  <c r="F19" i="5"/>
  <c r="G19" i="5"/>
  <c r="AV140" i="1"/>
  <c r="AV143" i="1"/>
  <c r="BC27" i="5"/>
  <c r="AV115" i="1"/>
  <c r="AV158" i="1"/>
  <c r="AV161" i="1"/>
  <c r="AV189" i="1"/>
  <c r="AV230" i="1"/>
  <c r="AX25" i="5"/>
  <c r="BA230" i="1"/>
  <c r="AQ184" i="1"/>
  <c r="AQ186" i="1"/>
  <c r="AX26" i="5"/>
  <c r="BA184" i="1"/>
  <c r="BH25" i="5"/>
  <c r="BA189" i="1"/>
  <c r="BC25" i="5"/>
  <c r="AV184" i="1"/>
  <c r="AV186" i="1"/>
  <c r="BC26" i="5"/>
  <c r="BA141" i="1"/>
  <c r="BA144" i="1"/>
  <c r="BH28" i="5"/>
  <c r="BA161" i="1"/>
  <c r="BA197" i="1"/>
  <c r="BA158" i="1"/>
  <c r="AQ198" i="1"/>
  <c r="AQ212" i="1"/>
  <c r="AQ213" i="1"/>
  <c r="AQ229" i="1"/>
  <c r="AQ231" i="1"/>
  <c r="AQ148" i="1"/>
  <c r="AQ153" i="1"/>
  <c r="AQ197" i="1"/>
  <c r="AV198" i="1"/>
  <c r="AV212" i="1"/>
  <c r="AV213" i="1"/>
  <c r="AV229" i="1"/>
  <c r="AV231" i="1"/>
  <c r="AV148" i="1"/>
  <c r="AV153" i="1"/>
  <c r="AV197" i="1"/>
  <c r="BA198" i="1"/>
  <c r="BA212" i="1"/>
  <c r="BA213" i="1"/>
  <c r="BA229" i="1"/>
  <c r="BA231" i="1"/>
  <c r="BA148" i="1"/>
  <c r="BA153" i="1"/>
  <c r="BA140" i="1"/>
  <c r="BA143" i="1"/>
  <c r="BH27" i="5"/>
</calcChain>
</file>

<file path=xl/sharedStrings.xml><?xml version="1.0" encoding="utf-8"?>
<sst xmlns="http://schemas.openxmlformats.org/spreadsheetml/2006/main" count="476" uniqueCount="316">
  <si>
    <t>$mn (Dec FY-end)</t>
  </si>
  <si>
    <t>EBITDA</t>
  </si>
  <si>
    <t>Q1</t>
  </si>
  <si>
    <t>Q2</t>
  </si>
  <si>
    <t>Q3</t>
  </si>
  <si>
    <t>Q4</t>
  </si>
  <si>
    <t>Q4E</t>
  </si>
  <si>
    <t>Q1E</t>
  </si>
  <si>
    <t>Q2E</t>
  </si>
  <si>
    <t>Q3E</t>
  </si>
  <si>
    <t>2016E</t>
  </si>
  <si>
    <t>2017E</t>
  </si>
  <si>
    <t>2018E</t>
  </si>
  <si>
    <t>REVENUE DRIVERS</t>
  </si>
  <si>
    <t>INCOME STATEMENT</t>
  </si>
  <si>
    <t>% margin</t>
  </si>
  <si>
    <t>Operating Income</t>
  </si>
  <si>
    <t xml:space="preserve"> </t>
  </si>
  <si>
    <t>Total Revenue</t>
  </si>
  <si>
    <t>Six Flags (SIX)</t>
  </si>
  <si>
    <t>Attendance ('000s)</t>
  </si>
  <si>
    <t>growth y/y %</t>
  </si>
  <si>
    <t>Per Caps</t>
  </si>
  <si>
    <t>Admissions</t>
  </si>
  <si>
    <t>In-park spend</t>
  </si>
  <si>
    <t>Sponsorship &amp; licensing</t>
  </si>
  <si>
    <t>Accomodation</t>
  </si>
  <si>
    <t>Earnings Model</t>
  </si>
  <si>
    <t>Per Cap Revenue</t>
  </si>
  <si>
    <t>Segment Revenues</t>
  </si>
  <si>
    <t>TO DO</t>
  </si>
  <si>
    <t>% of sales</t>
  </si>
  <si>
    <t>Total Expenses</t>
  </si>
  <si>
    <t>-</t>
  </si>
  <si>
    <t>(-) Cost of Products Sold</t>
  </si>
  <si>
    <t>(-) Depreciation &amp; Amortization</t>
  </si>
  <si>
    <t>(-/+) Other Expense (Income)</t>
  </si>
  <si>
    <t>(-) Net Interest Expense</t>
  </si>
  <si>
    <t>Pre-Tax Income</t>
  </si>
  <si>
    <t>Effective Tax Rate %</t>
  </si>
  <si>
    <t>(-) Minority Interest</t>
  </si>
  <si>
    <t>Net Income (GAAP)</t>
  </si>
  <si>
    <t>(-/+) Adjustments</t>
  </si>
  <si>
    <t>(-/+) Income Tax Expense (Benefit)</t>
  </si>
  <si>
    <t>EPS (GAAP)</t>
  </si>
  <si>
    <t>EPS (Adj.)</t>
  </si>
  <si>
    <t>Net Income (Adj.)</t>
  </si>
  <si>
    <t>BALANCE SHEET</t>
  </si>
  <si>
    <t>Cash &amp; Equivalents</t>
  </si>
  <si>
    <t>Accounts Receivable</t>
  </si>
  <si>
    <t>Inventories</t>
  </si>
  <si>
    <t>Prepaid Expenses &amp; Other Current Assets</t>
  </si>
  <si>
    <t>Deferred income taxes</t>
  </si>
  <si>
    <t>Current Assets</t>
  </si>
  <si>
    <t>Net PP&amp;E</t>
  </si>
  <si>
    <t>Debt Issuance Costs</t>
  </si>
  <si>
    <t>Deposits &amp; Other Assets</t>
  </si>
  <si>
    <t>Restricted Securities</t>
  </si>
  <si>
    <t>Goodwill</t>
  </si>
  <si>
    <t>Intangible Assets</t>
  </si>
  <si>
    <t>Total Assets</t>
  </si>
  <si>
    <t>Accounts Payable</t>
  </si>
  <si>
    <t>Accrued Compensation &amp; Payroll</t>
  </si>
  <si>
    <t>Accrued Insurance Reserves</t>
  </si>
  <si>
    <t>Accrued Interest</t>
  </si>
  <si>
    <t>Other Accrued</t>
  </si>
  <si>
    <t>Deferred Income</t>
  </si>
  <si>
    <t>Current Portion of LTD</t>
  </si>
  <si>
    <t>Current Liabilities</t>
  </si>
  <si>
    <t>Long-Term Debt</t>
  </si>
  <si>
    <t>Other Long-Term Liabilities</t>
  </si>
  <si>
    <t>Total Liabilities</t>
  </si>
  <si>
    <t>Redeemable Noncontrolling Interests</t>
  </si>
  <si>
    <t>Total Equity</t>
  </si>
  <si>
    <t>Total Liabilities and Equity</t>
  </si>
  <si>
    <t>CASH FLOW</t>
  </si>
  <si>
    <t>(-) Operating Expenses (ex-D&amp;A)</t>
  </si>
  <si>
    <t>(-) Cash Interest</t>
  </si>
  <si>
    <t>(-) Capex</t>
  </si>
  <si>
    <t>(-) Cash Taxes</t>
  </si>
  <si>
    <t>TRADING STATISTICS</t>
  </si>
  <si>
    <t>Shares outstanding (M)</t>
  </si>
  <si>
    <t>Market cap</t>
  </si>
  <si>
    <t>Net debt</t>
  </si>
  <si>
    <t>Minority interest</t>
  </si>
  <si>
    <t>Enterprise value</t>
  </si>
  <si>
    <t>EBITDA VALUATION</t>
  </si>
  <si>
    <t>Base</t>
  </si>
  <si>
    <t>Upside</t>
  </si>
  <si>
    <t>Downside</t>
  </si>
  <si>
    <t>EV/EBITDA</t>
  </si>
  <si>
    <t>EV</t>
  </si>
  <si>
    <t>Net debt (2017)</t>
  </si>
  <si>
    <t>Equity</t>
  </si>
  <si>
    <t>Shares outstanding (m)</t>
  </si>
  <si>
    <t>Implied Price per Share</t>
  </si>
  <si>
    <t>Probability</t>
  </si>
  <si>
    <t>Premium/(Discount)</t>
  </si>
  <si>
    <t>Total Weighted Average Price:</t>
  </si>
  <si>
    <t>Premium/Discount</t>
  </si>
  <si>
    <t>Dashboard Summary</t>
  </si>
  <si>
    <t>$M, unless otherwise stated</t>
  </si>
  <si>
    <t>Revenue</t>
  </si>
  <si>
    <t>Consensus</t>
  </si>
  <si>
    <t>FCF ($)</t>
  </si>
  <si>
    <t>Revenue growth</t>
  </si>
  <si>
    <t>EBITDA margin</t>
  </si>
  <si>
    <t>P/EPS</t>
  </si>
  <si>
    <t>Net debt / EBITDA</t>
  </si>
  <si>
    <t>ROIC (ex-goodwill &amp; intangibles)</t>
  </si>
  <si>
    <t>Adj. EPS ($)</t>
  </si>
  <si>
    <t>Net Income</t>
  </si>
  <si>
    <t>D&amp;A</t>
  </si>
  <si>
    <t>Stock-based compensation</t>
  </si>
  <si>
    <t>Change in AR</t>
  </si>
  <si>
    <t>Other</t>
  </si>
  <si>
    <t>Change in AP/Deferred/Accrued liabilities</t>
  </si>
  <si>
    <t>Change in WC</t>
  </si>
  <si>
    <t>Cash from Operations</t>
  </si>
  <si>
    <t>Capex</t>
  </si>
  <si>
    <t>Cash from Investing</t>
  </si>
  <si>
    <t>Repayment of borrowings</t>
  </si>
  <si>
    <t>Proceeds from borrowings</t>
  </si>
  <si>
    <t>Issuance of common stock</t>
  </si>
  <si>
    <t>Repurchases of common stock</t>
  </si>
  <si>
    <t>Dividends Paid</t>
  </si>
  <si>
    <t>Noncontrolling interest distributions</t>
  </si>
  <si>
    <t>Cash from Financing</t>
  </si>
  <si>
    <t>FX Effect</t>
  </si>
  <si>
    <t>Change in cash</t>
  </si>
  <si>
    <t>Ending cash</t>
  </si>
  <si>
    <t>Beginning cash</t>
  </si>
  <si>
    <t>Cash interest paid</t>
  </si>
  <si>
    <t>Cash taxes paid</t>
  </si>
  <si>
    <t>Season Pass % of Total</t>
  </si>
  <si>
    <t>Adj. EBITDA</t>
  </si>
  <si>
    <t>Consolidated Revenue</t>
  </si>
  <si>
    <t>FCF/EBITDA %</t>
  </si>
  <si>
    <t>19% full time / 11% seasonal are union</t>
  </si>
  <si>
    <t>Dividends/share</t>
  </si>
  <si>
    <t>Change in Inventories/prepaid/other CA</t>
  </si>
  <si>
    <t>Change in Deposits/other assets</t>
  </si>
  <si>
    <t>Change in Accrued interest payable</t>
  </si>
  <si>
    <t>Deferred Income tax expense (benefit)</t>
  </si>
  <si>
    <t>DEBT SCHEDULE</t>
  </si>
  <si>
    <t>Net discount</t>
  </si>
  <si>
    <t>Deferred financing costs</t>
  </si>
  <si>
    <t>Long-term debt</t>
  </si>
  <si>
    <t>Less: current portion</t>
  </si>
  <si>
    <t>Total long-term debt</t>
  </si>
  <si>
    <t>NOL's: $400m Federal income tax,  $3.8B of state income tax</t>
  </si>
  <si>
    <t>underfunded pension of $50.3m</t>
  </si>
  <si>
    <t>Underfunded Pension</t>
  </si>
  <si>
    <t>rent expense was $5.1m in 2015</t>
  </si>
  <si>
    <t>op leases: total of $149.8m</t>
  </si>
  <si>
    <t>2016 capex: add $15-18m for mexico park - incremental to 9% of revenue capex plan</t>
  </si>
  <si>
    <t>Deferred Income Taxes</t>
  </si>
  <si>
    <t>Fully-Taxed Free Cash Flow</t>
  </si>
  <si>
    <t>Adj. EBITDA Margin %</t>
  </si>
  <si>
    <t>Capex/D&amp;A %</t>
  </si>
  <si>
    <t>(-) Stock-Based Comp</t>
  </si>
  <si>
    <t>AR Days</t>
  </si>
  <si>
    <t>Inventory Days</t>
  </si>
  <si>
    <t>AP Days</t>
  </si>
  <si>
    <t>Net Debt</t>
  </si>
  <si>
    <t>Adjusted EBITDA</t>
  </si>
  <si>
    <t>Net Debt / EBITDA</t>
  </si>
  <si>
    <t>Gross Debt / EBITDA</t>
  </si>
  <si>
    <t>Adj. EBITDA 2017</t>
  </si>
  <si>
    <t>Add back: Cash Taxes</t>
  </si>
  <si>
    <t>Less: Book Taxes</t>
  </si>
  <si>
    <t>y/y growth %</t>
  </si>
  <si>
    <t>FCF Adjustments</t>
  </si>
  <si>
    <t>NOL Analysis</t>
  </si>
  <si>
    <t>Tax Rate</t>
  </si>
  <si>
    <t>Taxes from Tax Rate</t>
  </si>
  <si>
    <t>BOP NOLs</t>
  </si>
  <si>
    <t>Reported Pre-Tax Income</t>
  </si>
  <si>
    <t>EOP NOLs</t>
  </si>
  <si>
    <t>Tax Savings</t>
  </si>
  <si>
    <t>PV of Future Tax Savings (10% disc. rate)</t>
  </si>
  <si>
    <t>Fully-Taxed FCF</t>
  </si>
  <si>
    <t>Fully-Taxed FCF Yield %</t>
  </si>
  <si>
    <t>NOPAT</t>
  </si>
  <si>
    <t>Invested Capital</t>
  </si>
  <si>
    <t>Invested Capital (ex-goodwill/intangibles)</t>
  </si>
  <si>
    <t>ROIC</t>
  </si>
  <si>
    <t>ROIC (ex-goodwill/intangibles)</t>
  </si>
  <si>
    <t>notes</t>
  </si>
  <si>
    <t>35-39% per IR</t>
  </si>
  <si>
    <t>Line Items $m, except where noted</t>
  </si>
  <si>
    <t>FCF/share (diluted)</t>
  </si>
  <si>
    <t>Return Metrics</t>
  </si>
  <si>
    <t>Working Capital</t>
  </si>
  <si>
    <t>Leverage Metrics</t>
  </si>
  <si>
    <t>EBIT</t>
  </si>
  <si>
    <t>FCF/share growth</t>
  </si>
  <si>
    <t>Other / Amort</t>
  </si>
  <si>
    <t>Guidance /</t>
  </si>
  <si>
    <t>sensitivity analysis</t>
  </si>
  <si>
    <t>Less: Stock-Based Comp</t>
  </si>
  <si>
    <t>Capex/Adj. EBITDA %</t>
  </si>
  <si>
    <t>Capex/Sales %</t>
  </si>
  <si>
    <t>per share $</t>
  </si>
  <si>
    <t>Adj. EBITDA Growth %</t>
  </si>
  <si>
    <t>% of Revenue</t>
  </si>
  <si>
    <t>Net Working Capital</t>
  </si>
  <si>
    <t>change y/y</t>
  </si>
  <si>
    <t>Free Cash Flow (Co. Defined)</t>
  </si>
  <si>
    <t>Basic Shares</t>
  </si>
  <si>
    <t>Cash EPS (Co. Defined)</t>
  </si>
  <si>
    <t>Modified EBITDA (Co. Defined)</t>
  </si>
  <si>
    <t>Adj. EBITDA (Co. Defined)</t>
  </si>
  <si>
    <t>Diluted Shares</t>
  </si>
  <si>
    <t>goal of $3.75 by $2017</t>
  </si>
  <si>
    <t>$600m by 2017</t>
  </si>
  <si>
    <t>Shares Outstanding (diluted, avg.)</t>
  </si>
  <si>
    <t>Free Cash Flow (Co. defined)</t>
  </si>
  <si>
    <t>Operating Leases</t>
  </si>
  <si>
    <t>Rent Expense</t>
  </si>
  <si>
    <t>x8</t>
  </si>
  <si>
    <t>Employee Stock Purchase Plan</t>
  </si>
  <si>
    <t>LTIP</t>
  </si>
  <si>
    <t>Total Equity Comp Plans</t>
  </si>
  <si>
    <t xml:space="preserve">Size </t>
  </si>
  <si>
    <t>Owned/Leased</t>
  </si>
  <si>
    <t>Owned</t>
  </si>
  <si>
    <t>Vallejo, CA</t>
  </si>
  <si>
    <t>Largo, MD</t>
  </si>
  <si>
    <t>Location</t>
  </si>
  <si>
    <t>San Antonio, TX</t>
  </si>
  <si>
    <t>Jackson, NJ</t>
  </si>
  <si>
    <t>Gurnee, IL</t>
  </si>
  <si>
    <t>Arlington, TX</t>
  </si>
  <si>
    <t>Valencia, CA</t>
  </si>
  <si>
    <t>Occupied pursuant to permit agreement</t>
  </si>
  <si>
    <t>Mexico City</t>
  </si>
  <si>
    <t>Agawam, MA</t>
  </si>
  <si>
    <t>Leased</t>
  </si>
  <si>
    <t>Queensbury, NY</t>
  </si>
  <si>
    <t>Austell, GA</t>
  </si>
  <si>
    <t>Eureka, MO</t>
  </si>
  <si>
    <t>Marietta, GA</t>
  </si>
  <si>
    <t>La Ronde, Montreal</t>
  </si>
  <si>
    <t>Operating Cash Flow</t>
  </si>
  <si>
    <t>Buybacks+Dividends</t>
  </si>
  <si>
    <t>Payment Due by Period</t>
  </si>
  <si>
    <t>2017 - 2018</t>
  </si>
  <si>
    <t>2019 - 2020</t>
  </si>
  <si>
    <t>2021 and beyond</t>
  </si>
  <si>
    <t>Total</t>
  </si>
  <si>
    <t>Real Estate / Op Leases</t>
  </si>
  <si>
    <t>Advertising Expense</t>
  </si>
  <si>
    <t>% of Sales</t>
  </si>
  <si>
    <t>Term Loan B  (3.50% rate)</t>
  </si>
  <si>
    <t>2021 Notes (5.25% rate)</t>
  </si>
  <si>
    <t>HWP Refinance Loan (6.72% rate)</t>
  </si>
  <si>
    <t>Corporate SG&amp;A (ex-SBC)</t>
  </si>
  <si>
    <t>Park SG&amp;A</t>
  </si>
  <si>
    <t>(-) SG&amp;A (ex-D&amp;A and SBC)</t>
  </si>
  <si>
    <t>Weighted-Average Exercise Price ($)</t>
  </si>
  <si>
    <t>Intrinsic Value</t>
  </si>
  <si>
    <t>Balance of Stock Options</t>
  </si>
  <si>
    <t>Options Exerciseable today</t>
  </si>
  <si>
    <t>2015 Options Data</t>
  </si>
  <si>
    <t>IN FEBRUARY 2016:</t>
  </si>
  <si>
    <t>Accrued Total</t>
  </si>
  <si>
    <t>If they hit $600m modified by 2017</t>
  </si>
  <si>
    <t>Shares (NONE RECORDED)</t>
  </si>
  <si>
    <t>Worth if hit ($m)</t>
  </si>
  <si>
    <t>in 1Q - 1.5m shares</t>
  </si>
  <si>
    <t>Remaining Repo:</t>
  </si>
  <si>
    <t>http://dealbook.nytimes.com/2009/06/13/six-flags-files-for-bankruptcy/</t>
  </si>
  <si>
    <t>http://www.turnaround.org/cmaextras/2.SixFlagsEntertainment-Paper2014.pdf</t>
  </si>
  <si>
    <t>Read about season passes</t>
  </si>
  <si>
    <t>Tangible Book Value</t>
  </si>
  <si>
    <t>Growth y/y %</t>
  </si>
  <si>
    <t>Bull</t>
  </si>
  <si>
    <t>Bear</t>
  </si>
  <si>
    <t>In-Park Spend</t>
  </si>
  <si>
    <t>Announced</t>
  </si>
  <si>
    <t>Revenue Drivers</t>
  </si>
  <si>
    <t>Cost Drivers</t>
  </si>
  <si>
    <t>Opex/Sales %</t>
  </si>
  <si>
    <t>SG&amp;A/Sales %</t>
  </si>
  <si>
    <t>In-Park Gross Margin</t>
  </si>
  <si>
    <t>FCF/share ("Cash EPS")</t>
  </si>
  <si>
    <t>Cumulative 2011-2015</t>
  </si>
  <si>
    <t>Add: PV of NOL</t>
  </si>
  <si>
    <t>P/TBV (TTM)</t>
  </si>
  <si>
    <t>SIX Drivers</t>
  </si>
  <si>
    <t>Minority Interest</t>
  </si>
  <si>
    <t>Annual visits per member?</t>
  </si>
  <si>
    <t>**double check proxy</t>
  </si>
  <si>
    <t>Projected</t>
  </si>
  <si>
    <t>China/Dubai int'l details</t>
  </si>
  <si>
    <t>model on a per cap basis - quarterly as well</t>
  </si>
  <si>
    <t>Real estate / liquidation analysis</t>
  </si>
  <si>
    <t>% gross margin on in-park spend</t>
  </si>
  <si>
    <t>$15-20m per IR through 2018</t>
  </si>
  <si>
    <t>**this doesn't match up with how the NOL's should work - see "Notes"</t>
  </si>
  <si>
    <t>$70-74m per IR through 2018</t>
  </si>
  <si>
    <t>% FCF Yield to current market cap</t>
  </si>
  <si>
    <t>** #1 priority per IR - grow div, then buybacks</t>
  </si>
  <si>
    <t>Capital Allocation</t>
  </si>
  <si>
    <t>Cumulative Deficit</t>
  </si>
  <si>
    <t>Variance b/w co-defined &amp; "economic" FCF</t>
  </si>
  <si>
    <t>2016 incl. 15-18m Capex for Mexico Park</t>
  </si>
  <si>
    <t>OTHER</t>
  </si>
  <si>
    <t>EQUITY/COMP</t>
  </si>
  <si>
    <t>Adj. FCF/share (basic)</t>
  </si>
  <si>
    <t>Adj. FCF/share (diluted)</t>
  </si>
  <si>
    <t>Adj. Free Cash Flow</t>
  </si>
  <si>
    <t>SIX (Six Flags)</t>
  </si>
  <si>
    <t>Share price ($)</t>
  </si>
  <si>
    <t>SBC/NOL/cash tax modeling - IR's answer is opaque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</si>
</sst>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&quot;$&quot;#,##0.00"/>
    <numFmt numFmtId="165" formatCode="&quot;$&quot;#,##0"/>
    <numFmt numFmtId="166" formatCode="0.0%"/>
    <numFmt numFmtId="167" formatCode="#,##0.0"/>
    <numFmt numFmtId="168" formatCode="#,##0.0_);\(#,##0.0\);\–_);&quot;–&quot;_)"/>
    <numFmt numFmtId="169" formatCode="#,##0_);\(#,##0\);\–_);&quot;–&quot;_)"/>
    <numFmt numFmtId="170" formatCode="0.0%_);\(0.0%\);&quot;–&quot;_)"/>
    <numFmt numFmtId="171" formatCode="#,##0.00_);\(#,##0.00\);\–_);&quot;–&quot;_)"/>
    <numFmt numFmtId="172" formatCode="&quot;$&quot;#,##0.00_);\(&quot;$&quot;#,##0.00\);\–_);&quot;–&quot;_)"/>
    <numFmt numFmtId="173" formatCode="_(* #,##0.0_);_(* \(#,##0.0\);_(* &quot;-&quot;??_);_(@_)"/>
    <numFmt numFmtId="174" formatCode="0.0\x"/>
    <numFmt numFmtId="175" formatCode="0.0\x_);\(0.0\x\);&quot;–&quot;_)"/>
    <numFmt numFmtId="176" formatCode="#,##0.000_);\(#,##0.000\)"/>
    <numFmt numFmtId="177" formatCode="&quot;$&quot;#,##0.0_);\(&quot;$&quot;#,##0.0\);\–_);&quot;–&quot;_)"/>
    <numFmt numFmtId="178" formatCode="#,##0.000_);\(#,##0.000\);\–_);&quot;–&quot;_)"/>
    <numFmt numFmtId="179" formatCode="0.00\x_);\(0.00\x\);&quot;–&quot;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70C0"/>
      <name val="Arial"/>
      <family val="2"/>
    </font>
    <font>
      <sz val="10"/>
      <name val="Arial"/>
      <family val="2"/>
    </font>
    <font>
      <b/>
      <sz val="10"/>
      <color rgb="FF0070C0"/>
      <name val="Arial"/>
      <family val="2"/>
    </font>
    <font>
      <i/>
      <sz val="10"/>
      <color theme="1"/>
      <name val="Arial"/>
      <family val="2"/>
    </font>
    <font>
      <sz val="10"/>
      <color rgb="FF0000FF"/>
      <name val="Arial"/>
      <family val="2"/>
    </font>
    <font>
      <b/>
      <sz val="10"/>
      <color rgb="FF0000CC"/>
      <name val="Arial"/>
      <family val="2"/>
    </font>
    <font>
      <sz val="10"/>
      <color rgb="FF0000CC"/>
      <name val="Arial"/>
      <family val="2"/>
    </font>
    <font>
      <i/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theme="1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i/>
      <sz val="10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0"/>
      <color rgb="FF0000FF"/>
      <name val="Arial"/>
      <family val="2"/>
    </font>
    <font>
      <b/>
      <u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FF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0000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22222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C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3">
    <xf numFmtId="0" fontId="0" fillId="0" borderId="0" xfId="0"/>
    <xf numFmtId="9" fontId="5" fillId="2" borderId="0" xfId="0" applyNumberFormat="1" applyFont="1" applyFill="1" applyBorder="1" applyAlignment="1">
      <alignment horizontal="right" vertical="center"/>
    </xf>
    <xf numFmtId="9" fontId="5" fillId="2" borderId="1" xfId="0" applyNumberFormat="1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right" vertical="center"/>
    </xf>
    <xf numFmtId="166" fontId="6" fillId="2" borderId="0" xfId="0" applyNumberFormat="1" applyFont="1" applyFill="1" applyBorder="1" applyAlignment="1">
      <alignment vertical="center"/>
    </xf>
    <xf numFmtId="167" fontId="5" fillId="2" borderId="0" xfId="0" applyNumberFormat="1" applyFont="1" applyFill="1" applyAlignment="1">
      <alignment horizontal="left" vertical="center"/>
    </xf>
    <xf numFmtId="167" fontId="5" fillId="2" borderId="0" xfId="0" applyNumberFormat="1" applyFont="1" applyFill="1" applyAlignment="1">
      <alignment vertical="center"/>
    </xf>
    <xf numFmtId="167" fontId="5" fillId="2" borderId="0" xfId="0" applyNumberFormat="1" applyFont="1" applyFill="1" applyBorder="1" applyAlignment="1">
      <alignment vertical="center"/>
    </xf>
    <xf numFmtId="9" fontId="2" fillId="4" borderId="1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164" fontId="3" fillId="4" borderId="2" xfId="0" applyNumberFormat="1" applyFont="1" applyFill="1" applyBorder="1" applyAlignment="1">
      <alignment vertical="center"/>
    </xf>
    <xf numFmtId="164" fontId="3" fillId="4" borderId="3" xfId="0" applyNumberFormat="1" applyFont="1" applyFill="1" applyBorder="1" applyAlignment="1">
      <alignment vertical="center"/>
    </xf>
    <xf numFmtId="9" fontId="3" fillId="4" borderId="4" xfId="0" applyNumberFormat="1" applyFont="1" applyFill="1" applyBorder="1" applyAlignment="1">
      <alignment horizontal="left" vertical="center"/>
    </xf>
    <xf numFmtId="0" fontId="3" fillId="4" borderId="0" xfId="0" applyFont="1" applyFill="1" applyBorder="1" applyAlignment="1">
      <alignment vertical="center"/>
    </xf>
    <xf numFmtId="9" fontId="3" fillId="4" borderId="0" xfId="1" applyFont="1" applyFill="1" applyBorder="1" applyAlignment="1">
      <alignment vertical="center"/>
    </xf>
    <xf numFmtId="9" fontId="3" fillId="4" borderId="5" xfId="1" applyFont="1" applyFill="1" applyBorder="1" applyAlignment="1">
      <alignment vertical="center"/>
    </xf>
    <xf numFmtId="3" fontId="3" fillId="4" borderId="6" xfId="0" applyNumberFormat="1" applyFont="1" applyFill="1" applyBorder="1" applyAlignment="1">
      <alignment horizontal="left" vertical="center"/>
    </xf>
    <xf numFmtId="3" fontId="3" fillId="4" borderId="7" xfId="0" applyNumberFormat="1" applyFont="1" applyFill="1" applyBorder="1" applyAlignment="1">
      <alignment vertical="center"/>
    </xf>
    <xf numFmtId="3" fontId="3" fillId="4" borderId="8" xfId="0" applyNumberFormat="1" applyFont="1" applyFill="1" applyBorder="1" applyAlignment="1">
      <alignment vertical="center"/>
    </xf>
    <xf numFmtId="171" fontId="6" fillId="2" borderId="0" xfId="0" applyNumberFormat="1" applyFont="1" applyFill="1" applyBorder="1" applyAlignment="1">
      <alignment vertical="center"/>
    </xf>
    <xf numFmtId="171" fontId="7" fillId="2" borderId="15" xfId="0" applyNumberFormat="1" applyFont="1" applyFill="1" applyBorder="1" applyAlignment="1">
      <alignment vertical="center"/>
    </xf>
    <xf numFmtId="167" fontId="4" fillId="2" borderId="0" xfId="0" applyNumberFormat="1" applyFont="1" applyFill="1" applyBorder="1" applyAlignment="1">
      <alignment horizontal="left" vertical="center"/>
    </xf>
    <xf numFmtId="9" fontId="4" fillId="2" borderId="0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horizontal="left" vertical="center"/>
    </xf>
    <xf numFmtId="3" fontId="4" fillId="2" borderId="0" xfId="0" applyNumberFormat="1" applyFont="1" applyFill="1" applyBorder="1" applyAlignment="1">
      <alignment vertical="center"/>
    </xf>
    <xf numFmtId="165" fontId="4" fillId="2" borderId="0" xfId="0" applyNumberFormat="1" applyFont="1" applyFill="1" applyBorder="1" applyAlignment="1">
      <alignment horizontal="left" vertical="center"/>
    </xf>
    <xf numFmtId="165" fontId="4" fillId="2" borderId="0" xfId="0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horizontal="left" vertical="center"/>
    </xf>
    <xf numFmtId="164" fontId="4" fillId="2" borderId="0" xfId="0" applyNumberFormat="1" applyFont="1" applyFill="1" applyBorder="1" applyAlignment="1">
      <alignment vertical="center"/>
    </xf>
    <xf numFmtId="4" fontId="4" fillId="2" borderId="0" xfId="0" applyNumberFormat="1" applyFont="1" applyFill="1" applyAlignment="1">
      <alignment horizontal="left" vertical="center"/>
    </xf>
    <xf numFmtId="4" fontId="5" fillId="5" borderId="11" xfId="0" applyNumberFormat="1" applyFont="1" applyFill="1" applyBorder="1" applyAlignment="1">
      <alignment horizontal="left" vertical="center"/>
    </xf>
    <xf numFmtId="169" fontId="4" fillId="5" borderId="14" xfId="0" applyNumberFormat="1" applyFont="1" applyFill="1" applyBorder="1" applyAlignment="1">
      <alignment vertical="center"/>
    </xf>
    <xf numFmtId="4" fontId="4" fillId="2" borderId="0" xfId="0" applyNumberFormat="1" applyFont="1" applyFill="1" applyAlignment="1">
      <alignment vertical="center"/>
    </xf>
    <xf numFmtId="166" fontId="4" fillId="2" borderId="0" xfId="0" applyNumberFormat="1" applyFont="1" applyFill="1" applyAlignment="1">
      <alignment horizontal="left" vertical="center"/>
    </xf>
    <xf numFmtId="170" fontId="9" fillId="2" borderId="15" xfId="0" applyNumberFormat="1" applyFont="1" applyFill="1" applyBorder="1" applyAlignment="1">
      <alignment vertical="center"/>
    </xf>
    <xf numFmtId="166" fontId="4" fillId="2" borderId="0" xfId="0" applyNumberFormat="1" applyFont="1" applyFill="1" applyBorder="1" applyAlignment="1">
      <alignment vertical="center"/>
    </xf>
    <xf numFmtId="166" fontId="4" fillId="2" borderId="0" xfId="0" applyNumberFormat="1" applyFont="1" applyFill="1" applyBorder="1" applyAlignment="1">
      <alignment horizontal="right" vertical="center"/>
    </xf>
    <xf numFmtId="166" fontId="4" fillId="2" borderId="0" xfId="0" applyNumberFormat="1" applyFont="1" applyFill="1" applyAlignment="1">
      <alignment vertical="center"/>
    </xf>
    <xf numFmtId="165" fontId="4" fillId="2" borderId="0" xfId="0" applyNumberFormat="1" applyFont="1" applyFill="1" applyAlignment="1">
      <alignment horizontal="left" vertical="center"/>
    </xf>
    <xf numFmtId="4" fontId="4" fillId="5" borderId="12" xfId="0" applyNumberFormat="1" applyFont="1" applyFill="1" applyBorder="1" applyAlignment="1">
      <alignment vertical="center"/>
    </xf>
    <xf numFmtId="4" fontId="4" fillId="5" borderId="12" xfId="0" quotePrefix="1" applyNumberFormat="1" applyFont="1" applyFill="1" applyBorder="1" applyAlignment="1">
      <alignment horizontal="right" vertical="center"/>
    </xf>
    <xf numFmtId="4" fontId="4" fillId="5" borderId="12" xfId="0" applyNumberFormat="1" applyFont="1" applyFill="1" applyBorder="1" applyAlignment="1">
      <alignment horizontal="right" vertical="center"/>
    </xf>
    <xf numFmtId="4" fontId="4" fillId="5" borderId="13" xfId="0" applyNumberFormat="1" applyFont="1" applyFill="1" applyBorder="1" applyAlignment="1">
      <alignment vertical="center"/>
    </xf>
    <xf numFmtId="165" fontId="4" fillId="2" borderId="0" xfId="0" applyNumberFormat="1" applyFont="1" applyFill="1" applyAlignment="1">
      <alignment vertical="center"/>
    </xf>
    <xf numFmtId="10" fontId="4" fillId="2" borderId="0" xfId="0" applyNumberFormat="1" applyFont="1" applyFill="1" applyAlignment="1">
      <alignment horizontal="left" vertical="center"/>
    </xf>
    <xf numFmtId="10" fontId="4" fillId="2" borderId="4" xfId="0" applyNumberFormat="1" applyFont="1" applyFill="1" applyBorder="1" applyAlignment="1">
      <alignment horizontal="left" vertical="center"/>
    </xf>
    <xf numFmtId="171" fontId="4" fillId="2" borderId="15" xfId="0" applyNumberFormat="1" applyFont="1" applyFill="1" applyBorder="1" applyAlignment="1">
      <alignment vertical="center"/>
    </xf>
    <xf numFmtId="171" fontId="4" fillId="2" borderId="0" xfId="0" applyNumberFormat="1" applyFont="1" applyFill="1" applyBorder="1" applyAlignment="1">
      <alignment vertical="center"/>
    </xf>
    <xf numFmtId="171" fontId="4" fillId="2" borderId="0" xfId="0" applyNumberFormat="1" applyFont="1" applyFill="1" applyBorder="1" applyAlignment="1">
      <alignment horizontal="right" vertical="center"/>
    </xf>
    <xf numFmtId="171" fontId="4" fillId="2" borderId="15" xfId="0" applyNumberFormat="1" applyFont="1" applyFill="1" applyBorder="1" applyAlignment="1">
      <alignment horizontal="right" vertical="center"/>
    </xf>
    <xf numFmtId="10" fontId="4" fillId="2" borderId="0" xfId="0" applyNumberFormat="1" applyFont="1" applyFill="1" applyAlignment="1">
      <alignment vertical="center"/>
    </xf>
    <xf numFmtId="167" fontId="4" fillId="2" borderId="0" xfId="0" applyNumberFormat="1" applyFont="1" applyFill="1" applyAlignment="1">
      <alignment horizontal="left" vertical="center"/>
    </xf>
    <xf numFmtId="166" fontId="9" fillId="2" borderId="4" xfId="0" applyNumberFormat="1" applyFont="1" applyFill="1" applyBorder="1" applyAlignment="1">
      <alignment horizontal="left" vertical="center" indent="1"/>
    </xf>
    <xf numFmtId="170" fontId="9" fillId="2" borderId="10" xfId="0" applyNumberFormat="1" applyFont="1" applyFill="1" applyBorder="1" applyAlignment="1">
      <alignment vertical="center"/>
    </xf>
    <xf numFmtId="170" fontId="9" fillId="2" borderId="7" xfId="0" applyNumberFormat="1" applyFont="1" applyFill="1" applyBorder="1" applyAlignment="1">
      <alignment vertical="center"/>
    </xf>
    <xf numFmtId="170" fontId="9" fillId="2" borderId="7" xfId="0" applyNumberFormat="1" applyFont="1" applyFill="1" applyBorder="1" applyAlignment="1">
      <alignment horizontal="right" vertical="center"/>
    </xf>
    <xf numFmtId="170" fontId="9" fillId="2" borderId="10" xfId="0" quotePrefix="1" applyNumberFormat="1" applyFont="1" applyFill="1" applyBorder="1" applyAlignment="1">
      <alignment horizontal="right" vertical="center"/>
    </xf>
    <xf numFmtId="167" fontId="4" fillId="2" borderId="0" xfId="0" applyNumberFormat="1" applyFont="1" applyFill="1" applyAlignment="1">
      <alignment vertical="center"/>
    </xf>
    <xf numFmtId="4" fontId="4" fillId="5" borderId="14" xfId="0" applyNumberFormat="1" applyFont="1" applyFill="1" applyBorder="1" applyAlignment="1">
      <alignment vertical="center"/>
    </xf>
    <xf numFmtId="4" fontId="4" fillId="5" borderId="14" xfId="0" applyNumberFormat="1" applyFont="1" applyFill="1" applyBorder="1" applyAlignment="1">
      <alignment horizontal="right" vertical="center"/>
    </xf>
    <xf numFmtId="166" fontId="4" fillId="2" borderId="11" xfId="0" applyNumberFormat="1" applyFont="1" applyFill="1" applyBorder="1" applyAlignment="1">
      <alignment horizontal="left" vertical="center" indent="1"/>
    </xf>
    <xf numFmtId="170" fontId="9" fillId="2" borderId="14" xfId="0" applyNumberFormat="1" applyFont="1" applyFill="1" applyBorder="1" applyAlignment="1">
      <alignment vertical="center"/>
    </xf>
    <xf numFmtId="166" fontId="4" fillId="2" borderId="12" xfId="0" applyNumberFormat="1" applyFont="1" applyFill="1" applyBorder="1" applyAlignment="1">
      <alignment vertical="center"/>
    </xf>
    <xf numFmtId="166" fontId="4" fillId="2" borderId="14" xfId="0" applyNumberFormat="1" applyFont="1" applyFill="1" applyBorder="1" applyAlignment="1">
      <alignment vertical="center"/>
    </xf>
    <xf numFmtId="166" fontId="4" fillId="2" borderId="12" xfId="0" applyNumberFormat="1" applyFont="1" applyFill="1" applyBorder="1" applyAlignment="1">
      <alignment horizontal="right" vertical="center"/>
    </xf>
    <xf numFmtId="166" fontId="4" fillId="2" borderId="14" xfId="0" applyNumberFormat="1" applyFont="1" applyFill="1" applyBorder="1" applyAlignment="1">
      <alignment horizontal="right" vertical="center"/>
    </xf>
    <xf numFmtId="166" fontId="9" fillId="2" borderId="0" xfId="0" applyNumberFormat="1" applyFont="1" applyFill="1" applyBorder="1" applyAlignment="1">
      <alignment horizontal="left" vertical="center" indent="1"/>
    </xf>
    <xf numFmtId="4" fontId="4" fillId="2" borderId="0" xfId="0" applyNumberFormat="1" applyFont="1" applyFill="1" applyBorder="1" applyAlignment="1">
      <alignment vertical="center"/>
    </xf>
    <xf numFmtId="170" fontId="9" fillId="2" borderId="0" xfId="0" applyNumberFormat="1" applyFont="1" applyFill="1" applyBorder="1" applyAlignment="1">
      <alignment vertical="center"/>
    </xf>
    <xf numFmtId="4" fontId="4" fillId="2" borderId="0" xfId="0" quotePrefix="1" applyNumberFormat="1" applyFont="1" applyFill="1" applyBorder="1" applyAlignment="1">
      <alignment horizontal="right" vertical="center"/>
    </xf>
    <xf numFmtId="4" fontId="4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Alignment="1">
      <alignment vertical="center"/>
    </xf>
    <xf numFmtId="167" fontId="5" fillId="5" borderId="11" xfId="0" applyNumberFormat="1" applyFont="1" applyFill="1" applyBorder="1" applyAlignment="1">
      <alignment horizontal="left" vertical="center"/>
    </xf>
    <xf numFmtId="167" fontId="4" fillId="5" borderId="12" xfId="0" applyNumberFormat="1" applyFont="1" applyFill="1" applyBorder="1" applyAlignment="1">
      <alignment vertical="center"/>
    </xf>
    <xf numFmtId="167" fontId="4" fillId="5" borderId="12" xfId="0" quotePrefix="1" applyNumberFormat="1" applyFont="1" applyFill="1" applyBorder="1" applyAlignment="1">
      <alignment horizontal="right" vertical="center"/>
    </xf>
    <xf numFmtId="167" fontId="4" fillId="5" borderId="12" xfId="0" applyNumberFormat="1" applyFont="1" applyFill="1" applyBorder="1" applyAlignment="1">
      <alignment horizontal="right" vertical="center"/>
    </xf>
    <xf numFmtId="167" fontId="4" fillId="2" borderId="0" xfId="0" applyNumberFormat="1" applyFont="1" applyFill="1" applyBorder="1" applyAlignment="1">
      <alignment vertical="center"/>
    </xf>
    <xf numFmtId="9" fontId="4" fillId="2" borderId="0" xfId="1" applyFont="1" applyFill="1" applyBorder="1" applyAlignment="1">
      <alignment vertical="center"/>
    </xf>
    <xf numFmtId="168" fontId="4" fillId="2" borderId="0" xfId="0" applyNumberFormat="1" applyFont="1" applyFill="1" applyBorder="1" applyAlignment="1">
      <alignment vertical="center"/>
    </xf>
    <xf numFmtId="168" fontId="4" fillId="2" borderId="0" xfId="1" applyNumberFormat="1" applyFont="1" applyFill="1" applyBorder="1" applyAlignment="1">
      <alignment vertical="center"/>
    </xf>
    <xf numFmtId="170" fontId="9" fillId="2" borderId="0" xfId="0" applyNumberFormat="1" applyFont="1" applyFill="1" applyBorder="1" applyAlignment="1">
      <alignment horizontal="right" vertical="center"/>
    </xf>
    <xf numFmtId="166" fontId="4" fillId="2" borderId="0" xfId="0" applyNumberFormat="1" applyFont="1" applyFill="1" applyBorder="1" applyAlignment="1">
      <alignment horizontal="left" vertical="center" indent="1"/>
    </xf>
    <xf numFmtId="167" fontId="4" fillId="0" borderId="0" xfId="0" applyNumberFormat="1" applyFont="1" applyFill="1" applyAlignment="1">
      <alignment horizontal="right"/>
    </xf>
    <xf numFmtId="0" fontId="4" fillId="0" borderId="0" xfId="0" applyFont="1"/>
    <xf numFmtId="168" fontId="5" fillId="2" borderId="0" xfId="0" applyNumberFormat="1" applyFont="1" applyFill="1" applyBorder="1" applyAlignment="1">
      <alignment vertical="center"/>
    </xf>
    <xf numFmtId="168" fontId="5" fillId="2" borderId="0" xfId="0" applyNumberFormat="1" applyFont="1" applyFill="1" applyBorder="1" applyAlignment="1">
      <alignment horizontal="right" vertical="center"/>
    </xf>
    <xf numFmtId="168" fontId="5" fillId="2" borderId="0" xfId="0" applyNumberFormat="1" applyFont="1" applyFill="1" applyAlignment="1">
      <alignment vertical="center"/>
    </xf>
    <xf numFmtId="168" fontId="4" fillId="2" borderId="0" xfId="0" applyNumberFormat="1" applyFont="1" applyFill="1" applyBorder="1" applyAlignment="1">
      <alignment horizontal="right" vertical="center"/>
    </xf>
    <xf numFmtId="168" fontId="4" fillId="2" borderId="0" xfId="0" applyNumberFormat="1" applyFont="1" applyFill="1" applyAlignment="1">
      <alignment vertical="center"/>
    </xf>
    <xf numFmtId="166" fontId="9" fillId="2" borderId="0" xfId="0" applyNumberFormat="1" applyFont="1" applyFill="1" applyAlignment="1">
      <alignment horizontal="left" vertical="center"/>
    </xf>
    <xf numFmtId="166" fontId="9" fillId="2" borderId="0" xfId="0" applyNumberFormat="1" applyFont="1" applyFill="1" applyBorder="1" applyAlignment="1">
      <alignment vertical="center"/>
    </xf>
    <xf numFmtId="166" fontId="9" fillId="2" borderId="0" xfId="0" applyNumberFormat="1" applyFont="1" applyFill="1" applyBorder="1" applyAlignment="1">
      <alignment horizontal="right" vertical="center"/>
    </xf>
    <xf numFmtId="166" fontId="9" fillId="2" borderId="0" xfId="0" applyNumberFormat="1" applyFont="1" applyFill="1" applyAlignment="1">
      <alignment vertical="center"/>
    </xf>
    <xf numFmtId="168" fontId="8" fillId="2" borderId="0" xfId="0" applyNumberFormat="1" applyFont="1" applyFill="1" applyBorder="1" applyAlignment="1">
      <alignment vertical="center"/>
    </xf>
    <xf numFmtId="167" fontId="5" fillId="5" borderId="6" xfId="0" applyNumberFormat="1" applyFont="1" applyFill="1" applyBorder="1" applyAlignment="1">
      <alignment horizontal="left" vertical="center"/>
    </xf>
    <xf numFmtId="168" fontId="4" fillId="5" borderId="7" xfId="0" applyNumberFormat="1" applyFont="1" applyFill="1" applyBorder="1" applyAlignment="1">
      <alignment vertical="center"/>
    </xf>
    <xf numFmtId="166" fontId="4" fillId="2" borderId="0" xfId="0" quotePrefix="1" applyNumberFormat="1" applyFont="1" applyFill="1" applyBorder="1" applyAlignment="1">
      <alignment horizontal="right" vertical="center"/>
    </xf>
    <xf numFmtId="167" fontId="5" fillId="5" borderId="1" xfId="0" applyNumberFormat="1" applyFont="1" applyFill="1" applyBorder="1" applyAlignment="1">
      <alignment horizontal="left" vertical="center"/>
    </xf>
    <xf numFmtId="168" fontId="4" fillId="5" borderId="2" xfId="0" applyNumberFormat="1" applyFont="1" applyFill="1" applyBorder="1" applyAlignment="1">
      <alignment vertical="center"/>
    </xf>
    <xf numFmtId="172" fontId="4" fillId="5" borderId="7" xfId="0" applyNumberFormat="1" applyFont="1" applyFill="1" applyBorder="1" applyAlignment="1">
      <alignment vertical="center"/>
    </xf>
    <xf numFmtId="172" fontId="4" fillId="5" borderId="7" xfId="0" applyNumberFormat="1" applyFont="1" applyFill="1" applyBorder="1" applyAlignment="1">
      <alignment horizontal="right" vertical="center"/>
    </xf>
    <xf numFmtId="0" fontId="5" fillId="0" borderId="0" xfId="0" applyFont="1"/>
    <xf numFmtId="168" fontId="4" fillId="0" borderId="0" xfId="0" applyNumberFormat="1" applyFont="1"/>
    <xf numFmtId="167" fontId="4" fillId="2" borderId="0" xfId="0" quotePrefix="1" applyNumberFormat="1" applyFont="1" applyFill="1" applyBorder="1" applyAlignment="1">
      <alignment horizontal="right" vertical="center"/>
    </xf>
    <xf numFmtId="167" fontId="4" fillId="2" borderId="0" xfId="0" applyNumberFormat="1" applyFont="1" applyFill="1" applyBorder="1" applyAlignment="1">
      <alignment horizontal="right" vertical="center"/>
    </xf>
    <xf numFmtId="167" fontId="5" fillId="2" borderId="0" xfId="0" applyNumberFormat="1" applyFont="1" applyFill="1" applyBorder="1" applyAlignment="1">
      <alignment horizontal="left" vertical="center" indent="1"/>
    </xf>
    <xf numFmtId="172" fontId="4" fillId="2" borderId="0" xfId="0" applyNumberFormat="1" applyFont="1" applyFill="1" applyBorder="1" applyAlignment="1">
      <alignment vertical="center"/>
    </xf>
    <xf numFmtId="168" fontId="10" fillId="0" borderId="0" xfId="0" applyNumberFormat="1" applyFont="1"/>
    <xf numFmtId="0" fontId="4" fillId="0" borderId="16" xfId="0" applyFont="1" applyBorder="1"/>
    <xf numFmtId="0" fontId="4" fillId="0" borderId="0" xfId="0" applyFont="1" applyBorder="1"/>
    <xf numFmtId="0" fontId="5" fillId="0" borderId="0" xfId="0" applyNumberFormat="1" applyFont="1" applyBorder="1"/>
    <xf numFmtId="0" fontId="5" fillId="0" borderId="16" xfId="0" applyFont="1" applyBorder="1"/>
    <xf numFmtId="0" fontId="9" fillId="0" borderId="0" xfId="0" applyFont="1" applyAlignment="1">
      <alignment horizontal="left" indent="1"/>
    </xf>
    <xf numFmtId="0" fontId="3" fillId="2" borderId="0" xfId="0" applyFont="1" applyFill="1" applyBorder="1" applyAlignment="1">
      <alignment vertical="center"/>
    </xf>
    <xf numFmtId="9" fontId="3" fillId="2" borderId="0" xfId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72" fontId="4" fillId="0" borderId="0" xfId="0" applyNumberFormat="1" applyFont="1"/>
    <xf numFmtId="170" fontId="9" fillId="0" borderId="0" xfId="0" applyNumberFormat="1" applyFont="1"/>
    <xf numFmtId="0" fontId="4" fillId="0" borderId="0" xfId="0" applyFont="1" applyAlignment="1">
      <alignment horizontal="left" indent="1"/>
    </xf>
    <xf numFmtId="168" fontId="5" fillId="0" borderId="0" xfId="0" applyNumberFormat="1" applyFont="1"/>
    <xf numFmtId="167" fontId="4" fillId="2" borderId="0" xfId="0" applyNumberFormat="1" applyFont="1" applyFill="1" applyBorder="1" applyAlignment="1">
      <alignment horizontal="left" vertical="center" indent="1"/>
    </xf>
    <xf numFmtId="175" fontId="4" fillId="0" borderId="0" xfId="0" applyNumberFormat="1" applyFont="1"/>
    <xf numFmtId="175" fontId="10" fillId="0" borderId="0" xfId="0" applyNumberFormat="1" applyFont="1"/>
    <xf numFmtId="167" fontId="9" fillId="2" borderId="0" xfId="0" applyNumberFormat="1" applyFont="1" applyFill="1" applyBorder="1" applyAlignment="1">
      <alignment horizontal="left" vertical="center" indent="2"/>
    </xf>
    <xf numFmtId="166" fontId="9" fillId="2" borderId="11" xfId="0" applyNumberFormat="1" applyFont="1" applyFill="1" applyBorder="1" applyAlignment="1">
      <alignment horizontal="left" vertical="center" indent="1"/>
    </xf>
    <xf numFmtId="166" fontId="4" fillId="2" borderId="11" xfId="0" applyNumberFormat="1" applyFont="1" applyFill="1" applyBorder="1" applyAlignment="1">
      <alignment horizontal="left" vertical="center"/>
    </xf>
    <xf numFmtId="4" fontId="4" fillId="2" borderId="12" xfId="0" applyNumberFormat="1" applyFont="1" applyFill="1" applyBorder="1" applyAlignment="1">
      <alignment vertical="center"/>
    </xf>
    <xf numFmtId="4" fontId="4" fillId="2" borderId="13" xfId="0" applyNumberFormat="1" applyFont="1" applyFill="1" applyBorder="1" applyAlignment="1">
      <alignment vertical="center"/>
    </xf>
    <xf numFmtId="167" fontId="5" fillId="2" borderId="0" xfId="0" applyNumberFormat="1" applyFont="1" applyFill="1" applyBorder="1" applyAlignment="1">
      <alignment horizontal="left" vertical="center"/>
    </xf>
    <xf numFmtId="168" fontId="14" fillId="0" borderId="0" xfId="0" applyNumberFormat="1" applyFont="1"/>
    <xf numFmtId="0" fontId="15" fillId="0" borderId="0" xfId="0" applyFont="1"/>
    <xf numFmtId="167" fontId="5" fillId="0" borderId="0" xfId="0" applyNumberFormat="1" applyFont="1" applyFill="1" applyAlignment="1">
      <alignment horizontal="right"/>
    </xf>
    <xf numFmtId="168" fontId="15" fillId="0" borderId="0" xfId="0" applyNumberFormat="1" applyFont="1"/>
    <xf numFmtId="167" fontId="15" fillId="0" borderId="0" xfId="0" applyNumberFormat="1" applyFont="1" applyFill="1" applyAlignment="1">
      <alignment horizontal="right"/>
    </xf>
    <xf numFmtId="0" fontId="9" fillId="0" borderId="0" xfId="0" applyFont="1"/>
    <xf numFmtId="170" fontId="13" fillId="2" borderId="0" xfId="0" applyNumberFormat="1" applyFont="1" applyFill="1" applyBorder="1" applyAlignment="1">
      <alignment horizontal="right" vertical="center"/>
    </xf>
    <xf numFmtId="167" fontId="5" fillId="5" borderId="12" xfId="0" applyNumberFormat="1" applyFont="1" applyFill="1" applyBorder="1" applyAlignment="1">
      <alignment vertical="center"/>
    </xf>
    <xf numFmtId="167" fontId="5" fillId="5" borderId="12" xfId="0" quotePrefix="1" applyNumberFormat="1" applyFont="1" applyFill="1" applyBorder="1" applyAlignment="1">
      <alignment horizontal="right" vertical="center"/>
    </xf>
    <xf numFmtId="167" fontId="5" fillId="5" borderId="12" xfId="0" applyNumberFormat="1" applyFont="1" applyFill="1" applyBorder="1" applyAlignment="1">
      <alignment horizontal="right" vertical="center"/>
    </xf>
    <xf numFmtId="168" fontId="10" fillId="2" borderId="0" xfId="0" applyNumberFormat="1" applyFont="1" applyFill="1" applyBorder="1" applyAlignment="1">
      <alignment vertical="center"/>
    </xf>
    <xf numFmtId="170" fontId="13" fillId="0" borderId="0" xfId="0" applyNumberFormat="1" applyFont="1"/>
    <xf numFmtId="168" fontId="16" fillId="0" borderId="0" xfId="0" applyNumberFormat="1" applyFont="1"/>
    <xf numFmtId="175" fontId="16" fillId="0" borderId="0" xfId="0" applyNumberFormat="1" applyFont="1"/>
    <xf numFmtId="176" fontId="4" fillId="0" borderId="0" xfId="0" applyNumberFormat="1" applyFont="1"/>
    <xf numFmtId="168" fontId="4" fillId="2" borderId="0" xfId="0" quotePrefix="1" applyNumberFormat="1" applyFont="1" applyFill="1" applyBorder="1" applyAlignment="1">
      <alignment horizontal="right" vertical="center"/>
    </xf>
    <xf numFmtId="167" fontId="9" fillId="2" borderId="0" xfId="0" applyNumberFormat="1" applyFont="1" applyFill="1" applyBorder="1" applyAlignment="1">
      <alignment horizontal="left" vertical="center" indent="1"/>
    </xf>
    <xf numFmtId="167" fontId="15" fillId="2" borderId="0" xfId="0" applyNumberFormat="1" applyFont="1" applyFill="1" applyBorder="1" applyAlignment="1">
      <alignment horizontal="left" vertical="center" indent="1"/>
    </xf>
    <xf numFmtId="170" fontId="13" fillId="2" borderId="0" xfId="0" applyNumberFormat="1" applyFont="1" applyFill="1" applyBorder="1" applyAlignment="1">
      <alignment vertical="center"/>
    </xf>
    <xf numFmtId="168" fontId="9" fillId="2" borderId="0" xfId="0" applyNumberFormat="1" applyFont="1" applyFill="1" applyBorder="1" applyAlignment="1">
      <alignment vertical="center"/>
    </xf>
    <xf numFmtId="166" fontId="13" fillId="2" borderId="0" xfId="0" applyNumberFormat="1" applyFont="1" applyFill="1" applyBorder="1" applyAlignment="1">
      <alignment vertical="center"/>
    </xf>
    <xf numFmtId="166" fontId="15" fillId="2" borderId="0" xfId="0" applyNumberFormat="1" applyFont="1" applyFill="1" applyAlignment="1">
      <alignment horizontal="left" vertical="center"/>
    </xf>
    <xf numFmtId="167" fontId="15" fillId="2" borderId="0" xfId="0" applyNumberFormat="1" applyFont="1" applyFill="1" applyBorder="1" applyAlignment="1">
      <alignment vertical="center"/>
    </xf>
    <xf numFmtId="172" fontId="15" fillId="2" borderId="0" xfId="0" applyNumberFormat="1" applyFont="1" applyFill="1" applyBorder="1" applyAlignment="1">
      <alignment vertical="center"/>
    </xf>
    <xf numFmtId="168" fontId="15" fillId="2" borderId="0" xfId="0" applyNumberFormat="1" applyFont="1" applyFill="1" applyBorder="1" applyAlignment="1">
      <alignment vertical="center"/>
    </xf>
    <xf numFmtId="166" fontId="15" fillId="2" borderId="0" xfId="0" applyNumberFormat="1" applyFont="1" applyFill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173" fontId="7" fillId="0" borderId="7" xfId="2" applyNumberFormat="1" applyFont="1" applyBorder="1" applyAlignment="1">
      <alignment vertical="center"/>
    </xf>
    <xf numFmtId="167" fontId="4" fillId="0" borderId="0" xfId="0" applyNumberFormat="1" applyFont="1" applyFill="1" applyAlignment="1">
      <alignment horizontal="right" vertical="center"/>
    </xf>
    <xf numFmtId="173" fontId="16" fillId="0" borderId="7" xfId="2" applyNumberFormat="1" applyFont="1" applyBorder="1" applyAlignment="1">
      <alignment vertical="center"/>
    </xf>
    <xf numFmtId="0" fontId="5" fillId="0" borderId="16" xfId="0" applyNumberFormat="1" applyFont="1" applyBorder="1" applyAlignment="1">
      <alignment vertical="center"/>
    </xf>
    <xf numFmtId="0" fontId="5" fillId="0" borderId="16" xfId="0" applyNumberFormat="1" applyFont="1" applyBorder="1" applyAlignment="1">
      <alignment horizontal="right" vertical="center"/>
    </xf>
    <xf numFmtId="174" fontId="12" fillId="0" borderId="7" xfId="2" applyNumberFormat="1" applyFont="1" applyBorder="1" applyAlignment="1">
      <alignment vertical="center"/>
    </xf>
    <xf numFmtId="173" fontId="4" fillId="0" borderId="7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8" fontId="5" fillId="0" borderId="3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166" fontId="5" fillId="0" borderId="8" xfId="0" applyNumberFormat="1" applyFont="1" applyBorder="1" applyAlignment="1">
      <alignment horizontal="right" vertical="center"/>
    </xf>
    <xf numFmtId="0" fontId="17" fillId="0" borderId="0" xfId="0" applyFont="1"/>
    <xf numFmtId="0" fontId="4" fillId="2" borderId="0" xfId="0" applyFont="1" applyFill="1" applyBorder="1" applyAlignment="1">
      <alignment horizontal="center" vertical="center"/>
    </xf>
    <xf numFmtId="3" fontId="4" fillId="2" borderId="0" xfId="0" applyNumberFormat="1" applyFont="1" applyFill="1" applyBorder="1" applyAlignment="1">
      <alignment horizontal="center" vertical="center"/>
    </xf>
    <xf numFmtId="165" fontId="4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166" fontId="4" fillId="2" borderId="0" xfId="0" applyNumberFormat="1" applyFont="1" applyFill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10" fontId="4" fillId="2" borderId="0" xfId="0" applyNumberFormat="1" applyFont="1" applyFill="1" applyAlignment="1">
      <alignment horizontal="center" vertical="center"/>
    </xf>
    <xf numFmtId="167" fontId="4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167" fontId="5" fillId="2" borderId="0" xfId="0" applyNumberFormat="1" applyFont="1" applyFill="1" applyAlignment="1">
      <alignment horizontal="center" vertical="center"/>
    </xf>
    <xf numFmtId="168" fontId="4" fillId="2" borderId="0" xfId="0" applyNumberFormat="1" applyFont="1" applyFill="1" applyAlignment="1">
      <alignment horizontal="center" vertical="center"/>
    </xf>
    <xf numFmtId="168" fontId="5" fillId="2" borderId="0" xfId="0" applyNumberFormat="1" applyFont="1" applyFill="1" applyAlignment="1">
      <alignment horizontal="center" vertical="center"/>
    </xf>
    <xf numFmtId="166" fontId="9" fillId="2" borderId="0" xfId="0" applyNumberFormat="1" applyFont="1" applyFill="1" applyAlignment="1">
      <alignment horizontal="center" vertical="center"/>
    </xf>
    <xf numFmtId="170" fontId="9" fillId="2" borderId="0" xfId="0" applyNumberFormat="1" applyFont="1" applyFill="1" applyAlignment="1">
      <alignment horizontal="center" vertical="center"/>
    </xf>
    <xf numFmtId="166" fontId="15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170" fontId="9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8" fontId="4" fillId="6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3" fontId="4" fillId="2" borderId="0" xfId="0" applyNumberFormat="1" applyFont="1" applyFill="1" applyAlignment="1">
      <alignment horizontal="left" vertical="center"/>
    </xf>
    <xf numFmtId="168" fontId="5" fillId="2" borderId="0" xfId="0" applyNumberFormat="1" applyFont="1" applyFill="1" applyAlignment="1">
      <alignment horizontal="left" vertical="center"/>
    </xf>
    <xf numFmtId="168" fontId="4" fillId="2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6" fontId="4" fillId="2" borderId="0" xfId="0" quotePrefix="1" applyNumberFormat="1" applyFont="1" applyFill="1" applyAlignment="1">
      <alignment horizontal="left" vertical="center"/>
    </xf>
    <xf numFmtId="9" fontId="5" fillId="2" borderId="6" xfId="0" applyNumberFormat="1" applyFont="1" applyFill="1" applyBorder="1" applyAlignment="1">
      <alignment horizontal="left" vertical="center"/>
    </xf>
    <xf numFmtId="168" fontId="6" fillId="2" borderId="0" xfId="0" applyNumberFormat="1" applyFont="1" applyFill="1" applyBorder="1" applyAlignment="1">
      <alignment vertical="center"/>
    </xf>
    <xf numFmtId="166" fontId="7" fillId="2" borderId="0" xfId="0" applyNumberFormat="1" applyFont="1" applyFill="1" applyBorder="1" applyAlignment="1">
      <alignment vertical="center"/>
    </xf>
    <xf numFmtId="166" fontId="6" fillId="2" borderId="12" xfId="0" applyNumberFormat="1" applyFont="1" applyFill="1" applyBorder="1" applyAlignment="1">
      <alignment vertical="center"/>
    </xf>
    <xf numFmtId="166" fontId="4" fillId="2" borderId="0" xfId="0" applyNumberFormat="1" applyFont="1" applyFill="1" applyBorder="1" applyAlignment="1">
      <alignment horizontal="center" vertical="center"/>
    </xf>
    <xf numFmtId="166" fontId="4" fillId="2" borderId="0" xfId="0" applyNumberFormat="1" applyFont="1" applyFill="1" applyBorder="1" applyAlignment="1">
      <alignment horizontal="left" vertical="center"/>
    </xf>
    <xf numFmtId="0" fontId="18" fillId="0" borderId="0" xfId="0" applyFont="1"/>
    <xf numFmtId="168" fontId="4" fillId="0" borderId="16" xfId="0" applyNumberFormat="1" applyFont="1" applyBorder="1"/>
    <xf numFmtId="170" fontId="13" fillId="2" borderId="12" xfId="0" applyNumberFormat="1" applyFont="1" applyFill="1" applyBorder="1" applyAlignment="1">
      <alignment vertical="center"/>
    </xf>
    <xf numFmtId="170" fontId="13" fillId="2" borderId="12" xfId="0" quotePrefix="1" applyNumberFormat="1" applyFont="1" applyFill="1" applyBorder="1" applyAlignment="1">
      <alignment horizontal="right" vertical="center"/>
    </xf>
    <xf numFmtId="170" fontId="13" fillId="2" borderId="12" xfId="0" applyNumberFormat="1" applyFont="1" applyFill="1" applyBorder="1" applyAlignment="1">
      <alignment horizontal="right" vertical="center"/>
    </xf>
    <xf numFmtId="4" fontId="10" fillId="2" borderId="12" xfId="0" applyNumberFormat="1" applyFont="1" applyFill="1" applyBorder="1" applyAlignment="1">
      <alignment vertical="center"/>
    </xf>
    <xf numFmtId="166" fontId="9" fillId="2" borderId="0" xfId="0" applyNumberFormat="1" applyFont="1" applyFill="1" applyBorder="1" applyAlignment="1">
      <alignment horizontal="left" vertical="center" indent="2"/>
    </xf>
    <xf numFmtId="168" fontId="13" fillId="2" borderId="0" xfId="0" applyNumberFormat="1" applyFont="1" applyFill="1" applyBorder="1" applyAlignment="1">
      <alignment horizontal="right" vertical="center"/>
    </xf>
    <xf numFmtId="170" fontId="9" fillId="2" borderId="0" xfId="0" quotePrefix="1" applyNumberFormat="1" applyFont="1" applyFill="1" applyBorder="1" applyAlignment="1">
      <alignment horizontal="right" vertical="center"/>
    </xf>
    <xf numFmtId="166" fontId="9" fillId="2" borderId="0" xfId="0" quotePrefix="1" applyNumberFormat="1" applyFont="1" applyFill="1" applyBorder="1" applyAlignment="1">
      <alignment horizontal="right" vertical="center"/>
    </xf>
    <xf numFmtId="167" fontId="5" fillId="5" borderId="13" xfId="0" applyNumberFormat="1" applyFont="1" applyFill="1" applyBorder="1" applyAlignment="1">
      <alignment vertical="center"/>
    </xf>
    <xf numFmtId="166" fontId="5" fillId="2" borderId="0" xfId="0" applyNumberFormat="1" applyFont="1" applyFill="1" applyAlignment="1">
      <alignment horizontal="left" vertical="center"/>
    </xf>
    <xf numFmtId="166" fontId="5" fillId="2" borderId="0" xfId="0" applyNumberFormat="1" applyFont="1" applyFill="1" applyAlignment="1">
      <alignment horizontal="center" vertical="center"/>
    </xf>
    <xf numFmtId="168" fontId="5" fillId="6" borderId="0" xfId="0" applyNumberFormat="1" applyFont="1" applyFill="1" applyBorder="1" applyAlignment="1">
      <alignment horizontal="center" vertical="center"/>
    </xf>
    <xf numFmtId="166" fontId="5" fillId="2" borderId="0" xfId="0" applyNumberFormat="1" applyFont="1" applyFill="1" applyAlignment="1">
      <alignment vertical="center"/>
    </xf>
    <xf numFmtId="168" fontId="5" fillId="5" borderId="12" xfId="0" applyNumberFormat="1" applyFont="1" applyFill="1" applyBorder="1" applyAlignment="1">
      <alignment vertical="center"/>
    </xf>
    <xf numFmtId="168" fontId="5" fillId="5" borderId="13" xfId="0" applyNumberFormat="1" applyFont="1" applyFill="1" applyBorder="1" applyAlignment="1">
      <alignment vertical="center"/>
    </xf>
    <xf numFmtId="172" fontId="4" fillId="5" borderId="2" xfId="0" applyNumberFormat="1" applyFont="1" applyFill="1" applyBorder="1" applyAlignment="1">
      <alignment vertical="center"/>
    </xf>
    <xf numFmtId="172" fontId="4" fillId="5" borderId="3" xfId="0" applyNumberFormat="1" applyFont="1" applyFill="1" applyBorder="1" applyAlignment="1">
      <alignment vertical="center"/>
    </xf>
    <xf numFmtId="172" fontId="4" fillId="5" borderId="8" xfId="0" applyNumberFormat="1" applyFont="1" applyFill="1" applyBorder="1" applyAlignment="1">
      <alignment vertical="center"/>
    </xf>
    <xf numFmtId="167" fontId="4" fillId="5" borderId="13" xfId="0" applyNumberFormat="1" applyFont="1" applyFill="1" applyBorder="1" applyAlignment="1">
      <alignment vertical="center"/>
    </xf>
    <xf numFmtId="167" fontId="4" fillId="5" borderId="2" xfId="0" applyNumberFormat="1" applyFont="1" applyFill="1" applyBorder="1" applyAlignment="1">
      <alignment vertical="center"/>
    </xf>
    <xf numFmtId="167" fontId="4" fillId="5" borderId="7" xfId="0" applyNumberFormat="1" applyFont="1" applyFill="1" applyBorder="1" applyAlignment="1">
      <alignment vertical="center"/>
    </xf>
    <xf numFmtId="170" fontId="9" fillId="5" borderId="2" xfId="0" applyNumberFormat="1" applyFont="1" applyFill="1" applyBorder="1" applyAlignment="1">
      <alignment vertical="center"/>
    </xf>
    <xf numFmtId="170" fontId="9" fillId="5" borderId="7" xfId="0" applyNumberFormat="1" applyFont="1" applyFill="1" applyBorder="1" applyAlignment="1">
      <alignment vertical="center"/>
    </xf>
    <xf numFmtId="170" fontId="9" fillId="5" borderId="7" xfId="0" quotePrefix="1" applyNumberFormat="1" applyFont="1" applyFill="1" applyBorder="1" applyAlignment="1">
      <alignment horizontal="right" vertical="center"/>
    </xf>
    <xf numFmtId="170" fontId="9" fillId="5" borderId="7" xfId="0" applyNumberFormat="1" applyFont="1" applyFill="1" applyBorder="1" applyAlignment="1">
      <alignment horizontal="right" vertical="center"/>
    </xf>
    <xf numFmtId="170" fontId="9" fillId="5" borderId="8" xfId="0" applyNumberFormat="1" applyFont="1" applyFill="1" applyBorder="1" applyAlignment="1">
      <alignment vertical="center"/>
    </xf>
    <xf numFmtId="168" fontId="4" fillId="5" borderId="12" xfId="0" applyNumberFormat="1" applyFont="1" applyFill="1" applyBorder="1" applyAlignment="1">
      <alignment vertical="center"/>
    </xf>
    <xf numFmtId="166" fontId="10" fillId="2" borderId="14" xfId="0" applyNumberFormat="1" applyFont="1" applyFill="1" applyBorder="1" applyAlignment="1">
      <alignment vertical="center"/>
    </xf>
    <xf numFmtId="166" fontId="10" fillId="2" borderId="12" xfId="0" applyNumberFormat="1" applyFont="1" applyFill="1" applyBorder="1" applyAlignment="1">
      <alignment vertical="center"/>
    </xf>
    <xf numFmtId="168" fontId="7" fillId="2" borderId="0" xfId="0" applyNumberFormat="1" applyFont="1" applyFill="1" applyBorder="1" applyAlignment="1">
      <alignment vertical="center"/>
    </xf>
    <xf numFmtId="168" fontId="19" fillId="0" borderId="0" xfId="0" applyNumberFormat="1" applyFont="1"/>
    <xf numFmtId="172" fontId="10" fillId="2" borderId="0" xfId="0" applyNumberFormat="1" applyFont="1" applyFill="1" applyBorder="1" applyAlignment="1">
      <alignment vertical="center"/>
    </xf>
    <xf numFmtId="168" fontId="4" fillId="2" borderId="0" xfId="0" applyNumberFormat="1" applyFont="1" applyFill="1" applyBorder="1" applyAlignment="1">
      <alignment horizontal="center" vertical="center"/>
    </xf>
    <xf numFmtId="172" fontId="4" fillId="2" borderId="0" xfId="0" quotePrefix="1" applyNumberFormat="1" applyFont="1" applyFill="1" applyBorder="1" applyAlignment="1">
      <alignment horizontal="right" vertical="center"/>
    </xf>
    <xf numFmtId="172" fontId="4" fillId="2" borderId="0" xfId="0" applyNumberFormat="1" applyFont="1" applyFill="1" applyBorder="1" applyAlignment="1">
      <alignment horizontal="right" vertical="center"/>
    </xf>
    <xf numFmtId="170" fontId="9" fillId="7" borderId="11" xfId="0" applyNumberFormat="1" applyFont="1" applyFill="1" applyBorder="1" applyAlignment="1">
      <alignment vertical="center"/>
    </xf>
    <xf numFmtId="170" fontId="9" fillId="7" borderId="12" xfId="0" applyNumberFormat="1" applyFont="1" applyFill="1" applyBorder="1" applyAlignment="1">
      <alignment vertical="center"/>
    </xf>
    <xf numFmtId="170" fontId="9" fillId="7" borderId="13" xfId="0" applyNumberFormat="1" applyFont="1" applyFill="1" applyBorder="1" applyAlignment="1">
      <alignment vertical="center"/>
    </xf>
    <xf numFmtId="167" fontId="18" fillId="5" borderId="11" xfId="0" applyNumberFormat="1" applyFont="1" applyFill="1" applyBorder="1" applyAlignment="1">
      <alignment horizontal="left" vertical="center"/>
    </xf>
    <xf numFmtId="172" fontId="4" fillId="5" borderId="12" xfId="0" applyNumberFormat="1" applyFont="1" applyFill="1" applyBorder="1" applyAlignment="1">
      <alignment vertical="center"/>
    </xf>
    <xf numFmtId="167" fontId="20" fillId="2" borderId="0" xfId="0" applyNumberFormat="1" applyFont="1" applyFill="1" applyAlignment="1">
      <alignment horizontal="left" vertical="center"/>
    </xf>
    <xf numFmtId="9" fontId="21" fillId="3" borderId="11" xfId="0" applyNumberFormat="1" applyFont="1" applyFill="1" applyBorder="1" applyAlignment="1">
      <alignment horizontal="left" vertical="center"/>
    </xf>
    <xf numFmtId="0" fontId="21" fillId="3" borderId="12" xfId="0" applyFont="1" applyFill="1" applyBorder="1" applyAlignment="1">
      <alignment vertical="center"/>
    </xf>
    <xf numFmtId="0" fontId="21" fillId="3" borderId="13" xfId="0" applyFont="1" applyFill="1" applyBorder="1" applyAlignment="1">
      <alignment vertical="center"/>
    </xf>
    <xf numFmtId="167" fontId="20" fillId="2" borderId="0" xfId="0" applyNumberFormat="1" applyFont="1" applyFill="1" applyAlignment="1">
      <alignment horizontal="center" vertical="center"/>
    </xf>
    <xf numFmtId="168" fontId="22" fillId="6" borderId="0" xfId="0" applyNumberFormat="1" applyFont="1" applyFill="1" applyBorder="1" applyAlignment="1">
      <alignment horizontal="center" vertical="center"/>
    </xf>
    <xf numFmtId="167" fontId="20" fillId="2" borderId="0" xfId="0" applyNumberFormat="1" applyFont="1" applyFill="1" applyAlignment="1">
      <alignment vertical="center"/>
    </xf>
    <xf numFmtId="167" fontId="22" fillId="2" borderId="0" xfId="0" applyNumberFormat="1" applyFont="1" applyFill="1" applyAlignment="1">
      <alignment horizontal="left" vertical="center"/>
    </xf>
    <xf numFmtId="167" fontId="22" fillId="2" borderId="0" xfId="0" applyNumberFormat="1" applyFont="1" applyFill="1" applyAlignment="1">
      <alignment horizontal="center" vertical="center"/>
    </xf>
    <xf numFmtId="167" fontId="22" fillId="2" borderId="0" xfId="0" applyNumberFormat="1" applyFont="1" applyFill="1" applyAlignment="1">
      <alignment vertical="center"/>
    </xf>
    <xf numFmtId="9" fontId="22" fillId="2" borderId="0" xfId="0" applyNumberFormat="1" applyFont="1" applyFill="1" applyAlignment="1">
      <alignment horizontal="left" vertical="center"/>
    </xf>
    <xf numFmtId="0" fontId="22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22" fillId="2" borderId="0" xfId="0" applyFont="1" applyFill="1" applyAlignment="1">
      <alignment vertical="center"/>
    </xf>
    <xf numFmtId="167" fontId="22" fillId="0" borderId="0" xfId="0" applyNumberFormat="1" applyFont="1" applyFill="1" applyAlignment="1">
      <alignment horizontal="right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0" fontId="22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6" fontId="5" fillId="2" borderId="0" xfId="0" applyNumberFormat="1" applyFont="1" applyFill="1" applyBorder="1" applyAlignment="1">
      <alignment horizontal="left" vertical="center" indent="2"/>
    </xf>
    <xf numFmtId="170" fontId="5" fillId="2" borderId="0" xfId="0" applyNumberFormat="1" applyFont="1" applyFill="1" applyBorder="1" applyAlignment="1">
      <alignment vertical="center"/>
    </xf>
    <xf numFmtId="168" fontId="23" fillId="2" borderId="0" xfId="0" applyNumberFormat="1" applyFont="1" applyFill="1" applyBorder="1" applyAlignment="1">
      <alignment horizontal="right" vertical="center"/>
    </xf>
    <xf numFmtId="172" fontId="10" fillId="0" borderId="0" xfId="0" applyNumberFormat="1" applyFont="1"/>
    <xf numFmtId="178" fontId="10" fillId="0" borderId="0" xfId="0" applyNumberFormat="1" applyFont="1"/>
    <xf numFmtId="6" fontId="10" fillId="0" borderId="0" xfId="0" applyNumberFormat="1" applyFont="1"/>
    <xf numFmtId="177" fontId="10" fillId="0" borderId="0" xfId="0" applyNumberFormat="1" applyFont="1"/>
    <xf numFmtId="0" fontId="24" fillId="0" borderId="0" xfId="0" applyFont="1"/>
    <xf numFmtId="166" fontId="16" fillId="2" borderId="0" xfId="0" applyNumberFormat="1" applyFont="1" applyFill="1" applyBorder="1" applyAlignment="1">
      <alignment vertical="center"/>
    </xf>
    <xf numFmtId="168" fontId="16" fillId="2" borderId="0" xfId="0" applyNumberFormat="1" applyFont="1" applyFill="1" applyBorder="1" applyAlignment="1">
      <alignment vertical="center"/>
    </xf>
    <xf numFmtId="168" fontId="16" fillId="2" borderId="0" xfId="0" applyNumberFormat="1" applyFont="1" applyFill="1" applyBorder="1" applyAlignment="1">
      <alignment horizontal="right" vertical="center"/>
    </xf>
    <xf numFmtId="168" fontId="25" fillId="2" borderId="0" xfId="0" applyNumberFormat="1" applyFont="1" applyFill="1" applyBorder="1" applyAlignment="1">
      <alignment vertical="center"/>
    </xf>
    <xf numFmtId="0" fontId="0" fillId="2" borderId="0" xfId="0" applyFill="1" applyBorder="1"/>
    <xf numFmtId="164" fontId="3" fillId="2" borderId="0" xfId="0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0" fillId="0" borderId="0" xfId="0" applyAlignment="1">
      <alignment horizontal="left" indent="1"/>
    </xf>
    <xf numFmtId="0" fontId="26" fillId="2" borderId="0" xfId="0" applyFont="1" applyFill="1" applyBorder="1" applyAlignment="1">
      <alignment vertical="center"/>
    </xf>
    <xf numFmtId="0" fontId="27" fillId="7" borderId="14" xfId="0" applyFont="1" applyFill="1" applyBorder="1" applyAlignment="1">
      <alignment horizontal="center"/>
    </xf>
    <xf numFmtId="170" fontId="28" fillId="0" borderId="0" xfId="0" applyNumberFormat="1" applyFont="1"/>
    <xf numFmtId="170" fontId="29" fillId="0" borderId="0" xfId="0" applyNumberFormat="1" applyFont="1"/>
    <xf numFmtId="0" fontId="17" fillId="8" borderId="11" xfId="0" applyFont="1" applyFill="1" applyBorder="1"/>
    <xf numFmtId="170" fontId="19" fillId="2" borderId="0" xfId="0" applyNumberFormat="1" applyFont="1" applyFill="1" applyBorder="1" applyAlignment="1">
      <alignment horizontal="right" vertical="center"/>
    </xf>
    <xf numFmtId="0" fontId="17" fillId="8" borderId="12" xfId="0" applyFont="1" applyFill="1" applyBorder="1"/>
    <xf numFmtId="0" fontId="17" fillId="8" borderId="13" xfId="0" applyFont="1" applyFill="1" applyBorder="1"/>
    <xf numFmtId="170" fontId="10" fillId="2" borderId="0" xfId="0" applyNumberFormat="1" applyFont="1" applyFill="1" applyBorder="1" applyAlignment="1">
      <alignment vertical="center"/>
    </xf>
    <xf numFmtId="167" fontId="10" fillId="2" borderId="0" xfId="0" applyNumberFormat="1" applyFont="1" applyFill="1" applyBorder="1" applyAlignment="1">
      <alignment vertical="center"/>
    </xf>
    <xf numFmtId="168" fontId="4" fillId="9" borderId="14" xfId="0" applyNumberFormat="1" applyFont="1" applyFill="1" applyBorder="1" applyAlignment="1">
      <alignment vertical="center"/>
    </xf>
    <xf numFmtId="0" fontId="18" fillId="2" borderId="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right" vertical="center"/>
    </xf>
    <xf numFmtId="0" fontId="5" fillId="2" borderId="12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centerContinuous" vertical="center"/>
    </xf>
    <xf numFmtId="0" fontId="2" fillId="4" borderId="0" xfId="0" applyFont="1" applyFill="1" applyBorder="1" applyAlignment="1">
      <alignment horizontal="centerContinuous" vertical="center"/>
    </xf>
    <xf numFmtId="0" fontId="2" fillId="4" borderId="5" xfId="0" applyFont="1" applyFill="1" applyBorder="1" applyAlignment="1">
      <alignment horizontal="centerContinuous" vertical="center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vertical="center"/>
    </xf>
    <xf numFmtId="167" fontId="18" fillId="7" borderId="0" xfId="0" applyNumberFormat="1" applyFont="1" applyFill="1" applyBorder="1" applyAlignment="1">
      <alignment horizontal="left" vertical="center"/>
    </xf>
    <xf numFmtId="168" fontId="4" fillId="7" borderId="0" xfId="0" applyNumberFormat="1" applyFont="1" applyFill="1" applyBorder="1" applyAlignment="1">
      <alignment vertical="center"/>
    </xf>
    <xf numFmtId="167" fontId="9" fillId="2" borderId="0" xfId="0" applyNumberFormat="1" applyFont="1" applyFill="1" applyBorder="1" applyAlignment="1">
      <alignment horizontal="left" vertical="center"/>
    </xf>
    <xf numFmtId="179" fontId="4" fillId="7" borderId="0" xfId="0" applyNumberFormat="1" applyFont="1" applyFill="1"/>
    <xf numFmtId="0" fontId="11" fillId="0" borderId="17" xfId="0" applyFont="1" applyBorder="1"/>
    <xf numFmtId="0" fontId="4" fillId="0" borderId="18" xfId="0" applyFont="1" applyBorder="1"/>
    <xf numFmtId="0" fontId="5" fillId="0" borderId="18" xfId="0" applyNumberFormat="1" applyFont="1" applyBorder="1"/>
    <xf numFmtId="0" fontId="5" fillId="0" borderId="19" xfId="0" applyNumberFormat="1" applyFont="1" applyBorder="1"/>
    <xf numFmtId="0" fontId="11" fillId="0" borderId="4" xfId="0" applyFont="1" applyBorder="1"/>
    <xf numFmtId="9" fontId="3" fillId="2" borderId="5" xfId="1" applyFont="1" applyFill="1" applyBorder="1" applyAlignment="1">
      <alignment vertical="center"/>
    </xf>
    <xf numFmtId="0" fontId="5" fillId="0" borderId="4" xfId="0" applyFont="1" applyBorder="1"/>
    <xf numFmtId="3" fontId="3" fillId="2" borderId="5" xfId="0" applyNumberFormat="1" applyFont="1" applyFill="1" applyBorder="1" applyAlignment="1">
      <alignment vertical="center"/>
    </xf>
    <xf numFmtId="0" fontId="4" fillId="0" borderId="4" xfId="0" applyFont="1" applyBorder="1"/>
    <xf numFmtId="0" fontId="5" fillId="0" borderId="2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3" fontId="12" fillId="0" borderId="0" xfId="2" applyNumberFormat="1" applyFont="1" applyBorder="1" applyAlignment="1">
      <alignment vertical="center"/>
    </xf>
    <xf numFmtId="168" fontId="4" fillId="2" borderId="5" xfId="0" applyNumberFormat="1" applyFont="1" applyFill="1" applyBorder="1" applyAlignment="1">
      <alignment horizontal="right" vertical="center"/>
    </xf>
    <xf numFmtId="167" fontId="4" fillId="0" borderId="0" xfId="0" applyNumberFormat="1" applyFont="1" applyFill="1" applyBorder="1" applyAlignment="1">
      <alignment horizontal="right"/>
    </xf>
    <xf numFmtId="0" fontId="9" fillId="0" borderId="0" xfId="0" applyFont="1" applyBorder="1" applyAlignment="1">
      <alignment horizontal="left" indent="1"/>
    </xf>
    <xf numFmtId="173" fontId="7" fillId="0" borderId="0" xfId="2" applyNumberFormat="1" applyFont="1" applyBorder="1" applyAlignment="1">
      <alignment vertical="center"/>
    </xf>
    <xf numFmtId="168" fontId="4" fillId="2" borderId="5" xfId="0" applyNumberFormat="1" applyFont="1" applyFill="1" applyBorder="1" applyAlignment="1">
      <alignment vertical="center"/>
    </xf>
    <xf numFmtId="173" fontId="16" fillId="0" borderId="0" xfId="2" applyNumberFormat="1" applyFont="1" applyBorder="1" applyAlignment="1">
      <alignment vertical="center"/>
    </xf>
    <xf numFmtId="168" fontId="4" fillId="0" borderId="0" xfId="0" applyNumberFormat="1" applyFont="1" applyBorder="1"/>
    <xf numFmtId="168" fontId="4" fillId="0" borderId="5" xfId="0" applyNumberFormat="1" applyFont="1" applyBorder="1"/>
    <xf numFmtId="167" fontId="4" fillId="0" borderId="0" xfId="0" applyNumberFormat="1" applyFont="1" applyFill="1" applyBorder="1" applyAlignment="1">
      <alignment horizontal="right" vertical="center"/>
    </xf>
    <xf numFmtId="168" fontId="10" fillId="0" borderId="0" xfId="0" applyNumberFormat="1" applyFont="1" applyFill="1" applyBorder="1" applyAlignment="1">
      <alignment horizontal="right" vertical="center"/>
    </xf>
    <xf numFmtId="172" fontId="4" fillId="0" borderId="0" xfId="0" applyNumberFormat="1" applyFont="1" applyBorder="1"/>
    <xf numFmtId="172" fontId="4" fillId="0" borderId="5" xfId="0" applyNumberFormat="1" applyFont="1" applyBorder="1"/>
    <xf numFmtId="173" fontId="4" fillId="0" borderId="0" xfId="2" applyNumberFormat="1" applyFont="1" applyBorder="1" applyAlignment="1">
      <alignment vertical="center"/>
    </xf>
    <xf numFmtId="0" fontId="4" fillId="0" borderId="0" xfId="0" applyFont="1" applyBorder="1" applyAlignment="1">
      <alignment horizontal="left" indent="1"/>
    </xf>
    <xf numFmtId="0" fontId="5" fillId="0" borderId="20" xfId="0" applyNumberFormat="1" applyFont="1" applyBorder="1" applyAlignment="1">
      <alignment vertical="center"/>
    </xf>
    <xf numFmtId="173" fontId="4" fillId="0" borderId="0" xfId="0" applyNumberFormat="1" applyFont="1" applyBorder="1" applyAlignment="1">
      <alignment vertical="center"/>
    </xf>
    <xf numFmtId="0" fontId="4" fillId="0" borderId="5" xfId="0" applyFont="1" applyBorder="1"/>
    <xf numFmtId="170" fontId="9" fillId="0" borderId="0" xfId="0" applyNumberFormat="1" applyFont="1" applyBorder="1"/>
    <xf numFmtId="170" fontId="9" fillId="0" borderId="5" xfId="0" applyNumberFormat="1" applyFont="1" applyBorder="1"/>
    <xf numFmtId="175" fontId="4" fillId="0" borderId="0" xfId="0" applyNumberFormat="1" applyFont="1" applyBorder="1"/>
    <xf numFmtId="175" fontId="4" fillId="0" borderId="5" xfId="0" applyNumberFormat="1" applyFont="1" applyBorder="1"/>
    <xf numFmtId="167" fontId="4" fillId="0" borderId="4" xfId="0" applyNumberFormat="1" applyFont="1" applyFill="1" applyBorder="1" applyAlignment="1">
      <alignment horizontal="left"/>
    </xf>
    <xf numFmtId="0" fontId="5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3" fontId="5" fillId="0" borderId="0" xfId="0" applyNumberFormat="1" applyFont="1" applyBorder="1" applyAlignment="1">
      <alignment vertical="center"/>
    </xf>
    <xf numFmtId="166" fontId="12" fillId="0" borderId="0" xfId="0" applyNumberFormat="1" applyFont="1" applyBorder="1" applyAlignment="1">
      <alignment vertical="center"/>
    </xf>
    <xf numFmtId="166" fontId="4" fillId="0" borderId="0" xfId="0" applyNumberFormat="1" applyFont="1" applyBorder="1" applyAlignment="1">
      <alignment vertical="center"/>
    </xf>
    <xf numFmtId="167" fontId="4" fillId="0" borderId="0" xfId="0" applyNumberFormat="1" applyFont="1" applyFill="1" applyBorder="1" applyAlignment="1">
      <alignment horizontal="left"/>
    </xf>
    <xf numFmtId="167" fontId="4" fillId="0" borderId="7" xfId="0" applyNumberFormat="1" applyFont="1" applyFill="1" applyBorder="1" applyAlignment="1">
      <alignment horizontal="right"/>
    </xf>
    <xf numFmtId="0" fontId="4" fillId="0" borderId="7" xfId="0" applyFont="1" applyBorder="1"/>
    <xf numFmtId="0" fontId="4" fillId="0" borderId="8" xfId="0" applyFont="1" applyBorder="1"/>
    <xf numFmtId="4" fontId="5" fillId="5" borderId="1" xfId="0" applyNumberFormat="1" applyFont="1" applyFill="1" applyBorder="1" applyAlignment="1">
      <alignment horizontal="left" vertical="center"/>
    </xf>
    <xf numFmtId="169" fontId="4" fillId="5" borderId="2" xfId="0" applyNumberFormat="1" applyFont="1" applyFill="1" applyBorder="1" applyAlignment="1">
      <alignment vertical="center"/>
    </xf>
    <xf numFmtId="169" fontId="4" fillId="5" borderId="3" xfId="0" applyNumberFormat="1" applyFont="1" applyFill="1" applyBorder="1" applyAlignment="1">
      <alignment vertical="center"/>
    </xf>
    <xf numFmtId="169" fontId="4" fillId="2" borderId="0" xfId="0" applyNumberFormat="1" applyFont="1" applyFill="1" applyBorder="1" applyAlignment="1">
      <alignment vertical="center"/>
    </xf>
    <xf numFmtId="170" fontId="19" fillId="2" borderId="0" xfId="0" quotePrefix="1" applyNumberFormat="1" applyFont="1" applyFill="1" applyBorder="1" applyAlignment="1">
      <alignment horizontal="right" vertical="center"/>
    </xf>
    <xf numFmtId="170" fontId="13" fillId="2" borderId="0" xfId="0" quotePrefix="1" applyNumberFormat="1" applyFont="1" applyFill="1" applyBorder="1" applyAlignment="1">
      <alignment horizontal="right" vertical="center"/>
    </xf>
    <xf numFmtId="167" fontId="5" fillId="5" borderId="0" xfId="0" applyNumberFormat="1" applyFont="1" applyFill="1" applyBorder="1" applyAlignment="1">
      <alignment horizontal="left" vertical="center"/>
    </xf>
    <xf numFmtId="167" fontId="4" fillId="5" borderId="0" xfId="0" applyNumberFormat="1" applyFont="1" applyFill="1" applyBorder="1" applyAlignment="1">
      <alignment vertical="center"/>
    </xf>
    <xf numFmtId="167" fontId="4" fillId="5" borderId="0" xfId="0" quotePrefix="1" applyNumberFormat="1" applyFont="1" applyFill="1" applyBorder="1" applyAlignment="1">
      <alignment horizontal="right" vertical="center"/>
    </xf>
    <xf numFmtId="167" fontId="4" fillId="5" borderId="0" xfId="0" applyNumberFormat="1" applyFont="1" applyFill="1" applyBorder="1" applyAlignment="1">
      <alignment horizontal="right" vertical="center"/>
    </xf>
    <xf numFmtId="4" fontId="5" fillId="2" borderId="0" xfId="0" applyNumberFormat="1" applyFont="1" applyFill="1" applyBorder="1" applyAlignment="1">
      <alignment horizontal="left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579782</xdr:colOff>
      <xdr:row>1</xdr:row>
      <xdr:rowOff>0</xdr:rowOff>
    </xdr:from>
    <xdr:to>
      <xdr:col>19</xdr:col>
      <xdr:colOff>3708</xdr:colOff>
      <xdr:row>13</xdr:row>
      <xdr:rowOff>41282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BBCD43-B0B5-4592-A1BD-ED14BD16D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8043" y="165652"/>
          <a:ext cx="5801535" cy="2029108"/>
        </a:xfrm>
        <a:prstGeom prst="rect">
          <a:avLst/>
        </a:prstGeom>
      </xdr:spPr>
    </xdr:pic>
    <xdr:clientData/>
  </xdr:twoCellAnchor>
  <xdr:twoCellAnchor editAs="oneCell">
    <xdr:from>
      <xdr:col>8</xdr:col>
      <xdr:colOff>579782</xdr:colOff>
      <xdr:row>15</xdr:row>
      <xdr:rowOff>0</xdr:rowOff>
    </xdr:from>
    <xdr:to>
      <xdr:col>29</xdr:col>
      <xdr:colOff>188417</xdr:colOff>
      <xdr:row>33</xdr:row>
      <xdr:rowOff>76213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26DB76-D826-4C75-B237-01C0DB238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8043" y="2484783"/>
          <a:ext cx="11784070" cy="3057952"/>
        </a:xfrm>
        <a:prstGeom prst="rect">
          <a:avLst/>
        </a:prstGeom>
      </xdr:spPr>
    </xdr:pic>
    <xdr:clientData/>
  </xdr:twoCellAnchor>
  <xdr:twoCellAnchor editAs="oneCell">
    <xdr:from>
      <xdr:col>9</xdr:col>
      <xdr:colOff>157369</xdr:colOff>
      <xdr:row>34</xdr:row>
      <xdr:rowOff>16563</xdr:rowOff>
    </xdr:from>
    <xdr:to>
      <xdr:col>27</xdr:col>
      <xdr:colOff>562245</xdr:colOff>
      <xdr:row>58</xdr:row>
      <xdr:rowOff>70548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87169A7-5671-4C2E-BFCC-F0F8EE86E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75412" y="5648737"/>
          <a:ext cx="10840963" cy="4029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J51"/>
  <sheetViews>
    <sheetView showGridLines="0" tabSelected="1" view="pageBreakPreview" zoomScaleNormal="100" zoomScaleSheetLayoutView="100" workbookViewId="0"/>
  </sheetViews>
  <sheetFormatPr defaultColWidth="9.140625" defaultRowHeight="12.75" outlineLevelCol="2" x14ac:dyDescent="0.2"/>
  <cols>
    <col min="1" max="2" width="2.5703125" style="87" customWidth="1"/>
    <col min="3" max="3" width="25.5703125" style="87" bestFit="1" customWidth="1"/>
    <col min="4" max="4" width="2.5703125" style="87" customWidth="1"/>
    <col min="5" max="6" width="8.140625" style="87" bestFit="1" customWidth="1"/>
    <col min="7" max="7" width="9.140625" style="87" bestFit="1" customWidth="1"/>
    <col min="8" max="8" width="6.42578125" style="87" customWidth="1"/>
    <col min="9" max="9" width="17.5703125" style="87" customWidth="1"/>
    <col min="10" max="12" width="9.140625" style="88" hidden="1" customWidth="1" outlineLevel="2"/>
    <col min="13" max="13" width="9.140625" style="88" hidden="1" customWidth="1" outlineLevel="2" collapsed="1"/>
    <col min="14" max="14" width="15.140625" style="88" hidden="1" customWidth="1" outlineLevel="2" collapsed="1"/>
    <col min="15" max="15" width="7.5703125" style="88" customWidth="1" collapsed="1"/>
    <col min="16" max="19" width="7.5703125" style="88" hidden="1" customWidth="1" outlineLevel="1"/>
    <col min="20" max="20" width="7.5703125" style="88" customWidth="1" collapsed="1"/>
    <col min="21" max="24" width="7.5703125" style="88" hidden="1" customWidth="1" outlineLevel="1"/>
    <col min="25" max="25" width="7.5703125" style="88" customWidth="1" collapsed="1"/>
    <col min="26" max="29" width="7.5703125" style="88" hidden="1" customWidth="1" outlineLevel="1"/>
    <col min="30" max="30" width="7.5703125" style="88" customWidth="1" collapsed="1"/>
    <col min="31" max="34" width="7.5703125" style="88" hidden="1" customWidth="1" outlineLevel="1"/>
    <col min="35" max="35" width="7.5703125" style="88" customWidth="1" collapsed="1"/>
    <col min="36" max="39" width="7.5703125" style="88" hidden="1" customWidth="1" outlineLevel="1"/>
    <col min="40" max="40" width="7.5703125" style="88" customWidth="1" collapsed="1"/>
    <col min="41" max="44" width="7.5703125" style="88" hidden="1" customWidth="1" outlineLevel="1"/>
    <col min="45" max="45" width="7.5703125" style="88" customWidth="1" collapsed="1"/>
    <col min="46" max="49" width="7.5703125" style="88" hidden="1" customWidth="1" outlineLevel="1"/>
    <col min="50" max="50" width="7.5703125" style="88" customWidth="1" collapsed="1"/>
    <col min="51" max="54" width="7.5703125" style="88" hidden="1" customWidth="1" outlineLevel="1"/>
    <col min="55" max="55" width="7.5703125" style="88" customWidth="1" collapsed="1"/>
    <col min="56" max="59" width="7.5703125" style="88" hidden="1" customWidth="1" outlineLevel="1"/>
    <col min="60" max="60" width="7.5703125" style="88" customWidth="1" collapsed="1"/>
    <col min="61" max="62" width="9.140625" style="88" customWidth="1"/>
    <col min="63" max="16384" width="9.140625" style="88"/>
  </cols>
  <sheetData>
    <row r="2" spans="1:62" s="27" customFormat="1" ht="15" customHeight="1" thickBot="1" x14ac:dyDescent="0.25">
      <c r="A2" s="26"/>
      <c r="B2" s="318" t="s">
        <v>313</v>
      </c>
      <c r="C2" s="319"/>
      <c r="D2" s="319"/>
      <c r="E2" s="319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0"/>
      <c r="AK2" s="320"/>
      <c r="AL2" s="320"/>
      <c r="AM2" s="320"/>
      <c r="AN2" s="320"/>
      <c r="AO2" s="320"/>
      <c r="AP2" s="320"/>
      <c r="AQ2" s="320"/>
      <c r="AR2" s="320"/>
      <c r="AS2" s="320"/>
      <c r="AT2" s="320"/>
      <c r="AU2" s="320"/>
      <c r="AV2" s="320"/>
      <c r="AW2" s="320"/>
      <c r="AX2" s="320"/>
      <c r="AY2" s="320"/>
      <c r="AZ2" s="320"/>
      <c r="BA2" s="320"/>
      <c r="BB2" s="320"/>
      <c r="BC2" s="320"/>
      <c r="BD2" s="320"/>
      <c r="BE2" s="320"/>
      <c r="BF2" s="320"/>
      <c r="BG2" s="320"/>
      <c r="BH2" s="321"/>
    </row>
    <row r="3" spans="1:62" s="27" customFormat="1" ht="15" customHeight="1" x14ac:dyDescent="0.2">
      <c r="A3" s="26"/>
      <c r="B3" s="322" t="s">
        <v>100</v>
      </c>
      <c r="C3" s="114"/>
      <c r="D3" s="114"/>
      <c r="E3" s="114"/>
      <c r="F3" s="115"/>
      <c r="G3" s="115"/>
      <c r="H3" s="30"/>
      <c r="I3" s="30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8"/>
      <c r="AM3" s="118"/>
      <c r="AN3" s="118"/>
      <c r="AO3" s="118"/>
      <c r="AP3" s="118"/>
      <c r="AQ3" s="118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323"/>
    </row>
    <row r="4" spans="1:62" s="29" customFormat="1" ht="15" customHeight="1" x14ac:dyDescent="0.2">
      <c r="A4" s="28"/>
      <c r="B4" s="324" t="s">
        <v>101</v>
      </c>
      <c r="C4" s="114"/>
      <c r="D4" s="114"/>
      <c r="E4" s="114"/>
      <c r="F4" s="114"/>
      <c r="G4" s="114"/>
      <c r="H4" s="32"/>
      <c r="I4" s="32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325"/>
    </row>
    <row r="5" spans="1:62" s="31" customFormat="1" ht="15" customHeight="1" x14ac:dyDescent="0.2">
      <c r="A5" s="30"/>
      <c r="B5" s="326"/>
      <c r="C5" s="114"/>
      <c r="D5" s="114"/>
      <c r="E5" s="114"/>
      <c r="F5" s="114"/>
      <c r="G5" s="114"/>
      <c r="H5" s="1"/>
      <c r="I5" s="1"/>
      <c r="J5" s="3"/>
      <c r="K5" s="3"/>
      <c r="L5" s="3"/>
      <c r="M5" s="3"/>
      <c r="N5" s="3"/>
      <c r="O5" s="3"/>
      <c r="P5" s="4"/>
      <c r="Q5" s="4"/>
      <c r="R5" s="4"/>
      <c r="S5" s="4"/>
      <c r="T5" s="3"/>
      <c r="U5" s="4"/>
      <c r="V5" s="4"/>
      <c r="W5" s="4"/>
      <c r="X5" s="4"/>
      <c r="Y5" s="3"/>
      <c r="Z5" s="4"/>
      <c r="AA5" s="4"/>
      <c r="AB5" s="4"/>
      <c r="AC5" s="4"/>
      <c r="AD5" s="3"/>
      <c r="AE5" s="4"/>
      <c r="AF5" s="4"/>
      <c r="AG5" s="4"/>
      <c r="AH5" s="4"/>
      <c r="AI5" s="3"/>
      <c r="AJ5" s="4"/>
      <c r="AK5" s="4"/>
      <c r="AL5" s="4"/>
      <c r="AM5" s="4"/>
      <c r="AN5" s="3"/>
      <c r="AO5" s="4"/>
      <c r="AP5" s="4"/>
      <c r="AQ5" s="4"/>
      <c r="AR5" s="4"/>
      <c r="AS5" s="3"/>
      <c r="AT5" s="4"/>
      <c r="AU5" s="4"/>
      <c r="AV5" s="4"/>
      <c r="AW5" s="4"/>
      <c r="AX5" s="3"/>
      <c r="AY5" s="4"/>
      <c r="AZ5" s="4"/>
      <c r="BA5" s="4"/>
      <c r="BB5" s="4"/>
      <c r="BC5" s="3"/>
      <c r="BD5" s="4"/>
      <c r="BE5" s="4"/>
      <c r="BF5" s="4"/>
      <c r="BG5" s="4"/>
      <c r="BH5" s="3"/>
    </row>
    <row r="6" spans="1:62" s="33" customFormat="1" ht="14.1" customHeight="1" thickBot="1" x14ac:dyDescent="0.3">
      <c r="A6" s="32"/>
      <c r="B6" s="327" t="s">
        <v>80</v>
      </c>
      <c r="C6" s="162"/>
      <c r="D6" s="162"/>
      <c r="E6" s="162"/>
      <c r="F6" s="162"/>
      <c r="G6" s="162"/>
      <c r="H6" s="1"/>
      <c r="I6" s="1"/>
      <c r="J6" s="6">
        <f t="shared" ref="J6:L6" si="0">K6-1</f>
        <v>2004</v>
      </c>
      <c r="K6" s="6">
        <f t="shared" si="0"/>
        <v>2005</v>
      </c>
      <c r="L6" s="6">
        <f t="shared" si="0"/>
        <v>2006</v>
      </c>
      <c r="M6" s="6">
        <f>N6-1</f>
        <v>2007</v>
      </c>
      <c r="N6" s="6">
        <v>2008</v>
      </c>
      <c r="O6" s="121">
        <v>2009</v>
      </c>
      <c r="P6" s="122" t="s">
        <v>2</v>
      </c>
      <c r="Q6" s="122" t="s">
        <v>3</v>
      </c>
      <c r="R6" s="122" t="s">
        <v>4</v>
      </c>
      <c r="S6" s="122" t="s">
        <v>5</v>
      </c>
      <c r="T6" s="121">
        <v>2010</v>
      </c>
      <c r="U6" s="122" t="s">
        <v>2</v>
      </c>
      <c r="V6" s="122" t="s">
        <v>3</v>
      </c>
      <c r="W6" s="122" t="s">
        <v>4</v>
      </c>
      <c r="X6" s="122" t="s">
        <v>5</v>
      </c>
      <c r="Y6" s="121">
        <v>2011</v>
      </c>
      <c r="Z6" s="122" t="s">
        <v>2</v>
      </c>
      <c r="AA6" s="122" t="s">
        <v>3</v>
      </c>
      <c r="AB6" s="122" t="s">
        <v>4</v>
      </c>
      <c r="AC6" s="122" t="s">
        <v>5</v>
      </c>
      <c r="AD6" s="121">
        <v>2012</v>
      </c>
      <c r="AE6" s="122" t="s">
        <v>2</v>
      </c>
      <c r="AF6" s="122" t="s">
        <v>3</v>
      </c>
      <c r="AG6" s="122" t="s">
        <v>4</v>
      </c>
      <c r="AH6" s="122" t="s">
        <v>5</v>
      </c>
      <c r="AI6" s="121">
        <v>2013</v>
      </c>
      <c r="AJ6" s="122" t="s">
        <v>2</v>
      </c>
      <c r="AK6" s="122" t="s">
        <v>3</v>
      </c>
      <c r="AL6" s="122" t="s">
        <v>4</v>
      </c>
      <c r="AM6" s="122" t="s">
        <v>5</v>
      </c>
      <c r="AN6" s="121">
        <v>2014</v>
      </c>
      <c r="AO6" s="122" t="s">
        <v>2</v>
      </c>
      <c r="AP6" s="122" t="s">
        <v>3</v>
      </c>
      <c r="AQ6" s="122" t="s">
        <v>4</v>
      </c>
      <c r="AR6" s="122" t="s">
        <v>6</v>
      </c>
      <c r="AS6" s="121">
        <v>2015</v>
      </c>
      <c r="AT6" s="122" t="s">
        <v>7</v>
      </c>
      <c r="AU6" s="122" t="s">
        <v>8</v>
      </c>
      <c r="AV6" s="122" t="s">
        <v>9</v>
      </c>
      <c r="AW6" s="122" t="s">
        <v>6</v>
      </c>
      <c r="AX6" s="121" t="s">
        <v>10</v>
      </c>
      <c r="AY6" s="122" t="s">
        <v>7</v>
      </c>
      <c r="AZ6" s="122" t="s">
        <v>8</v>
      </c>
      <c r="BA6" s="122" t="s">
        <v>9</v>
      </c>
      <c r="BB6" s="122" t="s">
        <v>6</v>
      </c>
      <c r="BC6" s="121" t="s">
        <v>11</v>
      </c>
      <c r="BD6" s="122" t="s">
        <v>7</v>
      </c>
      <c r="BE6" s="122" t="s">
        <v>8</v>
      </c>
      <c r="BF6" s="122" t="s">
        <v>9</v>
      </c>
      <c r="BG6" s="122" t="s">
        <v>6</v>
      </c>
      <c r="BH6" s="121" t="s">
        <v>12</v>
      </c>
    </row>
    <row r="7" spans="1:62" s="5" customFormat="1" ht="14.1" customHeight="1" x14ac:dyDescent="0.2">
      <c r="A7" s="1"/>
      <c r="B7" s="328" t="s">
        <v>314</v>
      </c>
      <c r="C7" s="329"/>
      <c r="D7" s="329"/>
      <c r="E7" s="329"/>
      <c r="F7" s="329"/>
      <c r="G7" s="330">
        <v>50.86</v>
      </c>
      <c r="H7" s="26"/>
      <c r="I7" s="114" t="s">
        <v>102</v>
      </c>
      <c r="O7" s="92">
        <f>Model!H51</f>
        <v>900</v>
      </c>
      <c r="P7" s="92">
        <f>Model!I51</f>
        <v>0</v>
      </c>
      <c r="Q7" s="92">
        <f>Model!J51</f>
        <v>0</v>
      </c>
      <c r="R7" s="92">
        <f>Model!K51</f>
        <v>0</v>
      </c>
      <c r="S7" s="92">
        <f>Model!L51</f>
        <v>0</v>
      </c>
      <c r="T7" s="92">
        <f>Model!M51</f>
        <v>976</v>
      </c>
      <c r="U7" s="92">
        <f>Model!N51</f>
        <v>0</v>
      </c>
      <c r="V7" s="92">
        <f>Model!O51</f>
        <v>0</v>
      </c>
      <c r="W7" s="92">
        <f>Model!P51</f>
        <v>0</v>
      </c>
      <c r="X7" s="92">
        <f>Model!Q51</f>
        <v>0</v>
      </c>
      <c r="Y7" s="92">
        <f>Model!R51</f>
        <v>1013</v>
      </c>
      <c r="Z7" s="92">
        <f>Model!S51</f>
        <v>0</v>
      </c>
      <c r="AA7" s="92">
        <f>Model!T51</f>
        <v>0</v>
      </c>
      <c r="AB7" s="92">
        <f>Model!U51</f>
        <v>0</v>
      </c>
      <c r="AC7" s="92">
        <f>Model!V51</f>
        <v>0</v>
      </c>
      <c r="AD7" s="92">
        <f>Model!W51</f>
        <v>1070</v>
      </c>
      <c r="AE7" s="92">
        <f>Model!X51</f>
        <v>88</v>
      </c>
      <c r="AF7" s="92">
        <f>Model!Y51</f>
        <v>365</v>
      </c>
      <c r="AG7" s="92">
        <f>Model!Z51</f>
        <v>505</v>
      </c>
      <c r="AH7" s="92">
        <f>Model!AA51</f>
        <v>154</v>
      </c>
      <c r="AI7" s="92">
        <f>Model!AB51</f>
        <v>1110</v>
      </c>
      <c r="AJ7" s="92">
        <f>Model!AC51</f>
        <v>74</v>
      </c>
      <c r="AK7" s="92">
        <f>Model!AD51</f>
        <v>377</v>
      </c>
      <c r="AL7" s="92">
        <f>Model!AE51</f>
        <v>542</v>
      </c>
      <c r="AM7" s="92">
        <f>Model!AF51</f>
        <v>185</v>
      </c>
      <c r="AN7" s="92">
        <f>Model!AG51</f>
        <v>1175.7929999999999</v>
      </c>
      <c r="AO7" s="92">
        <f>Model!AH51</f>
        <v>85</v>
      </c>
      <c r="AP7" s="92">
        <f>Model!AI51</f>
        <v>386</v>
      </c>
      <c r="AQ7" s="92">
        <f>Model!AJ51</f>
        <v>575</v>
      </c>
      <c r="AR7" s="92">
        <f>Model!AK51</f>
        <v>219</v>
      </c>
      <c r="AS7" s="92">
        <f>Model!AL51</f>
        <v>1263.9380000000001</v>
      </c>
      <c r="AT7" s="92">
        <f>Model!AM51</f>
        <v>0</v>
      </c>
      <c r="AU7" s="92">
        <f>Model!AN51</f>
        <v>0</v>
      </c>
      <c r="AV7" s="92">
        <f>Model!AO51</f>
        <v>0</v>
      </c>
      <c r="AW7" s="92">
        <f>Model!AP51</f>
        <v>0</v>
      </c>
      <c r="AX7" s="92">
        <f>Model!AQ51</f>
        <v>1341.2998</v>
      </c>
      <c r="AY7" s="92">
        <f>Model!AR51</f>
        <v>0</v>
      </c>
      <c r="AZ7" s="92">
        <f>Model!AS51</f>
        <v>0</v>
      </c>
      <c r="BA7" s="92">
        <f>Model!AT51</f>
        <v>0</v>
      </c>
      <c r="BB7" s="92">
        <f>Model!AU51</f>
        <v>0</v>
      </c>
      <c r="BC7" s="92">
        <f>Model!AV51</f>
        <v>1398.3456512000002</v>
      </c>
      <c r="BD7" s="92">
        <f>Model!AW51</f>
        <v>0</v>
      </c>
      <c r="BE7" s="92">
        <f>Model!AX51</f>
        <v>0</v>
      </c>
      <c r="BF7" s="92">
        <f>Model!AY51</f>
        <v>0</v>
      </c>
      <c r="BG7" s="92">
        <f>Model!AZ51</f>
        <v>0</v>
      </c>
      <c r="BH7" s="331">
        <f>Model!BA51</f>
        <v>1431.8653026279999</v>
      </c>
    </row>
    <row r="8" spans="1:62" s="5" customFormat="1" ht="14.1" customHeight="1" x14ac:dyDescent="0.2">
      <c r="A8" s="1"/>
      <c r="B8" s="175" t="s">
        <v>81</v>
      </c>
      <c r="C8" s="164"/>
      <c r="D8" s="164"/>
      <c r="E8" s="164"/>
      <c r="F8" s="164"/>
      <c r="G8" s="165">
        <v>91.6</v>
      </c>
      <c r="H8" s="332"/>
      <c r="I8" s="333" t="s">
        <v>103</v>
      </c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2">
        <v>96</v>
      </c>
      <c r="AU8" s="92">
        <v>400</v>
      </c>
      <c r="AV8" s="92">
        <v>602</v>
      </c>
      <c r="AW8" s="92">
        <v>225</v>
      </c>
      <c r="AX8" s="92">
        <v>1320</v>
      </c>
      <c r="AY8" s="92"/>
      <c r="AZ8" s="92"/>
      <c r="BA8" s="92"/>
      <c r="BB8" s="92"/>
      <c r="BC8" s="92">
        <v>1390</v>
      </c>
      <c r="BD8" s="92"/>
      <c r="BE8" s="92"/>
      <c r="BF8" s="92"/>
      <c r="BG8" s="92"/>
      <c r="BH8" s="331">
        <v>1490</v>
      </c>
    </row>
    <row r="9" spans="1:62" s="27" customFormat="1" ht="14.1" customHeight="1" x14ac:dyDescent="0.2">
      <c r="A9" s="26"/>
      <c r="B9" s="328" t="s">
        <v>82</v>
      </c>
      <c r="C9" s="329"/>
      <c r="D9" s="329"/>
      <c r="E9" s="329"/>
      <c r="F9" s="329"/>
      <c r="G9" s="334">
        <f>G7*G8</f>
        <v>4658.7759999999998</v>
      </c>
      <c r="H9" s="332"/>
      <c r="I9" s="114" t="s">
        <v>135</v>
      </c>
      <c r="O9" s="83">
        <f>Model!H89</f>
        <v>197</v>
      </c>
      <c r="P9" s="83">
        <f>Model!I89</f>
        <v>0</v>
      </c>
      <c r="Q9" s="83">
        <f>Model!J89</f>
        <v>0</v>
      </c>
      <c r="R9" s="83">
        <f>Model!K89</f>
        <v>0</v>
      </c>
      <c r="S9" s="83">
        <f>Model!L89</f>
        <v>0</v>
      </c>
      <c r="T9" s="83">
        <f>Model!M89</f>
        <v>295</v>
      </c>
      <c r="U9" s="83">
        <f>Model!N89</f>
        <v>0</v>
      </c>
      <c r="V9" s="83">
        <f>Model!O89</f>
        <v>0</v>
      </c>
      <c r="W9" s="83">
        <f>Model!P89</f>
        <v>0</v>
      </c>
      <c r="X9" s="83">
        <f>Model!Q89</f>
        <v>0</v>
      </c>
      <c r="Y9" s="83">
        <f>Model!R89</f>
        <v>350</v>
      </c>
      <c r="Z9" s="83">
        <f>Model!S89</f>
        <v>0</v>
      </c>
      <c r="AA9" s="83">
        <f>Model!T89</f>
        <v>0</v>
      </c>
      <c r="AB9" s="83">
        <f>Model!U89</f>
        <v>0</v>
      </c>
      <c r="AC9" s="83">
        <f>Model!V89</f>
        <v>0</v>
      </c>
      <c r="AD9" s="83">
        <f>Model!W89</f>
        <v>383</v>
      </c>
      <c r="AE9" s="83">
        <f>Model!X89</f>
        <v>0</v>
      </c>
      <c r="AF9" s="83">
        <f>Model!Y89</f>
        <v>0</v>
      </c>
      <c r="AG9" s="83">
        <f>Model!Z89</f>
        <v>0</v>
      </c>
      <c r="AH9" s="83">
        <f>Model!AA89</f>
        <v>0</v>
      </c>
      <c r="AI9" s="83">
        <f>Model!AB89</f>
        <v>404.11200000000002</v>
      </c>
      <c r="AJ9" s="83">
        <f>Model!AC89</f>
        <v>0</v>
      </c>
      <c r="AK9" s="83">
        <f>Model!AD89</f>
        <v>0</v>
      </c>
      <c r="AL9" s="83">
        <f>Model!AE89</f>
        <v>0</v>
      </c>
      <c r="AM9" s="83">
        <f>Model!AF89</f>
        <v>0</v>
      </c>
      <c r="AN9" s="83">
        <f>Model!AG89</f>
        <v>439.28699999999998</v>
      </c>
      <c r="AO9" s="83">
        <f>Model!AH89</f>
        <v>-38</v>
      </c>
      <c r="AP9" s="83">
        <f>Model!AI89</f>
        <v>149</v>
      </c>
      <c r="AQ9" s="83">
        <f>Model!AJ89</f>
        <v>308</v>
      </c>
      <c r="AR9" s="83">
        <f>Model!AK89</f>
        <v>62</v>
      </c>
      <c r="AS9" s="83">
        <f>Model!AL89</f>
        <v>481.428</v>
      </c>
      <c r="AT9" s="83">
        <f>Model!AM89</f>
        <v>0</v>
      </c>
      <c r="AU9" s="83">
        <f>Model!AN89</f>
        <v>0</v>
      </c>
      <c r="AV9" s="83">
        <f>Model!AO89</f>
        <v>0</v>
      </c>
      <c r="AW9" s="83">
        <f>Model!AP89</f>
        <v>0</v>
      </c>
      <c r="AX9" s="83">
        <f>Model!AQ87</f>
        <v>551.2282146</v>
      </c>
      <c r="AY9" s="83">
        <f>Model!AR89</f>
        <v>0</v>
      </c>
      <c r="AZ9" s="83">
        <f>Model!AS89</f>
        <v>0</v>
      </c>
      <c r="BA9" s="83">
        <f>Model!AT89</f>
        <v>0</v>
      </c>
      <c r="BB9" s="83">
        <f>Model!AU89</f>
        <v>0</v>
      </c>
      <c r="BC9" s="83">
        <f>Model!AV89</f>
        <v>539.74381321280009</v>
      </c>
      <c r="BD9" s="83">
        <f>Model!AW89</f>
        <v>0</v>
      </c>
      <c r="BE9" s="83">
        <f>Model!AX89</f>
        <v>0</v>
      </c>
      <c r="BF9" s="83">
        <f>Model!AY89</f>
        <v>0</v>
      </c>
      <c r="BG9" s="83">
        <f>Model!AZ89</f>
        <v>0</v>
      </c>
      <c r="BH9" s="335">
        <f>Model!BA89</f>
        <v>555.47360755125987</v>
      </c>
      <c r="BJ9" s="27" t="s">
        <v>33</v>
      </c>
    </row>
    <row r="10" spans="1:62" ht="14.1" customHeight="1" x14ac:dyDescent="0.2">
      <c r="B10" s="328" t="s">
        <v>83</v>
      </c>
      <c r="C10" s="329"/>
      <c r="D10" s="329"/>
      <c r="E10" s="329"/>
      <c r="F10" s="329"/>
      <c r="G10" s="336">
        <f>Model!AL184</f>
        <v>1405.768</v>
      </c>
      <c r="H10" s="332"/>
      <c r="I10" s="333" t="s">
        <v>103</v>
      </c>
      <c r="J10" s="114"/>
      <c r="K10" s="114"/>
      <c r="L10" s="114"/>
      <c r="M10" s="114"/>
      <c r="N10" s="114"/>
      <c r="O10" s="337"/>
      <c r="P10" s="337"/>
      <c r="Q10" s="337"/>
      <c r="R10" s="337"/>
      <c r="S10" s="337"/>
      <c r="T10" s="337"/>
      <c r="U10" s="337"/>
      <c r="V10" s="337"/>
      <c r="W10" s="337"/>
      <c r="X10" s="337"/>
      <c r="Y10" s="337"/>
      <c r="Z10" s="337"/>
      <c r="AA10" s="337"/>
      <c r="AB10" s="337"/>
      <c r="AC10" s="337"/>
      <c r="AD10" s="337"/>
      <c r="AE10" s="337"/>
      <c r="AF10" s="337"/>
      <c r="AG10" s="337"/>
      <c r="AH10" s="337"/>
      <c r="AI10" s="337"/>
      <c r="AJ10" s="337"/>
      <c r="AK10" s="337"/>
      <c r="AL10" s="337"/>
      <c r="AM10" s="337"/>
      <c r="AN10" s="337"/>
      <c r="AO10" s="337"/>
      <c r="AP10" s="337"/>
      <c r="AQ10" s="337"/>
      <c r="AR10" s="337"/>
      <c r="AS10" s="337"/>
      <c r="AT10" s="337">
        <v>-34</v>
      </c>
      <c r="AU10" s="337">
        <v>160</v>
      </c>
      <c r="AV10" s="337">
        <v>329</v>
      </c>
      <c r="AW10" s="337">
        <v>65</v>
      </c>
      <c r="AX10" s="337">
        <v>517.5</v>
      </c>
      <c r="AY10" s="337"/>
      <c r="AZ10" s="337"/>
      <c r="BA10" s="337"/>
      <c r="BB10" s="337"/>
      <c r="BC10" s="337">
        <v>559.1</v>
      </c>
      <c r="BD10" s="337"/>
      <c r="BE10" s="337"/>
      <c r="BF10" s="337"/>
      <c r="BG10" s="337"/>
      <c r="BH10" s="338">
        <v>597.5</v>
      </c>
      <c r="BJ10" s="27" t="s">
        <v>33</v>
      </c>
    </row>
    <row r="11" spans="1:62" ht="14.1" customHeight="1" x14ac:dyDescent="0.2">
      <c r="B11" s="328" t="s">
        <v>152</v>
      </c>
      <c r="C11" s="339"/>
      <c r="D11" s="339"/>
      <c r="E11" s="339"/>
      <c r="F11" s="339"/>
      <c r="G11" s="340">
        <v>50.3</v>
      </c>
      <c r="H11" s="332"/>
      <c r="I11" s="114" t="s">
        <v>110</v>
      </c>
      <c r="J11" s="114"/>
      <c r="K11" s="114"/>
      <c r="L11" s="114"/>
      <c r="M11" s="114"/>
      <c r="N11" s="114"/>
      <c r="O11" s="341"/>
      <c r="P11" s="341">
        <f>Model!I85</f>
        <v>0</v>
      </c>
      <c r="Q11" s="341">
        <f>Model!J85</f>
        <v>0</v>
      </c>
      <c r="R11" s="341">
        <f>Model!K85</f>
        <v>0</v>
      </c>
      <c r="S11" s="341">
        <f>Model!L85</f>
        <v>0</v>
      </c>
      <c r="T11" s="341"/>
      <c r="U11" s="341">
        <f>Model!N85</f>
        <v>0</v>
      </c>
      <c r="V11" s="341">
        <f>Model!O85</f>
        <v>0</v>
      </c>
      <c r="W11" s="341">
        <f>Model!P85</f>
        <v>0</v>
      </c>
      <c r="X11" s="341">
        <f>Model!Q85</f>
        <v>0</v>
      </c>
      <c r="Y11" s="341">
        <f>Model!R85</f>
        <v>1.1806797853309481</v>
      </c>
      <c r="Z11" s="341" t="e">
        <f>Model!S85</f>
        <v>#DIV/0!</v>
      </c>
      <c r="AA11" s="341" t="e">
        <f>Model!T85</f>
        <v>#DIV/0!</v>
      </c>
      <c r="AB11" s="341" t="e">
        <f>Model!U85</f>
        <v>#DIV/0!</v>
      </c>
      <c r="AC11" s="341" t="e">
        <f>Model!V85</f>
        <v>#DIV/0!</v>
      </c>
      <c r="AD11" s="341">
        <f>Model!W85</f>
        <v>3.0495080500894454</v>
      </c>
      <c r="AE11" s="341" t="e">
        <f>Model!X85</f>
        <v>#DIV/0!</v>
      </c>
      <c r="AF11" s="341" t="e">
        <f>Model!Y85</f>
        <v>#DIV/0!</v>
      </c>
      <c r="AG11" s="341" t="e">
        <f>Model!Z85</f>
        <v>#DIV/0!</v>
      </c>
      <c r="AH11" s="341" t="e">
        <f>Model!AA85</f>
        <v>#DIV/0!</v>
      </c>
      <c r="AI11" s="341">
        <f>Model!AB85</f>
        <v>1.2106772908366534</v>
      </c>
      <c r="AJ11" s="341" t="e">
        <f>Model!AC85</f>
        <v>#DIV/0!</v>
      </c>
      <c r="AK11" s="341" t="e">
        <f>Model!AD85</f>
        <v>#DIV/0!</v>
      </c>
      <c r="AL11" s="341" t="e">
        <f>Model!AE85</f>
        <v>#DIV/0!</v>
      </c>
      <c r="AM11" s="341" t="e">
        <f>Model!AF85</f>
        <v>#DIV/0!</v>
      </c>
      <c r="AN11" s="341">
        <f>Model!AG85</f>
        <v>0.74413863404689096</v>
      </c>
      <c r="AO11" s="341">
        <f>Model!AH85</f>
        <v>-1.1000000000000001</v>
      </c>
      <c r="AP11" s="341">
        <f>Model!AI85</f>
        <v>1.1100000000000001</v>
      </c>
      <c r="AQ11" s="341">
        <f>Model!AJ85</f>
        <v>2.71</v>
      </c>
      <c r="AR11" s="341">
        <f>Model!AK85</f>
        <v>0.27</v>
      </c>
      <c r="AS11" s="341">
        <f>Model!AL85</f>
        <v>1.578632592033151</v>
      </c>
      <c r="AT11" s="341" t="e">
        <f>Model!AM85</f>
        <v>#DIV/0!</v>
      </c>
      <c r="AU11" s="341" t="e">
        <f>Model!AN85</f>
        <v>#DIV/0!</v>
      </c>
      <c r="AV11" s="341" t="e">
        <f>Model!AO85</f>
        <v>#DIV/0!</v>
      </c>
      <c r="AW11" s="341" t="e">
        <f>Model!AP85</f>
        <v>#DIV/0!</v>
      </c>
      <c r="AX11" s="341">
        <f>Model!AQ85</f>
        <v>1.6605223236165094</v>
      </c>
      <c r="AY11" s="341" t="e">
        <f>Model!AR85</f>
        <v>#DIV/0!</v>
      </c>
      <c r="AZ11" s="341" t="e">
        <f>Model!AS85</f>
        <v>#DIV/0!</v>
      </c>
      <c r="BA11" s="341" t="e">
        <f>Model!AT85</f>
        <v>#DIV/0!</v>
      </c>
      <c r="BB11" s="341" t="e">
        <f>Model!AU85</f>
        <v>#DIV/0!</v>
      </c>
      <c r="BC11" s="341">
        <f>Model!AV85</f>
        <v>1.8015832533283977</v>
      </c>
      <c r="BD11" s="341" t="e">
        <f>Model!AW85</f>
        <v>#DIV/0!</v>
      </c>
      <c r="BE11" s="341" t="e">
        <f>Model!AX85</f>
        <v>#DIV/0!</v>
      </c>
      <c r="BF11" s="341" t="e">
        <f>Model!AY85</f>
        <v>#DIV/0!</v>
      </c>
      <c r="BG11" s="341" t="e">
        <f>Model!AZ85</f>
        <v>#DIV/0!</v>
      </c>
      <c r="BH11" s="342">
        <f>Model!BA85</f>
        <v>2.0739825523380477</v>
      </c>
      <c r="BJ11" s="27" t="s">
        <v>33</v>
      </c>
    </row>
    <row r="12" spans="1:62" ht="14.1" customHeight="1" x14ac:dyDescent="0.2">
      <c r="B12" s="175" t="s">
        <v>84</v>
      </c>
      <c r="C12" s="164"/>
      <c r="D12" s="164"/>
      <c r="E12" s="164"/>
      <c r="F12" s="164"/>
      <c r="G12" s="167">
        <f>Model!AL177</f>
        <v>435.721</v>
      </c>
      <c r="H12" s="332"/>
      <c r="I12" s="333" t="s">
        <v>103</v>
      </c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  <c r="AO12" s="114"/>
      <c r="AP12" s="114"/>
      <c r="AQ12" s="114"/>
      <c r="AR12" s="114"/>
      <c r="AS12" s="114"/>
      <c r="AT12" s="114">
        <v>-0.62</v>
      </c>
      <c r="AU12" s="114">
        <v>0.65</v>
      </c>
      <c r="AV12" s="114">
        <v>1.76</v>
      </c>
      <c r="AW12" s="114">
        <v>0.01</v>
      </c>
      <c r="AX12" s="341">
        <v>1.84</v>
      </c>
      <c r="AY12" s="114"/>
      <c r="AZ12" s="114"/>
      <c r="BA12" s="114"/>
      <c r="BB12" s="114"/>
      <c r="BC12" s="341">
        <v>1.8</v>
      </c>
      <c r="BD12" s="114"/>
      <c r="BE12" s="114"/>
      <c r="BF12" s="114"/>
      <c r="BG12" s="114"/>
      <c r="BH12" s="342">
        <v>2.4</v>
      </c>
      <c r="BJ12" s="27" t="s">
        <v>33</v>
      </c>
    </row>
    <row r="13" spans="1:62" ht="14.1" customHeight="1" x14ac:dyDescent="0.2">
      <c r="B13" s="328" t="s">
        <v>85</v>
      </c>
      <c r="C13" s="329"/>
      <c r="D13" s="329"/>
      <c r="E13" s="329"/>
      <c r="F13" s="329"/>
      <c r="G13" s="343">
        <f>SUM(G9:G12)</f>
        <v>6550.5650000000005</v>
      </c>
      <c r="H13" s="332"/>
      <c r="I13" s="114" t="s">
        <v>104</v>
      </c>
      <c r="J13" s="114"/>
      <c r="K13" s="114"/>
      <c r="L13" s="114"/>
      <c r="M13" s="114"/>
      <c r="N13" s="114"/>
      <c r="O13" s="337"/>
      <c r="P13" s="337"/>
      <c r="Q13" s="337"/>
      <c r="R13" s="337"/>
      <c r="S13" s="337"/>
      <c r="T13" s="337"/>
      <c r="U13" s="337"/>
      <c r="V13" s="337"/>
      <c r="W13" s="337"/>
      <c r="X13" s="337"/>
      <c r="Y13" s="337"/>
      <c r="Z13" s="337"/>
      <c r="AA13" s="337"/>
      <c r="AB13" s="337"/>
      <c r="AC13" s="337"/>
      <c r="AD13" s="337"/>
      <c r="AE13" s="337">
        <f>Model!X93</f>
        <v>0</v>
      </c>
      <c r="AF13" s="337">
        <f>Model!Y93</f>
        <v>0</v>
      </c>
      <c r="AG13" s="337">
        <f>Model!Z93</f>
        <v>0</v>
      </c>
      <c r="AH13" s="337">
        <f>Model!AA93</f>
        <v>0</v>
      </c>
      <c r="AI13" s="337">
        <f>Model!AB93</f>
        <v>237.14200000000002</v>
      </c>
      <c r="AJ13" s="337">
        <f>Model!AC93</f>
        <v>0</v>
      </c>
      <c r="AK13" s="337">
        <f>Model!AD93</f>
        <v>0</v>
      </c>
      <c r="AL13" s="337">
        <f>Model!AE93</f>
        <v>0</v>
      </c>
      <c r="AM13" s="337">
        <f>Model!AF93</f>
        <v>0</v>
      </c>
      <c r="AN13" s="337">
        <f>Model!AG93</f>
        <v>248.02799999999996</v>
      </c>
      <c r="AO13" s="337">
        <f>Model!AH93</f>
        <v>0</v>
      </c>
      <c r="AP13" s="337">
        <f>Model!AI93</f>
        <v>0</v>
      </c>
      <c r="AQ13" s="337">
        <f>Model!AJ93</f>
        <v>0</v>
      </c>
      <c r="AR13" s="337">
        <f>Model!AK93</f>
        <v>0</v>
      </c>
      <c r="AS13" s="337">
        <f>Model!AL93</f>
        <v>281.74</v>
      </c>
      <c r="AT13" s="337">
        <f>Model!AM93</f>
        <v>0</v>
      </c>
      <c r="AU13" s="337">
        <f>Model!AN93</f>
        <v>0</v>
      </c>
      <c r="AV13" s="337">
        <f>Model!AO93</f>
        <v>0</v>
      </c>
      <c r="AW13" s="337">
        <f>Model!AP93</f>
        <v>0</v>
      </c>
      <c r="AX13" s="337">
        <f>Model!AQ93</f>
        <v>323.51123259999997</v>
      </c>
      <c r="AY13" s="337">
        <f>Model!AR93</f>
        <v>0</v>
      </c>
      <c r="AZ13" s="337">
        <f>Model!AS93</f>
        <v>0</v>
      </c>
      <c r="BA13" s="337">
        <f>Model!AT93</f>
        <v>0</v>
      </c>
      <c r="BB13" s="337">
        <f>Model!AU93</f>
        <v>0</v>
      </c>
      <c r="BC13" s="337">
        <f>Model!AV93</f>
        <v>324.39270460480009</v>
      </c>
      <c r="BD13" s="337">
        <f>Model!AW93</f>
        <v>0</v>
      </c>
      <c r="BE13" s="337">
        <f>Model!AX93</f>
        <v>0</v>
      </c>
      <c r="BF13" s="337">
        <f>Model!AY93</f>
        <v>0</v>
      </c>
      <c r="BG13" s="337">
        <f>Model!AZ93</f>
        <v>0</v>
      </c>
      <c r="BH13" s="338">
        <f>Model!BA93</f>
        <v>337.1057303147399</v>
      </c>
      <c r="BJ13" s="27" t="s">
        <v>33</v>
      </c>
    </row>
    <row r="14" spans="1:62" ht="14.1" customHeight="1" x14ac:dyDescent="0.2">
      <c r="B14" s="328"/>
      <c r="C14" s="329"/>
      <c r="D14" s="329"/>
      <c r="E14" s="329"/>
      <c r="F14" s="329"/>
      <c r="G14" s="329"/>
      <c r="H14" s="332"/>
      <c r="I14" s="344" t="s">
        <v>286</v>
      </c>
      <c r="J14" s="114"/>
      <c r="K14" s="114"/>
      <c r="L14" s="114"/>
      <c r="M14" s="114"/>
      <c r="N14" s="114"/>
      <c r="O14" s="337"/>
      <c r="P14" s="337"/>
      <c r="Q14" s="337"/>
      <c r="R14" s="337"/>
      <c r="S14" s="337"/>
      <c r="T14" s="337"/>
      <c r="U14" s="337"/>
      <c r="V14" s="337"/>
      <c r="W14" s="337"/>
      <c r="X14" s="337"/>
      <c r="Y14" s="337"/>
      <c r="Z14" s="337"/>
      <c r="AA14" s="337"/>
      <c r="AB14" s="337"/>
      <c r="AC14" s="337"/>
      <c r="AD14" s="337"/>
      <c r="AE14" s="337">
        <f>Model!X97</f>
        <v>0</v>
      </c>
      <c r="AF14" s="337">
        <f>Model!Y97</f>
        <v>0</v>
      </c>
      <c r="AG14" s="337">
        <f>Model!Z97</f>
        <v>0</v>
      </c>
      <c r="AH14" s="337">
        <f>Model!AA97</f>
        <v>0</v>
      </c>
      <c r="AI14" s="341">
        <f>Model!AB97</f>
        <v>2.3619721115537851</v>
      </c>
      <c r="AJ14" s="341">
        <f>Model!AC97</f>
        <v>0</v>
      </c>
      <c r="AK14" s="341">
        <f>Model!AD97</f>
        <v>0</v>
      </c>
      <c r="AL14" s="341">
        <f>Model!AE97</f>
        <v>0</v>
      </c>
      <c r="AM14" s="341">
        <f>Model!AF97</f>
        <v>0</v>
      </c>
      <c r="AN14" s="341">
        <f>Model!AG97</f>
        <v>2.5283180428134555</v>
      </c>
      <c r="AO14" s="341">
        <f>Model!AH97</f>
        <v>0</v>
      </c>
      <c r="AP14" s="341">
        <f>Model!AI97</f>
        <v>0</v>
      </c>
      <c r="AQ14" s="341">
        <f>Model!AJ97</f>
        <v>0</v>
      </c>
      <c r="AR14" s="341">
        <f>Model!AK97</f>
        <v>0</v>
      </c>
      <c r="AS14" s="341">
        <f>Model!AL97</f>
        <v>2.8754554454435044</v>
      </c>
      <c r="AT14" s="341">
        <f>Model!AM97</f>
        <v>0</v>
      </c>
      <c r="AU14" s="341">
        <f>Model!AN97</f>
        <v>0</v>
      </c>
      <c r="AV14" s="341">
        <f>Model!AO97</f>
        <v>0</v>
      </c>
      <c r="AW14" s="341">
        <f>Model!AP97</f>
        <v>0</v>
      </c>
      <c r="AX14" s="341">
        <f>Model!AQ97</f>
        <v>3.412139716273928</v>
      </c>
      <c r="AY14" s="341">
        <f>Model!AR97</f>
        <v>0</v>
      </c>
      <c r="AZ14" s="341">
        <f>Model!AS97</f>
        <v>0</v>
      </c>
      <c r="BA14" s="341">
        <f>Model!AT97</f>
        <v>0</v>
      </c>
      <c r="BB14" s="341">
        <f>Model!AU97</f>
        <v>0</v>
      </c>
      <c r="BC14" s="341">
        <f>Model!AV97</f>
        <v>3.4285468090430085</v>
      </c>
      <c r="BD14" s="341">
        <f>Model!AW97</f>
        <v>0</v>
      </c>
      <c r="BE14" s="341">
        <f>Model!AX97</f>
        <v>0</v>
      </c>
      <c r="BF14" s="341">
        <f>Model!AY97</f>
        <v>0</v>
      </c>
      <c r="BG14" s="341">
        <f>Model!AZ97</f>
        <v>0</v>
      </c>
      <c r="BH14" s="342">
        <f>Model!BA97</f>
        <v>3.5518408337475207</v>
      </c>
      <c r="BJ14" s="27" t="s">
        <v>33</v>
      </c>
    </row>
    <row r="15" spans="1:62" ht="14.1" customHeight="1" thickBot="1" x14ac:dyDescent="0.25">
      <c r="B15" s="345" t="s">
        <v>86</v>
      </c>
      <c r="C15" s="168"/>
      <c r="D15" s="168"/>
      <c r="E15" s="169" t="s">
        <v>87</v>
      </c>
      <c r="F15" s="169" t="s">
        <v>88</v>
      </c>
      <c r="G15" s="169" t="s">
        <v>89</v>
      </c>
      <c r="H15" s="332"/>
      <c r="I15" s="114" t="s">
        <v>181</v>
      </c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337">
        <f>Model!AB103</f>
        <v>202.91000000000003</v>
      </c>
      <c r="AJ15" s="337">
        <f>Model!AC103</f>
        <v>0</v>
      </c>
      <c r="AK15" s="337">
        <f>Model!AD103</f>
        <v>0</v>
      </c>
      <c r="AL15" s="337">
        <f>Model!AE103</f>
        <v>0</v>
      </c>
      <c r="AM15" s="337">
        <f>Model!AF103</f>
        <v>0</v>
      </c>
      <c r="AN15" s="337">
        <f>Model!AG103</f>
        <v>217.79999999999995</v>
      </c>
      <c r="AO15" s="337">
        <f>Model!AH103</f>
        <v>36</v>
      </c>
      <c r="AP15" s="337">
        <f>Model!AI103</f>
        <v>-27</v>
      </c>
      <c r="AQ15" s="337">
        <f>Model!AJ103</f>
        <v>-93</v>
      </c>
      <c r="AR15" s="337">
        <f>Model!AK103</f>
        <v>14</v>
      </c>
      <c r="AS15" s="337">
        <f>Model!AL103</f>
        <v>226.34600000000003</v>
      </c>
      <c r="AT15" s="337">
        <f>Model!AM103</f>
        <v>0</v>
      </c>
      <c r="AU15" s="337">
        <f>Model!AN103</f>
        <v>0</v>
      </c>
      <c r="AV15" s="337">
        <f>Model!AO103</f>
        <v>0</v>
      </c>
      <c r="AW15" s="337">
        <f>Model!AP103</f>
        <v>0</v>
      </c>
      <c r="AX15" s="337">
        <f>Model!AQ103</f>
        <v>226.23067190799998</v>
      </c>
      <c r="AY15" s="337">
        <f>Model!AR103</f>
        <v>0</v>
      </c>
      <c r="AZ15" s="337">
        <f>Model!AS103</f>
        <v>0</v>
      </c>
      <c r="BA15" s="337">
        <f>Model!AT103</f>
        <v>0</v>
      </c>
      <c r="BB15" s="337">
        <f>Model!AU103</f>
        <v>0</v>
      </c>
      <c r="BC15" s="337">
        <f>Model!AV103</f>
        <v>219.46546444630405</v>
      </c>
      <c r="BD15" s="337">
        <f>Model!AW103</f>
        <v>0</v>
      </c>
      <c r="BE15" s="337">
        <f>Model!AX103</f>
        <v>0</v>
      </c>
      <c r="BF15" s="337">
        <f>Model!AY103</f>
        <v>0</v>
      </c>
      <c r="BG15" s="337">
        <f>Model!AZ103</f>
        <v>0</v>
      </c>
      <c r="BH15" s="338">
        <f>Model!BA103</f>
        <v>216.68265928842433</v>
      </c>
      <c r="BJ15" s="27" t="s">
        <v>33</v>
      </c>
    </row>
    <row r="16" spans="1:62" ht="14.1" customHeight="1" x14ac:dyDescent="0.2">
      <c r="B16" s="328" t="s">
        <v>168</v>
      </c>
      <c r="C16" s="329"/>
      <c r="D16" s="329"/>
      <c r="E16" s="346">
        <f>BC9</f>
        <v>539.74381321280009</v>
      </c>
      <c r="F16" s="346">
        <f ca="1">IF(case=2,BC9,F16)</f>
        <v>536.99686799680012</v>
      </c>
      <c r="G16" s="346">
        <f ca="1">IF(case=3,BC9,G16)</f>
        <v>463.57151493120011</v>
      </c>
      <c r="H16" s="332"/>
      <c r="I16" s="332"/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  <c r="AW16" s="114"/>
      <c r="AX16" s="114"/>
      <c r="AY16" s="114"/>
      <c r="AZ16" s="114"/>
      <c r="BA16" s="114"/>
      <c r="BB16" s="114"/>
      <c r="BC16" s="114"/>
      <c r="BD16" s="114"/>
      <c r="BE16" s="114"/>
      <c r="BF16" s="114"/>
      <c r="BG16" s="114"/>
      <c r="BH16" s="347"/>
      <c r="BJ16" s="27" t="s">
        <v>33</v>
      </c>
    </row>
    <row r="17" spans="2:62" ht="14.1" customHeight="1" x14ac:dyDescent="0.2">
      <c r="B17" s="175" t="s">
        <v>90</v>
      </c>
      <c r="C17" s="164"/>
      <c r="D17" s="164"/>
      <c r="E17" s="170">
        <v>11</v>
      </c>
      <c r="F17" s="170">
        <v>12</v>
      </c>
      <c r="G17" s="170">
        <v>10</v>
      </c>
      <c r="H17" s="332"/>
      <c r="I17" s="114" t="s">
        <v>105</v>
      </c>
      <c r="J17" s="114"/>
      <c r="K17" s="114"/>
      <c r="L17" s="114"/>
      <c r="M17" s="114"/>
      <c r="N17" s="114"/>
      <c r="O17" s="348"/>
      <c r="P17" s="348" t="e">
        <f t="shared" ref="P17:BH17" si="1">P7/K7-1</f>
        <v>#DIV/0!</v>
      </c>
      <c r="Q17" s="348" t="e">
        <f t="shared" si="1"/>
        <v>#DIV/0!</v>
      </c>
      <c r="R17" s="348" t="e">
        <f t="shared" si="1"/>
        <v>#DIV/0!</v>
      </c>
      <c r="S17" s="348" t="e">
        <f t="shared" si="1"/>
        <v>#DIV/0!</v>
      </c>
      <c r="T17" s="348">
        <f t="shared" si="1"/>
        <v>8.4444444444444544E-2</v>
      </c>
      <c r="U17" s="348" t="e">
        <f t="shared" si="1"/>
        <v>#DIV/0!</v>
      </c>
      <c r="V17" s="348" t="e">
        <f t="shared" si="1"/>
        <v>#DIV/0!</v>
      </c>
      <c r="W17" s="348" t="e">
        <f t="shared" si="1"/>
        <v>#DIV/0!</v>
      </c>
      <c r="X17" s="348" t="e">
        <f t="shared" si="1"/>
        <v>#DIV/0!</v>
      </c>
      <c r="Y17" s="348">
        <f t="shared" si="1"/>
        <v>3.7909836065573854E-2</v>
      </c>
      <c r="Z17" s="348" t="e">
        <f t="shared" si="1"/>
        <v>#DIV/0!</v>
      </c>
      <c r="AA17" s="348" t="e">
        <f t="shared" si="1"/>
        <v>#DIV/0!</v>
      </c>
      <c r="AB17" s="348" t="e">
        <f t="shared" si="1"/>
        <v>#DIV/0!</v>
      </c>
      <c r="AC17" s="348" t="e">
        <f t="shared" si="1"/>
        <v>#DIV/0!</v>
      </c>
      <c r="AD17" s="348">
        <f t="shared" si="1"/>
        <v>5.6268509378084808E-2</v>
      </c>
      <c r="AE17" s="348" t="e">
        <f t="shared" si="1"/>
        <v>#DIV/0!</v>
      </c>
      <c r="AF17" s="348" t="e">
        <f t="shared" si="1"/>
        <v>#DIV/0!</v>
      </c>
      <c r="AG17" s="348" t="e">
        <f t="shared" si="1"/>
        <v>#DIV/0!</v>
      </c>
      <c r="AH17" s="348" t="e">
        <f t="shared" si="1"/>
        <v>#DIV/0!</v>
      </c>
      <c r="AI17" s="348">
        <f t="shared" si="1"/>
        <v>3.7383177570093462E-2</v>
      </c>
      <c r="AJ17" s="348">
        <f t="shared" si="1"/>
        <v>-0.15909090909090906</v>
      </c>
      <c r="AK17" s="348">
        <f t="shared" si="1"/>
        <v>3.287671232876721E-2</v>
      </c>
      <c r="AL17" s="348">
        <f t="shared" si="1"/>
        <v>7.3267326732673332E-2</v>
      </c>
      <c r="AM17" s="348">
        <f t="shared" si="1"/>
        <v>0.20129870129870131</v>
      </c>
      <c r="AN17" s="348">
        <f t="shared" si="1"/>
        <v>5.9272972972972848E-2</v>
      </c>
      <c r="AO17" s="348">
        <f t="shared" si="1"/>
        <v>0.14864864864864868</v>
      </c>
      <c r="AP17" s="348">
        <f t="shared" si="1"/>
        <v>2.3872679045092937E-2</v>
      </c>
      <c r="AQ17" s="348">
        <f t="shared" si="1"/>
        <v>6.0885608856088513E-2</v>
      </c>
      <c r="AR17" s="348">
        <f t="shared" si="1"/>
        <v>0.18378378378378368</v>
      </c>
      <c r="AS17" s="348">
        <f t="shared" si="1"/>
        <v>7.4966426913581019E-2</v>
      </c>
      <c r="AT17" s="348">
        <f t="shared" si="1"/>
        <v>-1</v>
      </c>
      <c r="AU17" s="348">
        <f t="shared" si="1"/>
        <v>-1</v>
      </c>
      <c r="AV17" s="348">
        <f t="shared" si="1"/>
        <v>-1</v>
      </c>
      <c r="AW17" s="348">
        <f t="shared" si="1"/>
        <v>-1</v>
      </c>
      <c r="AX17" s="348">
        <f t="shared" si="1"/>
        <v>6.1206957936227768E-2</v>
      </c>
      <c r="AY17" s="348" t="e">
        <f t="shared" si="1"/>
        <v>#DIV/0!</v>
      </c>
      <c r="AZ17" s="348" t="e">
        <f t="shared" si="1"/>
        <v>#DIV/0!</v>
      </c>
      <c r="BA17" s="348" t="e">
        <f t="shared" si="1"/>
        <v>#DIV/0!</v>
      </c>
      <c r="BB17" s="348" t="e">
        <f t="shared" si="1"/>
        <v>#DIV/0!</v>
      </c>
      <c r="BC17" s="348">
        <f t="shared" si="1"/>
        <v>4.2530276378182075E-2</v>
      </c>
      <c r="BD17" s="348" t="e">
        <f t="shared" si="1"/>
        <v>#DIV/0!</v>
      </c>
      <c r="BE17" s="348" t="e">
        <f t="shared" si="1"/>
        <v>#DIV/0!</v>
      </c>
      <c r="BF17" s="348" t="e">
        <f t="shared" si="1"/>
        <v>#DIV/0!</v>
      </c>
      <c r="BG17" s="348" t="e">
        <f t="shared" si="1"/>
        <v>#DIV/0!</v>
      </c>
      <c r="BH17" s="349">
        <f t="shared" si="1"/>
        <v>2.3970934081451567E-2</v>
      </c>
      <c r="BJ17" s="27" t="s">
        <v>33</v>
      </c>
    </row>
    <row r="18" spans="2:62" ht="14.1" customHeight="1" x14ac:dyDescent="0.2">
      <c r="B18" s="328" t="s">
        <v>91</v>
      </c>
      <c r="C18" s="329"/>
      <c r="D18" s="329"/>
      <c r="E18" s="343">
        <f>E17*E16</f>
        <v>5937.1819453408007</v>
      </c>
      <c r="F18" s="343">
        <f t="shared" ref="F18:G18" ca="1" si="2">F17*F16</f>
        <v>6443.9624159616014</v>
      </c>
      <c r="G18" s="343">
        <f t="shared" ca="1" si="2"/>
        <v>4635.7151493120009</v>
      </c>
      <c r="H18" s="332"/>
      <c r="I18" s="114" t="s">
        <v>106</v>
      </c>
      <c r="J18" s="114"/>
      <c r="K18" s="114"/>
      <c r="L18" s="114"/>
      <c r="M18" s="114"/>
      <c r="N18" s="114"/>
      <c r="O18" s="348">
        <f t="shared" ref="O18:BH18" si="3">O9/O7</f>
        <v>0.21888888888888888</v>
      </c>
      <c r="P18" s="348" t="e">
        <f t="shared" si="3"/>
        <v>#DIV/0!</v>
      </c>
      <c r="Q18" s="348" t="e">
        <f t="shared" si="3"/>
        <v>#DIV/0!</v>
      </c>
      <c r="R18" s="348" t="e">
        <f t="shared" si="3"/>
        <v>#DIV/0!</v>
      </c>
      <c r="S18" s="348" t="e">
        <f t="shared" si="3"/>
        <v>#DIV/0!</v>
      </c>
      <c r="T18" s="348">
        <f t="shared" si="3"/>
        <v>0.30225409836065575</v>
      </c>
      <c r="U18" s="348" t="e">
        <f t="shared" si="3"/>
        <v>#DIV/0!</v>
      </c>
      <c r="V18" s="348" t="e">
        <f t="shared" si="3"/>
        <v>#DIV/0!</v>
      </c>
      <c r="W18" s="348" t="e">
        <f t="shared" si="3"/>
        <v>#DIV/0!</v>
      </c>
      <c r="X18" s="348" t="e">
        <f t="shared" si="3"/>
        <v>#DIV/0!</v>
      </c>
      <c r="Y18" s="348">
        <f t="shared" si="3"/>
        <v>0.34550839091806518</v>
      </c>
      <c r="Z18" s="348" t="e">
        <f t="shared" si="3"/>
        <v>#DIV/0!</v>
      </c>
      <c r="AA18" s="348" t="e">
        <f t="shared" si="3"/>
        <v>#DIV/0!</v>
      </c>
      <c r="AB18" s="348" t="e">
        <f t="shared" si="3"/>
        <v>#DIV/0!</v>
      </c>
      <c r="AC18" s="348" t="e">
        <f t="shared" si="3"/>
        <v>#DIV/0!</v>
      </c>
      <c r="AD18" s="348">
        <f t="shared" si="3"/>
        <v>0.35794392523364488</v>
      </c>
      <c r="AE18" s="348">
        <f t="shared" si="3"/>
        <v>0</v>
      </c>
      <c r="AF18" s="348">
        <f t="shared" si="3"/>
        <v>0</v>
      </c>
      <c r="AG18" s="348">
        <f t="shared" si="3"/>
        <v>0</v>
      </c>
      <c r="AH18" s="348">
        <f t="shared" si="3"/>
        <v>0</v>
      </c>
      <c r="AI18" s="348">
        <f t="shared" si="3"/>
        <v>0.36406486486486489</v>
      </c>
      <c r="AJ18" s="348">
        <f t="shared" si="3"/>
        <v>0</v>
      </c>
      <c r="AK18" s="348">
        <f t="shared" si="3"/>
        <v>0</v>
      </c>
      <c r="AL18" s="348">
        <f t="shared" si="3"/>
        <v>0</v>
      </c>
      <c r="AM18" s="348">
        <f t="shared" si="3"/>
        <v>0</v>
      </c>
      <c r="AN18" s="348">
        <f t="shared" si="3"/>
        <v>0.37360913017852632</v>
      </c>
      <c r="AO18" s="348">
        <f t="shared" si="3"/>
        <v>-0.44705882352941179</v>
      </c>
      <c r="AP18" s="348">
        <f t="shared" si="3"/>
        <v>0.3860103626943005</v>
      </c>
      <c r="AQ18" s="348">
        <f t="shared" si="3"/>
        <v>0.53565217391304343</v>
      </c>
      <c r="AR18" s="348">
        <f t="shared" si="3"/>
        <v>0.28310502283105021</v>
      </c>
      <c r="AS18" s="348">
        <f t="shared" si="3"/>
        <v>0.38089526543232338</v>
      </c>
      <c r="AT18" s="348" t="e">
        <f t="shared" si="3"/>
        <v>#DIV/0!</v>
      </c>
      <c r="AU18" s="348" t="e">
        <f t="shared" si="3"/>
        <v>#DIV/0!</v>
      </c>
      <c r="AV18" s="348" t="e">
        <f t="shared" si="3"/>
        <v>#DIV/0!</v>
      </c>
      <c r="AW18" s="348" t="e">
        <f t="shared" si="3"/>
        <v>#DIV/0!</v>
      </c>
      <c r="AX18" s="348">
        <f t="shared" si="3"/>
        <v>0.4109657025222847</v>
      </c>
      <c r="AY18" s="348" t="e">
        <f t="shared" si="3"/>
        <v>#DIV/0!</v>
      </c>
      <c r="AZ18" s="348" t="e">
        <f t="shared" si="3"/>
        <v>#DIV/0!</v>
      </c>
      <c r="BA18" s="348" t="e">
        <f t="shared" si="3"/>
        <v>#DIV/0!</v>
      </c>
      <c r="BB18" s="348" t="e">
        <f t="shared" si="3"/>
        <v>#DIV/0!</v>
      </c>
      <c r="BC18" s="348">
        <f t="shared" si="3"/>
        <v>0.38598740786987473</v>
      </c>
      <c r="BD18" s="348" t="e">
        <f t="shared" si="3"/>
        <v>#DIV/0!</v>
      </c>
      <c r="BE18" s="348" t="e">
        <f t="shared" si="3"/>
        <v>#DIV/0!</v>
      </c>
      <c r="BF18" s="348" t="e">
        <f t="shared" si="3"/>
        <v>#DIV/0!</v>
      </c>
      <c r="BG18" s="348" t="e">
        <f t="shared" si="3"/>
        <v>#DIV/0!</v>
      </c>
      <c r="BH18" s="349">
        <f t="shared" si="3"/>
        <v>0.38793705422693137</v>
      </c>
      <c r="BJ18" s="27" t="s">
        <v>33</v>
      </c>
    </row>
    <row r="19" spans="2:62" ht="14.1" customHeight="1" x14ac:dyDescent="0.2">
      <c r="B19" s="328" t="s">
        <v>92</v>
      </c>
      <c r="C19" s="329"/>
      <c r="D19" s="329"/>
      <c r="E19" s="346">
        <f ca="1">Model!AV184</f>
        <v>1350.2984018622042</v>
      </c>
      <c r="F19" s="346">
        <f ca="1">E19</f>
        <v>1350.2984018622042</v>
      </c>
      <c r="G19" s="346">
        <f ca="1">F19</f>
        <v>1350.2984018622042</v>
      </c>
      <c r="H19" s="332"/>
      <c r="I19" s="114" t="s">
        <v>196</v>
      </c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348">
        <f>AN14/AI14-1</f>
        <v>7.0426712680465409E-2</v>
      </c>
      <c r="AO19" s="114"/>
      <c r="AP19" s="114"/>
      <c r="AQ19" s="114"/>
      <c r="AR19" s="114"/>
      <c r="AS19" s="348">
        <f>AS14/AN14-1</f>
        <v>0.13729973711842125</v>
      </c>
      <c r="AT19" s="114"/>
      <c r="AU19" s="114"/>
      <c r="AV19" s="114"/>
      <c r="AW19" s="114"/>
      <c r="AX19" s="348">
        <f>AX14/AS14-1</f>
        <v>0.18664322261743349</v>
      </c>
      <c r="AY19" s="114"/>
      <c r="AZ19" s="114"/>
      <c r="BA19" s="114"/>
      <c r="BB19" s="114"/>
      <c r="BC19" s="348">
        <f>BC14/AX14-1</f>
        <v>4.8084469375120342E-3</v>
      </c>
      <c r="BD19" s="114"/>
      <c r="BE19" s="114"/>
      <c r="BF19" s="114"/>
      <c r="BG19" s="114"/>
      <c r="BH19" s="349">
        <f>BH14/BC14-1</f>
        <v>3.5961015430594712E-2</v>
      </c>
      <c r="BJ19" s="27" t="s">
        <v>33</v>
      </c>
    </row>
    <row r="20" spans="2:62" ht="14.1" customHeight="1" x14ac:dyDescent="0.2">
      <c r="B20" s="175" t="s">
        <v>84</v>
      </c>
      <c r="C20" s="164"/>
      <c r="D20" s="164"/>
      <c r="E20" s="171">
        <f>G12</f>
        <v>435.721</v>
      </c>
      <c r="F20" s="171">
        <f>E20</f>
        <v>435.721</v>
      </c>
      <c r="G20" s="171">
        <f>F20</f>
        <v>435.721</v>
      </c>
      <c r="H20" s="332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14"/>
      <c r="AO20" s="114"/>
      <c r="AP20" s="114"/>
      <c r="AQ20" s="114"/>
      <c r="AR20" s="114"/>
      <c r="AS20" s="114"/>
      <c r="AT20" s="114"/>
      <c r="AU20" s="114"/>
      <c r="AV20" s="114"/>
      <c r="AW20" s="114"/>
      <c r="AX20" s="114"/>
      <c r="AY20" s="114"/>
      <c r="AZ20" s="114"/>
      <c r="BA20" s="114"/>
      <c r="BB20" s="114"/>
      <c r="BC20" s="114"/>
      <c r="BD20" s="114"/>
      <c r="BE20" s="114"/>
      <c r="BF20" s="114"/>
      <c r="BG20" s="114"/>
      <c r="BH20" s="347"/>
      <c r="BJ20" s="27" t="s">
        <v>33</v>
      </c>
    </row>
    <row r="21" spans="2:62" ht="14.1" customHeight="1" x14ac:dyDescent="0.2">
      <c r="B21" s="328" t="s">
        <v>93</v>
      </c>
      <c r="C21" s="329"/>
      <c r="D21" s="329"/>
      <c r="E21" s="346">
        <f ca="1">E18-E19-E20</f>
        <v>4151.1625434785965</v>
      </c>
      <c r="F21" s="346">
        <f t="shared" ref="F21:G21" ca="1" si="4">F18-F19-F20</f>
        <v>4657.9430140993973</v>
      </c>
      <c r="G21" s="346">
        <f t="shared" ca="1" si="4"/>
        <v>2849.6957474497967</v>
      </c>
      <c r="H21" s="332"/>
      <c r="I21" s="114" t="s">
        <v>90</v>
      </c>
      <c r="J21" s="114"/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350">
        <f t="shared" ref="AN21:BH21" si="5">$G$13/AN9</f>
        <v>14.911811640226096</v>
      </c>
      <c r="AO21" s="350">
        <f t="shared" si="5"/>
        <v>-172.38328947368421</v>
      </c>
      <c r="AP21" s="350">
        <f t="shared" si="5"/>
        <v>43.963523489932889</v>
      </c>
      <c r="AQ21" s="350">
        <f t="shared" si="5"/>
        <v>21.268068181818183</v>
      </c>
      <c r="AR21" s="350">
        <f t="shared" si="5"/>
        <v>105.65427419354839</v>
      </c>
      <c r="AS21" s="350">
        <f t="shared" si="5"/>
        <v>13.606530986980401</v>
      </c>
      <c r="AT21" s="350" t="e">
        <f t="shared" si="5"/>
        <v>#DIV/0!</v>
      </c>
      <c r="AU21" s="350" t="e">
        <f t="shared" si="5"/>
        <v>#DIV/0!</v>
      </c>
      <c r="AV21" s="350" t="e">
        <f t="shared" si="5"/>
        <v>#DIV/0!</v>
      </c>
      <c r="AW21" s="350" t="e">
        <f t="shared" si="5"/>
        <v>#DIV/0!</v>
      </c>
      <c r="AX21" s="350">
        <f t="shared" si="5"/>
        <v>11.883580750222361</v>
      </c>
      <c r="AY21" s="350" t="e">
        <f t="shared" si="5"/>
        <v>#DIV/0!</v>
      </c>
      <c r="AZ21" s="350" t="e">
        <f t="shared" si="5"/>
        <v>#DIV/0!</v>
      </c>
      <c r="BA21" s="350" t="e">
        <f t="shared" si="5"/>
        <v>#DIV/0!</v>
      </c>
      <c r="BB21" s="350" t="e">
        <f t="shared" si="5"/>
        <v>#DIV/0!</v>
      </c>
      <c r="BC21" s="350">
        <f t="shared" si="5"/>
        <v>12.136433692510646</v>
      </c>
      <c r="BD21" s="350" t="e">
        <f t="shared" si="5"/>
        <v>#DIV/0!</v>
      </c>
      <c r="BE21" s="350" t="e">
        <f t="shared" si="5"/>
        <v>#DIV/0!</v>
      </c>
      <c r="BF21" s="350" t="e">
        <f t="shared" si="5"/>
        <v>#DIV/0!</v>
      </c>
      <c r="BG21" s="350" t="e">
        <f t="shared" si="5"/>
        <v>#DIV/0!</v>
      </c>
      <c r="BH21" s="351">
        <f t="shared" si="5"/>
        <v>11.792756507149631</v>
      </c>
      <c r="BJ21" s="27" t="s">
        <v>33</v>
      </c>
    </row>
    <row r="22" spans="2:62" ht="14.1" customHeight="1" x14ac:dyDescent="0.2">
      <c r="B22" s="352" t="s">
        <v>288</v>
      </c>
      <c r="C22" s="332"/>
      <c r="D22" s="332"/>
      <c r="E22" s="332">
        <f>Model!AL135</f>
        <v>120.40435212330577</v>
      </c>
      <c r="F22" s="332">
        <f>E22</f>
        <v>120.40435212330577</v>
      </c>
      <c r="G22" s="332">
        <f>F22</f>
        <v>120.40435212330577</v>
      </c>
      <c r="H22" s="332"/>
      <c r="I22" s="114" t="s">
        <v>107</v>
      </c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350">
        <f t="shared" ref="AN22:BH22" si="6">$G$7/AN11</f>
        <v>68.347479452054785</v>
      </c>
      <c r="AO22" s="350">
        <f t="shared" si="6"/>
        <v>-46.236363636363635</v>
      </c>
      <c r="AP22" s="350">
        <f t="shared" si="6"/>
        <v>45.819819819819813</v>
      </c>
      <c r="AQ22" s="350">
        <f t="shared" si="6"/>
        <v>18.767527675276753</v>
      </c>
      <c r="AR22" s="350">
        <f t="shared" si="6"/>
        <v>188.37037037037035</v>
      </c>
      <c r="AS22" s="350">
        <f t="shared" si="6"/>
        <v>32.217756212987112</v>
      </c>
      <c r="AT22" s="350" t="e">
        <f t="shared" si="6"/>
        <v>#DIV/0!</v>
      </c>
      <c r="AU22" s="350" t="e">
        <f t="shared" si="6"/>
        <v>#DIV/0!</v>
      </c>
      <c r="AV22" s="350" t="e">
        <f t="shared" si="6"/>
        <v>#DIV/0!</v>
      </c>
      <c r="AW22" s="350" t="e">
        <f t="shared" si="6"/>
        <v>#DIV/0!</v>
      </c>
      <c r="AX22" s="350">
        <f t="shared" si="6"/>
        <v>30.628916743034345</v>
      </c>
      <c r="AY22" s="350" t="e">
        <f t="shared" si="6"/>
        <v>#DIV/0!</v>
      </c>
      <c r="AZ22" s="350" t="e">
        <f t="shared" si="6"/>
        <v>#DIV/0!</v>
      </c>
      <c r="BA22" s="350" t="e">
        <f t="shared" si="6"/>
        <v>#DIV/0!</v>
      </c>
      <c r="BB22" s="350" t="e">
        <f t="shared" si="6"/>
        <v>#DIV/0!</v>
      </c>
      <c r="BC22" s="350">
        <f t="shared" si="6"/>
        <v>28.230724228834234</v>
      </c>
      <c r="BD22" s="350" t="e">
        <f t="shared" si="6"/>
        <v>#DIV/0!</v>
      </c>
      <c r="BE22" s="350" t="e">
        <f t="shared" si="6"/>
        <v>#DIV/0!</v>
      </c>
      <c r="BF22" s="350" t="e">
        <f t="shared" si="6"/>
        <v>#DIV/0!</v>
      </c>
      <c r="BG22" s="350" t="e">
        <f t="shared" si="6"/>
        <v>#DIV/0!</v>
      </c>
      <c r="BH22" s="351">
        <f t="shared" si="6"/>
        <v>24.52286782387073</v>
      </c>
      <c r="BJ22" s="27" t="s">
        <v>33</v>
      </c>
    </row>
    <row r="23" spans="2:62" ht="14.1" customHeight="1" x14ac:dyDescent="0.2">
      <c r="B23" s="175" t="s">
        <v>94</v>
      </c>
      <c r="C23" s="164"/>
      <c r="D23" s="164"/>
      <c r="E23" s="171">
        <f>G8</f>
        <v>91.6</v>
      </c>
      <c r="F23" s="171">
        <f>E23</f>
        <v>91.6</v>
      </c>
      <c r="G23" s="171">
        <f>F23</f>
        <v>91.6</v>
      </c>
      <c r="H23" s="332"/>
      <c r="I23" s="114" t="s">
        <v>182</v>
      </c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348">
        <f>AN15/$G$9</f>
        <v>4.6750476949310282E-2</v>
      </c>
      <c r="AO23" s="348">
        <f t="shared" ref="AO23:BH23" si="7">AO15/$G$9</f>
        <v>7.7273515618694697E-3</v>
      </c>
      <c r="AP23" s="348">
        <f t="shared" si="7"/>
        <v>-5.7955136714021027E-3</v>
      </c>
      <c r="AQ23" s="348">
        <f t="shared" si="7"/>
        <v>-1.9962324868162799E-2</v>
      </c>
      <c r="AR23" s="348">
        <f t="shared" si="7"/>
        <v>3.0050811629492385E-3</v>
      </c>
      <c r="AS23" s="348">
        <f t="shared" si="7"/>
        <v>4.858486435063631E-2</v>
      </c>
      <c r="AT23" s="348">
        <f t="shared" si="7"/>
        <v>0</v>
      </c>
      <c r="AU23" s="348">
        <f t="shared" si="7"/>
        <v>0</v>
      </c>
      <c r="AV23" s="348">
        <f t="shared" si="7"/>
        <v>0</v>
      </c>
      <c r="AW23" s="348">
        <f t="shared" si="7"/>
        <v>0</v>
      </c>
      <c r="AX23" s="348">
        <f t="shared" si="7"/>
        <v>4.8560109330862869E-2</v>
      </c>
      <c r="AY23" s="348">
        <f t="shared" si="7"/>
        <v>0</v>
      </c>
      <c r="AZ23" s="348">
        <f t="shared" si="7"/>
        <v>0</v>
      </c>
      <c r="BA23" s="348">
        <f t="shared" si="7"/>
        <v>0</v>
      </c>
      <c r="BB23" s="348">
        <f t="shared" si="7"/>
        <v>0</v>
      </c>
      <c r="BC23" s="348">
        <f t="shared" si="7"/>
        <v>4.7107966651821008E-2</v>
      </c>
      <c r="BD23" s="348">
        <f t="shared" si="7"/>
        <v>0</v>
      </c>
      <c r="BE23" s="348">
        <f t="shared" si="7"/>
        <v>0</v>
      </c>
      <c r="BF23" s="348">
        <f t="shared" si="7"/>
        <v>0</v>
      </c>
      <c r="BG23" s="348">
        <f t="shared" si="7"/>
        <v>0</v>
      </c>
      <c r="BH23" s="349">
        <f t="shared" si="7"/>
        <v>4.6510641268956557E-2</v>
      </c>
      <c r="BJ23" s="27" t="s">
        <v>33</v>
      </c>
    </row>
    <row r="24" spans="2:62" ht="14.1" customHeight="1" x14ac:dyDescent="0.2">
      <c r="B24" s="353" t="s">
        <v>95</v>
      </c>
      <c r="C24" s="354"/>
      <c r="D24" s="354"/>
      <c r="E24" s="355">
        <f ca="1">(E21+E22)/E23</f>
        <v>46.632826371199812</v>
      </c>
      <c r="F24" s="355">
        <f ca="1">(F21+F22)/F23</f>
        <v>52.165364260073183</v>
      </c>
      <c r="G24" s="355">
        <f ca="1">(G21+G22)/G23</f>
        <v>32.424673576125571</v>
      </c>
      <c r="H24" s="332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14"/>
      <c r="AO24" s="114"/>
      <c r="AP24" s="114"/>
      <c r="AQ24" s="114"/>
      <c r="AR24" s="114"/>
      <c r="AS24" s="114"/>
      <c r="AT24" s="114"/>
      <c r="AU24" s="114"/>
      <c r="AV24" s="114"/>
      <c r="AW24" s="114"/>
      <c r="AX24" s="114"/>
      <c r="AY24" s="114"/>
      <c r="AZ24" s="114"/>
      <c r="BA24" s="114"/>
      <c r="BB24" s="114"/>
      <c r="BC24" s="114"/>
      <c r="BD24" s="114"/>
      <c r="BE24" s="114"/>
      <c r="BF24" s="114"/>
      <c r="BG24" s="114"/>
      <c r="BH24" s="347"/>
    </row>
    <row r="25" spans="2:62" ht="14.1" customHeight="1" x14ac:dyDescent="0.2">
      <c r="B25" s="328"/>
      <c r="C25" s="329"/>
      <c r="D25" s="329"/>
      <c r="E25" s="329"/>
      <c r="F25" s="329"/>
      <c r="G25" s="329"/>
      <c r="H25" s="332"/>
      <c r="I25" s="114" t="s">
        <v>83</v>
      </c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337">
        <f>Model!R184</f>
        <v>725.80900000000008</v>
      </c>
      <c r="Z25" s="337">
        <f>Model!S184</f>
        <v>0</v>
      </c>
      <c r="AA25" s="337">
        <f>Model!T184</f>
        <v>0</v>
      </c>
      <c r="AB25" s="337">
        <f>Model!U184</f>
        <v>0</v>
      </c>
      <c r="AC25" s="337">
        <f>Model!V184</f>
        <v>0</v>
      </c>
      <c r="AD25" s="337">
        <f>Model!W184</f>
        <v>775.99799999999993</v>
      </c>
      <c r="AE25" s="337">
        <f>Model!X184</f>
        <v>0</v>
      </c>
      <c r="AF25" s="337">
        <f>Model!Y184</f>
        <v>0</v>
      </c>
      <c r="AG25" s="337">
        <f>Model!Z184</f>
        <v>0</v>
      </c>
      <c r="AH25" s="337">
        <f>Model!AA184</f>
        <v>0</v>
      </c>
      <c r="AI25" s="337">
        <f>Model!AB184</f>
        <v>1231.2930000000001</v>
      </c>
      <c r="AJ25" s="337">
        <f>Model!AC184</f>
        <v>0</v>
      </c>
      <c r="AK25" s="337">
        <f>Model!AD184</f>
        <v>0</v>
      </c>
      <c r="AL25" s="337">
        <f>Model!AE184</f>
        <v>0</v>
      </c>
      <c r="AM25" s="337">
        <f>Model!AF184</f>
        <v>0</v>
      </c>
      <c r="AN25" s="337">
        <f>Model!AG184</f>
        <v>1321.6319999999998</v>
      </c>
      <c r="AO25" s="337">
        <f>Model!AH184</f>
        <v>0</v>
      </c>
      <c r="AP25" s="337">
        <f>Model!AI184</f>
        <v>0</v>
      </c>
      <c r="AQ25" s="337">
        <f>Model!AJ184</f>
        <v>0</v>
      </c>
      <c r="AR25" s="337">
        <f>Model!AK184</f>
        <v>0</v>
      </c>
      <c r="AS25" s="337">
        <f>Model!AL184</f>
        <v>1405.768</v>
      </c>
      <c r="AT25" s="337">
        <f>Model!AM184</f>
        <v>0</v>
      </c>
      <c r="AU25" s="337">
        <f>Model!AN184</f>
        <v>0</v>
      </c>
      <c r="AV25" s="337">
        <f>Model!AO184</f>
        <v>0</v>
      </c>
      <c r="AW25" s="337">
        <f>Model!AP184</f>
        <v>0</v>
      </c>
      <c r="AX25" s="337">
        <f ca="1">Model!AQ184</f>
        <v>1349.0357764825524</v>
      </c>
      <c r="AY25" s="337">
        <f>Model!AR184</f>
        <v>0</v>
      </c>
      <c r="AZ25" s="337">
        <f>Model!AS184</f>
        <v>0</v>
      </c>
      <c r="BA25" s="337">
        <f>Model!AT184</f>
        <v>0</v>
      </c>
      <c r="BB25" s="337">
        <f>Model!AU184</f>
        <v>0</v>
      </c>
      <c r="BC25" s="337">
        <f ca="1">Model!AV184</f>
        <v>1350.2984018622042</v>
      </c>
      <c r="BD25" s="337">
        <f>Model!AW184</f>
        <v>0</v>
      </c>
      <c r="BE25" s="337">
        <f>Model!AX184</f>
        <v>0</v>
      </c>
      <c r="BF25" s="337">
        <f>Model!AY184</f>
        <v>0</v>
      </c>
      <c r="BG25" s="337">
        <f>Model!AZ184</f>
        <v>0</v>
      </c>
      <c r="BH25" s="338">
        <f ca="1">Model!BA184</f>
        <v>1369.7940714004769</v>
      </c>
    </row>
    <row r="26" spans="2:62" ht="14.1" customHeight="1" x14ac:dyDescent="0.2">
      <c r="B26" s="328" t="s">
        <v>96</v>
      </c>
      <c r="C26" s="329"/>
      <c r="D26" s="329"/>
      <c r="E26" s="356">
        <v>0.5</v>
      </c>
      <c r="F26" s="356">
        <v>0.25</v>
      </c>
      <c r="G26" s="356">
        <v>0.25</v>
      </c>
      <c r="H26" s="332"/>
      <c r="I26" s="114" t="s">
        <v>108</v>
      </c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350">
        <f>Model!R186</f>
        <v>2.0737400000000004</v>
      </c>
      <c r="Z26" s="350">
        <f>Model!S186</f>
        <v>0</v>
      </c>
      <c r="AA26" s="350">
        <f>Model!T186</f>
        <v>0</v>
      </c>
      <c r="AB26" s="350">
        <f>Model!U186</f>
        <v>0</v>
      </c>
      <c r="AC26" s="350">
        <f>Model!V186</f>
        <v>0</v>
      </c>
      <c r="AD26" s="350">
        <f>Model!W186</f>
        <v>2.0261044386422973</v>
      </c>
      <c r="AE26" s="350">
        <f>Model!X186</f>
        <v>0</v>
      </c>
      <c r="AF26" s="350">
        <f>Model!Y186</f>
        <v>0</v>
      </c>
      <c r="AG26" s="350">
        <f>Model!Z186</f>
        <v>0</v>
      </c>
      <c r="AH26" s="350">
        <f>Model!AA186</f>
        <v>0</v>
      </c>
      <c r="AI26" s="350">
        <f>Model!AB186</f>
        <v>3.046910262501485</v>
      </c>
      <c r="AJ26" s="350">
        <f>Model!AC186</f>
        <v>0</v>
      </c>
      <c r="AK26" s="350">
        <f>Model!AD186</f>
        <v>0</v>
      </c>
      <c r="AL26" s="350">
        <f>Model!AE186</f>
        <v>0</v>
      </c>
      <c r="AM26" s="350">
        <f>Model!AF186</f>
        <v>0</v>
      </c>
      <c r="AN26" s="350">
        <f>Model!AG186</f>
        <v>3.008584365118931</v>
      </c>
      <c r="AO26" s="350">
        <f>Model!AH186</f>
        <v>0</v>
      </c>
      <c r="AP26" s="350">
        <f>Model!AI186</f>
        <v>0</v>
      </c>
      <c r="AQ26" s="350">
        <f>Model!AJ186</f>
        <v>0</v>
      </c>
      <c r="AR26" s="350">
        <f>Model!AK186</f>
        <v>0</v>
      </c>
      <c r="AS26" s="350">
        <f>Model!AL186</f>
        <v>2.9199963442093106</v>
      </c>
      <c r="AT26" s="350">
        <f>Model!AM186</f>
        <v>0</v>
      </c>
      <c r="AU26" s="350">
        <f>Model!AN186</f>
        <v>0</v>
      </c>
      <c r="AV26" s="350">
        <f>Model!AO186</f>
        <v>0</v>
      </c>
      <c r="AW26" s="350">
        <f>Model!AP186</f>
        <v>0</v>
      </c>
      <c r="AX26" s="350">
        <f ca="1">Model!AQ186</f>
        <v>2.4473271518974826</v>
      </c>
      <c r="AY26" s="350">
        <f>Model!AR186</f>
        <v>0</v>
      </c>
      <c r="AZ26" s="350">
        <f>Model!AS186</f>
        <v>0</v>
      </c>
      <c r="BA26" s="350">
        <f>Model!AT186</f>
        <v>0</v>
      </c>
      <c r="BB26" s="350">
        <f>Model!AU186</f>
        <v>0</v>
      </c>
      <c r="BC26" s="350">
        <f ca="1">Model!AV186</f>
        <v>2.5017394712217551</v>
      </c>
      <c r="BD26" s="350">
        <f>Model!AW186</f>
        <v>0</v>
      </c>
      <c r="BE26" s="350">
        <f>Model!AX186</f>
        <v>0</v>
      </c>
      <c r="BF26" s="350">
        <f>Model!AY186</f>
        <v>0</v>
      </c>
      <c r="BG26" s="350">
        <f>Model!AZ186</f>
        <v>0</v>
      </c>
      <c r="BH26" s="351">
        <f ca="1">Model!BA186</f>
        <v>2.4659930783013313</v>
      </c>
    </row>
    <row r="27" spans="2:62" ht="14.1" customHeight="1" x14ac:dyDescent="0.2">
      <c r="B27" s="328" t="s">
        <v>97</v>
      </c>
      <c r="C27" s="329"/>
      <c r="D27" s="329"/>
      <c r="E27" s="357">
        <f ca="1">E24/$G$7-1</f>
        <v>-8.3113913267797601E-2</v>
      </c>
      <c r="F27" s="357">
        <f ca="1">F24/$G$7-1</f>
        <v>2.5665832875996442E-2</v>
      </c>
      <c r="G27" s="357">
        <f ca="1">G24/$G$7-1</f>
        <v>-0.36247200990708672</v>
      </c>
      <c r="H27" s="332"/>
      <c r="I27" s="358" t="s">
        <v>186</v>
      </c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348">
        <f>Model!R143</f>
        <v>2.9914580275776169E-2</v>
      </c>
      <c r="Z27" s="348" t="e">
        <f>Model!S143</f>
        <v>#DIV/0!</v>
      </c>
      <c r="AA27" s="348" t="e">
        <f>Model!T143</f>
        <v>#DIV/0!</v>
      </c>
      <c r="AB27" s="348" t="e">
        <f>Model!U143</f>
        <v>#DIV/0!</v>
      </c>
      <c r="AC27" s="348" t="e">
        <f>Model!V143</f>
        <v>#DIV/0!</v>
      </c>
      <c r="AD27" s="348">
        <f>Model!W143</f>
        <v>0.1198152322996642</v>
      </c>
      <c r="AE27" s="348" t="e">
        <f>Model!X143</f>
        <v>#DIV/0!</v>
      </c>
      <c r="AF27" s="348" t="e">
        <f>Model!Y143</f>
        <v>#DIV/0!</v>
      </c>
      <c r="AG27" s="348" t="e">
        <f>Model!Z143</f>
        <v>#DIV/0!</v>
      </c>
      <c r="AH27" s="348" t="e">
        <f>Model!AA143</f>
        <v>#DIV/0!</v>
      </c>
      <c r="AI27" s="348">
        <f>Model!AB143</f>
        <v>0.12157657565438534</v>
      </c>
      <c r="AJ27" s="348" t="e">
        <f>Model!AC143</f>
        <v>#DIV/0!</v>
      </c>
      <c r="AK27" s="348" t="e">
        <f>Model!AD143</f>
        <v>#DIV/0!</v>
      </c>
      <c r="AL27" s="348" t="e">
        <f>Model!AE143</f>
        <v>#DIV/0!</v>
      </c>
      <c r="AM27" s="348" t="e">
        <f>Model!AF143</f>
        <v>#DIV/0!</v>
      </c>
      <c r="AN27" s="348">
        <f>Model!AG143</f>
        <v>9.8320929384165742E-2</v>
      </c>
      <c r="AO27" s="348" t="e">
        <f>Model!AH143</f>
        <v>#DIV/0!</v>
      </c>
      <c r="AP27" s="348" t="e">
        <f>Model!AI143</f>
        <v>#DIV/0!</v>
      </c>
      <c r="AQ27" s="348" t="e">
        <f>Model!AJ143</f>
        <v>#DIV/0!</v>
      </c>
      <c r="AR27" s="348" t="e">
        <f>Model!AK143</f>
        <v>#DIV/0!</v>
      </c>
      <c r="AS27" s="348">
        <f>Model!AL143</f>
        <v>0.15823226319810405</v>
      </c>
      <c r="AT27" s="348" t="e">
        <f>Model!AM143</f>
        <v>#DIV/0!</v>
      </c>
      <c r="AU27" s="348" t="e">
        <f>Model!AN143</f>
        <v>#DIV/0!</v>
      </c>
      <c r="AV27" s="348" t="e">
        <f>Model!AO143</f>
        <v>#DIV/0!</v>
      </c>
      <c r="AW27" s="348" t="e">
        <f>Model!AP143</f>
        <v>#DIV/0!</v>
      </c>
      <c r="AX27" s="348">
        <f ca="1">Model!AQ143</f>
        <v>0.17931095220880749</v>
      </c>
      <c r="AY27" s="348" t="e">
        <f>Model!AR143</f>
        <v>#DIV/0!</v>
      </c>
      <c r="AZ27" s="348" t="e">
        <f>Model!AS143</f>
        <v>#DIV/0!</v>
      </c>
      <c r="BA27" s="348" t="e">
        <f>Model!AT143</f>
        <v>#DIV/0!</v>
      </c>
      <c r="BB27" s="348" t="e">
        <f>Model!AU143</f>
        <v>#DIV/0!</v>
      </c>
      <c r="BC27" s="348">
        <f ca="1">Model!AV143</f>
        <v>0.18988041269359177</v>
      </c>
      <c r="BD27" s="348" t="e">
        <f>Model!AW143</f>
        <v>#DIV/0!</v>
      </c>
      <c r="BE27" s="348" t="e">
        <f>Model!AX143</f>
        <v>#DIV/0!</v>
      </c>
      <c r="BF27" s="348" t="e">
        <f>Model!AY143</f>
        <v>#DIV/0!</v>
      </c>
      <c r="BG27" s="348" t="e">
        <f>Model!AZ143</f>
        <v>#DIV/0!</v>
      </c>
      <c r="BH27" s="349">
        <f ca="1">Model!BA143</f>
        <v>0.2104265105371782</v>
      </c>
    </row>
    <row r="28" spans="2:62" ht="14.1" customHeight="1" x14ac:dyDescent="0.2">
      <c r="B28" s="328"/>
      <c r="C28" s="329"/>
      <c r="D28" s="329"/>
      <c r="E28" s="329"/>
      <c r="F28" s="329"/>
      <c r="G28" s="329"/>
      <c r="H28" s="332"/>
      <c r="I28" s="114" t="s">
        <v>109</v>
      </c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348">
        <f>Model!R144</f>
        <v>5.5767453100416899E-2</v>
      </c>
      <c r="Z28" s="348">
        <f>Model!S144</f>
        <v>0</v>
      </c>
      <c r="AA28" s="348">
        <f>Model!T144</f>
        <v>0</v>
      </c>
      <c r="AB28" s="348">
        <f>Model!U144</f>
        <v>0</v>
      </c>
      <c r="AC28" s="348">
        <f>Model!V144</f>
        <v>0</v>
      </c>
      <c r="AD28" s="348">
        <f>Model!W144</f>
        <v>0.21924185178591446</v>
      </c>
      <c r="AE28" s="348">
        <f>Model!X144</f>
        <v>0</v>
      </c>
      <c r="AF28" s="348">
        <f>Model!Y144</f>
        <v>0</v>
      </c>
      <c r="AG28" s="348">
        <f>Model!Z144</f>
        <v>0</v>
      </c>
      <c r="AH28" s="348">
        <f>Model!AA144</f>
        <v>0</v>
      </c>
      <c r="AI28" s="348">
        <f>Model!AB144</f>
        <v>0.2216416437338164</v>
      </c>
      <c r="AJ28" s="348" t="e">
        <f>Model!AC144</f>
        <v>#DIV/0!</v>
      </c>
      <c r="AK28" s="348" t="e">
        <f>Model!AD144</f>
        <v>#DIV/0!</v>
      </c>
      <c r="AL28" s="348" t="e">
        <f>Model!AE144</f>
        <v>#DIV/0!</v>
      </c>
      <c r="AM28" s="348" t="e">
        <f>Model!AF144</f>
        <v>#DIV/0!</v>
      </c>
      <c r="AN28" s="348">
        <f>Model!AG144</f>
        <v>0.178089165917209</v>
      </c>
      <c r="AO28" s="348" t="e">
        <f>Model!AH144</f>
        <v>#DIV/0!</v>
      </c>
      <c r="AP28" s="348" t="e">
        <f>Model!AI144</f>
        <v>#DIV/0!</v>
      </c>
      <c r="AQ28" s="348" t="e">
        <f>Model!AJ144</f>
        <v>#DIV/0!</v>
      </c>
      <c r="AR28" s="348" t="e">
        <f>Model!AK144</f>
        <v>#DIV/0!</v>
      </c>
      <c r="AS28" s="348">
        <f>Model!AL144</f>
        <v>0.30526671683215328</v>
      </c>
      <c r="AT28" s="348" t="e">
        <f>Model!AM144</f>
        <v>#DIV/0!</v>
      </c>
      <c r="AU28" s="348" t="e">
        <f>Model!AN144</f>
        <v>#DIV/0!</v>
      </c>
      <c r="AV28" s="348" t="e">
        <f>Model!AO144</f>
        <v>#DIV/0!</v>
      </c>
      <c r="AW28" s="348" t="e">
        <f>Model!AP144</f>
        <v>#DIV/0!</v>
      </c>
      <c r="AX28" s="348">
        <f ca="1">Model!AQ144</f>
        <v>0.3430266989300681</v>
      </c>
      <c r="AY28" s="348" t="e">
        <f>Model!AR144</f>
        <v>#DIV/0!</v>
      </c>
      <c r="AZ28" s="348" t="e">
        <f>Model!AS144</f>
        <v>#DIV/0!</v>
      </c>
      <c r="BA28" s="348" t="e">
        <f>Model!AT144</f>
        <v>#DIV/0!</v>
      </c>
      <c r="BB28" s="348" t="e">
        <f>Model!AU144</f>
        <v>#DIV/0!</v>
      </c>
      <c r="BC28" s="348">
        <f ca="1">Model!AV144</f>
        <v>0.3625170511416741</v>
      </c>
      <c r="BD28" s="348" t="e">
        <f>Model!AW144</f>
        <v>#DIV/0!</v>
      </c>
      <c r="BE28" s="348" t="e">
        <f>Model!AX144</f>
        <v>#DIV/0!</v>
      </c>
      <c r="BF28" s="348" t="e">
        <f>Model!AY144</f>
        <v>#DIV/0!</v>
      </c>
      <c r="BG28" s="348" t="e">
        <f>Model!AZ144</f>
        <v>#DIV/0!</v>
      </c>
      <c r="BH28" s="349">
        <f ca="1">Model!BA144</f>
        <v>0.40039618935853055</v>
      </c>
    </row>
    <row r="29" spans="2:62" ht="14.1" customHeight="1" x14ac:dyDescent="0.2">
      <c r="B29" s="172" t="s">
        <v>98</v>
      </c>
      <c r="C29" s="173"/>
      <c r="D29" s="173"/>
      <c r="E29" s="173"/>
      <c r="F29" s="173"/>
      <c r="G29" s="174">
        <f ca="1">(E26*E24)+(F26*F24)+(G26*G24)</f>
        <v>44.463922644649593</v>
      </c>
      <c r="H29" s="332"/>
      <c r="I29" s="332"/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347"/>
    </row>
    <row r="30" spans="2:62" ht="14.1" customHeight="1" x14ac:dyDescent="0.2">
      <c r="B30" s="175" t="s">
        <v>99</v>
      </c>
      <c r="C30" s="164"/>
      <c r="D30" s="164"/>
      <c r="E30" s="164"/>
      <c r="F30" s="164"/>
      <c r="G30" s="176">
        <f ca="1">G29/G7-1</f>
        <v>-0.1257585008916714</v>
      </c>
      <c r="H30" s="359"/>
      <c r="I30" s="359"/>
      <c r="J30" s="360"/>
      <c r="K30" s="360"/>
      <c r="L30" s="360"/>
      <c r="M30" s="360"/>
      <c r="N30" s="360"/>
      <c r="O30" s="360"/>
      <c r="P30" s="360"/>
      <c r="Q30" s="360"/>
      <c r="R30" s="360"/>
      <c r="S30" s="360"/>
      <c r="T30" s="360"/>
      <c r="U30" s="360"/>
      <c r="V30" s="360"/>
      <c r="W30" s="360"/>
      <c r="X30" s="360"/>
      <c r="Y30" s="360"/>
      <c r="Z30" s="360"/>
      <c r="AA30" s="360"/>
      <c r="AB30" s="360"/>
      <c r="AC30" s="360"/>
      <c r="AD30" s="360"/>
      <c r="AE30" s="360"/>
      <c r="AF30" s="360"/>
      <c r="AG30" s="360"/>
      <c r="AH30" s="360"/>
      <c r="AI30" s="360"/>
      <c r="AJ30" s="360"/>
      <c r="AK30" s="360"/>
      <c r="AL30" s="360"/>
      <c r="AM30" s="360"/>
      <c r="AN30" s="360"/>
      <c r="AO30" s="360"/>
      <c r="AP30" s="360"/>
      <c r="AQ30" s="360"/>
      <c r="AR30" s="360"/>
      <c r="AS30" s="360"/>
      <c r="AT30" s="360"/>
      <c r="AU30" s="360"/>
      <c r="AV30" s="360"/>
      <c r="AW30" s="360"/>
      <c r="AX30" s="360"/>
      <c r="AY30" s="360"/>
      <c r="AZ30" s="360"/>
      <c r="BA30" s="360"/>
      <c r="BB30" s="360"/>
      <c r="BC30" s="360"/>
      <c r="BD30" s="360"/>
      <c r="BE30" s="360"/>
      <c r="BF30" s="360"/>
      <c r="BG30" s="360"/>
      <c r="BH30" s="361"/>
    </row>
    <row r="31" spans="2:62" x14ac:dyDescent="0.2">
      <c r="B31" s="166"/>
      <c r="C31" s="166"/>
      <c r="D31" s="166"/>
      <c r="E31" s="166"/>
      <c r="F31" s="166"/>
      <c r="G31" s="166"/>
    </row>
    <row r="32" spans="2:62" x14ac:dyDescent="0.2">
      <c r="B32" s="166"/>
      <c r="C32" s="166"/>
      <c r="D32" s="166"/>
      <c r="E32" s="166"/>
      <c r="F32" s="166"/>
      <c r="G32" s="166"/>
    </row>
    <row r="33" spans="2:9" x14ac:dyDescent="0.2">
      <c r="B33" s="166"/>
      <c r="C33" s="166"/>
      <c r="D33" s="166"/>
      <c r="E33" s="166"/>
      <c r="F33" s="166"/>
      <c r="G33" s="166"/>
    </row>
    <row r="34" spans="2:9" x14ac:dyDescent="0.2">
      <c r="B34" s="166"/>
      <c r="C34" s="166"/>
      <c r="D34" s="166"/>
      <c r="E34" s="166"/>
      <c r="F34" s="166"/>
      <c r="G34" s="166"/>
    </row>
    <row r="35" spans="2:9" x14ac:dyDescent="0.2">
      <c r="B35" s="166"/>
      <c r="C35" s="166"/>
      <c r="D35" s="166"/>
      <c r="E35" s="166"/>
      <c r="F35" s="166"/>
      <c r="G35" s="166"/>
    </row>
    <row r="36" spans="2:9" x14ac:dyDescent="0.2">
      <c r="B36" s="166"/>
      <c r="C36" s="166"/>
      <c r="D36" s="166"/>
      <c r="E36" s="166"/>
      <c r="F36" s="166"/>
      <c r="G36" s="166"/>
    </row>
    <row r="37" spans="2:9" x14ac:dyDescent="0.2">
      <c r="B37" s="166"/>
      <c r="C37" s="166"/>
      <c r="D37" s="166"/>
      <c r="E37" s="166"/>
      <c r="F37" s="166"/>
      <c r="G37" s="166"/>
    </row>
    <row r="38" spans="2:9" x14ac:dyDescent="0.2">
      <c r="B38" s="166"/>
      <c r="C38" s="166"/>
      <c r="D38" s="166"/>
      <c r="E38" s="166"/>
      <c r="F38" s="166"/>
      <c r="G38" s="166"/>
    </row>
    <row r="39" spans="2:9" x14ac:dyDescent="0.2">
      <c r="B39" s="166"/>
      <c r="C39" s="166"/>
      <c r="D39" s="166"/>
      <c r="E39" s="166"/>
      <c r="F39" s="166"/>
      <c r="G39" s="166"/>
    </row>
    <row r="40" spans="2:9" x14ac:dyDescent="0.2">
      <c r="B40" s="166"/>
      <c r="C40" s="166"/>
      <c r="D40" s="166"/>
      <c r="E40" s="166"/>
      <c r="F40" s="166"/>
      <c r="G40" s="166"/>
    </row>
    <row r="41" spans="2:9" x14ac:dyDescent="0.2">
      <c r="B41" s="166"/>
      <c r="C41" s="166"/>
      <c r="D41" s="166"/>
      <c r="E41" s="166"/>
      <c r="F41" s="166"/>
      <c r="G41" s="166"/>
    </row>
    <row r="42" spans="2:9" x14ac:dyDescent="0.2">
      <c r="B42" s="166"/>
      <c r="C42" s="166"/>
      <c r="D42" s="166"/>
      <c r="E42" s="166"/>
      <c r="F42" s="166"/>
      <c r="G42" s="166"/>
    </row>
    <row r="43" spans="2:9" x14ac:dyDescent="0.2">
      <c r="B43" s="166"/>
      <c r="C43" s="166"/>
      <c r="D43" s="166"/>
      <c r="E43" s="166"/>
      <c r="F43" s="166"/>
      <c r="G43" s="166"/>
    </row>
    <row r="44" spans="2:9" x14ac:dyDescent="0.2">
      <c r="B44" s="166"/>
      <c r="C44" s="166"/>
      <c r="D44" s="166"/>
      <c r="E44" s="166"/>
      <c r="F44" s="166"/>
      <c r="G44" s="166"/>
    </row>
    <row r="45" spans="2:9" x14ac:dyDescent="0.2">
      <c r="B45" s="166"/>
      <c r="C45" s="163"/>
      <c r="D45" s="163"/>
      <c r="E45" s="163"/>
      <c r="F45" s="163"/>
      <c r="G45" s="163"/>
      <c r="H45" s="88"/>
      <c r="I45" s="88"/>
    </row>
    <row r="46" spans="2:9" x14ac:dyDescent="0.2">
      <c r="B46" s="166"/>
      <c r="C46" s="163"/>
      <c r="D46" s="163"/>
      <c r="E46" s="163"/>
      <c r="F46" s="163"/>
      <c r="G46" s="163"/>
      <c r="H46" s="88"/>
      <c r="I46" s="88"/>
    </row>
    <row r="47" spans="2:9" x14ac:dyDescent="0.2">
      <c r="B47" s="166"/>
      <c r="C47" s="166"/>
      <c r="D47" s="166"/>
      <c r="E47" s="166"/>
      <c r="F47" s="166"/>
      <c r="G47" s="166"/>
    </row>
    <row r="48" spans="2:9" x14ac:dyDescent="0.2">
      <c r="B48" s="166"/>
      <c r="C48" s="166"/>
      <c r="D48" s="166"/>
      <c r="E48" s="166"/>
      <c r="F48" s="166"/>
      <c r="G48" s="166"/>
    </row>
    <row r="49" spans="2:7" x14ac:dyDescent="0.2">
      <c r="B49" s="166"/>
      <c r="C49" s="166"/>
      <c r="D49" s="166"/>
      <c r="E49" s="166"/>
      <c r="F49" s="166"/>
      <c r="G49" s="166"/>
    </row>
    <row r="50" spans="2:7" x14ac:dyDescent="0.2">
      <c r="B50" s="166"/>
      <c r="C50" s="166"/>
      <c r="D50" s="166"/>
      <c r="E50" s="166"/>
      <c r="F50" s="166"/>
      <c r="G50" s="166"/>
    </row>
    <row r="51" spans="2:7" x14ac:dyDescent="0.2">
      <c r="B51" s="166"/>
      <c r="C51" s="166"/>
      <c r="D51" s="166"/>
      <c r="E51" s="166"/>
      <c r="F51" s="166"/>
      <c r="G51" s="166"/>
    </row>
  </sheetData>
  <pageMargins left="0.7" right="0.7" top="0.75" bottom="0.75" header="0.3" footer="0.3"/>
  <pageSetup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D712"/>
  <sheetViews>
    <sheetView showGridLines="0" view="pageBreakPreview" zoomScale="85" zoomScaleNormal="100" zoomScaleSheetLayoutView="85" workbookViewId="0">
      <pane xSplit="2" ySplit="6" topLeftCell="C7" activePane="bottomRight" state="frozen"/>
      <selection pane="topRight" activeCell="C1" sqref="C1"/>
      <selection pane="bottomLeft" activeCell="A8" sqref="A8"/>
      <selection pane="bottomRight" activeCell="B7" sqref="B7"/>
    </sheetView>
  </sheetViews>
  <sheetFormatPr defaultColWidth="9.140625" defaultRowHeight="12.75" outlineLevelRow="1" outlineLevelCol="2" x14ac:dyDescent="0.2"/>
  <cols>
    <col min="1" max="1" width="2.5703125" style="87" customWidth="1"/>
    <col min="2" max="2" width="36" style="88" customWidth="1"/>
    <col min="3" max="5" width="9.140625" style="88" hidden="1" customWidth="1" outlineLevel="2"/>
    <col min="6" max="6" width="2" style="88" hidden="1" customWidth="1" outlineLevel="2" collapsed="1"/>
    <col min="7" max="7" width="2.28515625" style="88" hidden="1" customWidth="1" outlineLevel="2" collapsed="1"/>
    <col min="8" max="8" width="9.140625" style="88" customWidth="1" collapsed="1"/>
    <col min="9" max="12" width="9.140625" style="88" hidden="1" customWidth="1" outlineLevel="1"/>
    <col min="13" max="13" width="9.140625" style="88" customWidth="1" collapsed="1"/>
    <col min="14" max="17" width="9.140625" style="88" hidden="1" customWidth="1" outlineLevel="1"/>
    <col min="18" max="18" width="9.140625" style="88" customWidth="1" collapsed="1"/>
    <col min="19" max="22" width="9.140625" style="88" hidden="1" customWidth="1" outlineLevel="1"/>
    <col min="23" max="23" width="9.140625" style="88" customWidth="1" collapsed="1"/>
    <col min="24" max="27" width="9.140625" style="88" hidden="1" customWidth="1" outlineLevel="1"/>
    <col min="28" max="28" width="9.140625" style="88" customWidth="1" collapsed="1"/>
    <col min="29" max="32" width="9.140625" style="88" hidden="1" customWidth="1" outlineLevel="1"/>
    <col min="33" max="33" width="9.140625" style="88" customWidth="1" collapsed="1"/>
    <col min="34" max="37" width="9.140625" style="88" hidden="1" customWidth="1" outlineLevel="1"/>
    <col min="38" max="38" width="9.140625" style="88" customWidth="1" collapsed="1"/>
    <col min="39" max="42" width="9.140625" style="88" hidden="1" customWidth="1" outlineLevel="1"/>
    <col min="43" max="43" width="9.140625" style="88" customWidth="1" collapsed="1"/>
    <col min="44" max="47" width="9.140625" style="88" hidden="1" customWidth="1" outlineLevel="1"/>
    <col min="48" max="48" width="9.140625" style="88" customWidth="1" collapsed="1"/>
    <col min="49" max="52" width="9.140625" style="88" hidden="1" customWidth="1" outlineLevel="1"/>
    <col min="53" max="53" width="9.140625" style="88" customWidth="1" collapsed="1"/>
    <col min="54" max="54" width="3.140625" style="194" customWidth="1"/>
    <col min="55" max="55" width="2.7109375" style="194" hidden="1" customWidth="1" outlineLevel="1"/>
    <col min="56" max="56" width="9.140625" style="194" collapsed="1"/>
    <col min="57" max="16384" width="9.140625" style="88"/>
  </cols>
  <sheetData>
    <row r="1" spans="1:87" s="27" customFormat="1" ht="15" customHeight="1" x14ac:dyDescent="0.25">
      <c r="A1" s="26"/>
      <c r="B1" s="12" t="s">
        <v>19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5"/>
      <c r="BB1" s="178"/>
      <c r="BC1" s="178"/>
      <c r="BD1" s="178"/>
    </row>
    <row r="2" spans="1:87" s="27" customFormat="1" ht="15" customHeight="1" x14ac:dyDescent="0.25">
      <c r="A2" s="26"/>
      <c r="B2" s="16" t="s">
        <v>27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9"/>
      <c r="BB2" s="178"/>
      <c r="BC2" s="178"/>
      <c r="BD2" s="178"/>
    </row>
    <row r="3" spans="1:87" s="29" customFormat="1" ht="15" customHeight="1" x14ac:dyDescent="0.25">
      <c r="A3" s="28"/>
      <c r="B3" s="20" t="s">
        <v>0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179"/>
      <c r="BC3" s="179"/>
      <c r="BD3" s="179"/>
    </row>
    <row r="4" spans="1:87" s="31" customFormat="1" ht="15" customHeight="1" x14ac:dyDescent="0.25">
      <c r="A4" s="30"/>
      <c r="B4" s="30"/>
      <c r="BB4" s="180"/>
      <c r="BC4" s="180"/>
      <c r="BD4" s="180"/>
    </row>
    <row r="5" spans="1:87" s="5" customFormat="1" ht="15" customHeight="1" x14ac:dyDescent="0.25">
      <c r="A5" s="1"/>
      <c r="B5" s="2"/>
      <c r="C5" s="3"/>
      <c r="D5" s="3"/>
      <c r="E5" s="3"/>
      <c r="F5" s="3"/>
      <c r="G5" s="3"/>
      <c r="H5" s="3"/>
      <c r="I5" s="4"/>
      <c r="J5" s="4"/>
      <c r="K5" s="4"/>
      <c r="L5" s="4"/>
      <c r="M5" s="3"/>
      <c r="N5" s="4"/>
      <c r="O5" s="4"/>
      <c r="P5" s="4"/>
      <c r="Q5" s="4"/>
      <c r="R5" s="3"/>
      <c r="S5" s="4"/>
      <c r="T5" s="4"/>
      <c r="U5" s="4"/>
      <c r="V5" s="4"/>
      <c r="W5" s="3"/>
      <c r="X5" s="4"/>
      <c r="Y5" s="4"/>
      <c r="Z5" s="4"/>
      <c r="AA5" s="4"/>
      <c r="AB5" s="3"/>
      <c r="AC5" s="4"/>
      <c r="AD5" s="4"/>
      <c r="AE5" s="4"/>
      <c r="AF5" s="4"/>
      <c r="AG5" s="3"/>
      <c r="AH5" s="4"/>
      <c r="AI5" s="4"/>
      <c r="AJ5" s="4"/>
      <c r="AK5" s="4"/>
      <c r="AL5" s="3"/>
      <c r="AM5" s="4"/>
      <c r="AN5" s="4"/>
      <c r="AO5" s="4"/>
      <c r="AP5" s="4"/>
      <c r="AQ5" s="3"/>
      <c r="AR5" s="4"/>
      <c r="AS5" s="4"/>
      <c r="AT5" s="4"/>
      <c r="AU5" s="4"/>
      <c r="AV5" s="3"/>
      <c r="AW5" s="4"/>
      <c r="AX5" s="4"/>
      <c r="AY5" s="4"/>
      <c r="AZ5" s="4"/>
      <c r="BA5" s="3"/>
      <c r="BB5" s="181"/>
      <c r="BC5" s="181"/>
      <c r="BD5" s="181" t="s">
        <v>198</v>
      </c>
    </row>
    <row r="6" spans="1:87" s="5" customFormat="1" ht="15" customHeight="1" x14ac:dyDescent="0.25">
      <c r="A6" s="1"/>
      <c r="B6" s="207" t="s">
        <v>190</v>
      </c>
      <c r="C6" s="6">
        <f t="shared" ref="C6:E6" si="0">D6-1</f>
        <v>2004</v>
      </c>
      <c r="D6" s="6">
        <f t="shared" si="0"/>
        <v>2005</v>
      </c>
      <c r="E6" s="6">
        <f t="shared" si="0"/>
        <v>2006</v>
      </c>
      <c r="F6" s="6">
        <f>G6-1</f>
        <v>2007</v>
      </c>
      <c r="G6" s="6">
        <v>2008</v>
      </c>
      <c r="H6" s="6">
        <v>2009</v>
      </c>
      <c r="I6" s="7" t="s">
        <v>2</v>
      </c>
      <c r="J6" s="7" t="s">
        <v>3</v>
      </c>
      <c r="K6" s="7" t="s">
        <v>4</v>
      </c>
      <c r="L6" s="7" t="s">
        <v>5</v>
      </c>
      <c r="M6" s="6">
        <v>2010</v>
      </c>
      <c r="N6" s="7" t="s">
        <v>2</v>
      </c>
      <c r="O6" s="7" t="s">
        <v>3</v>
      </c>
      <c r="P6" s="7" t="s">
        <v>4</v>
      </c>
      <c r="Q6" s="7" t="s">
        <v>5</v>
      </c>
      <c r="R6" s="6">
        <v>2011</v>
      </c>
      <c r="S6" s="7" t="s">
        <v>2</v>
      </c>
      <c r="T6" s="7" t="s">
        <v>3</v>
      </c>
      <c r="U6" s="7" t="s">
        <v>4</v>
      </c>
      <c r="V6" s="7" t="s">
        <v>5</v>
      </c>
      <c r="W6" s="6">
        <v>2012</v>
      </c>
      <c r="X6" s="7" t="s">
        <v>2</v>
      </c>
      <c r="Y6" s="7" t="s">
        <v>3</v>
      </c>
      <c r="Z6" s="7" t="s">
        <v>4</v>
      </c>
      <c r="AA6" s="7" t="s">
        <v>5</v>
      </c>
      <c r="AB6" s="6">
        <v>2013</v>
      </c>
      <c r="AC6" s="7" t="s">
        <v>2</v>
      </c>
      <c r="AD6" s="7" t="s">
        <v>3</v>
      </c>
      <c r="AE6" s="7" t="s">
        <v>4</v>
      </c>
      <c r="AF6" s="7" t="s">
        <v>5</v>
      </c>
      <c r="AG6" s="6">
        <v>2014</v>
      </c>
      <c r="AH6" s="7" t="s">
        <v>2</v>
      </c>
      <c r="AI6" s="7" t="s">
        <v>3</v>
      </c>
      <c r="AJ6" s="7" t="s">
        <v>4</v>
      </c>
      <c r="AK6" s="7" t="s">
        <v>5</v>
      </c>
      <c r="AL6" s="6">
        <v>2015</v>
      </c>
      <c r="AM6" s="7" t="s">
        <v>7</v>
      </c>
      <c r="AN6" s="7" t="s">
        <v>8</v>
      </c>
      <c r="AO6" s="7" t="s">
        <v>9</v>
      </c>
      <c r="AP6" s="7" t="s">
        <v>6</v>
      </c>
      <c r="AQ6" s="6" t="s">
        <v>10</v>
      </c>
      <c r="AR6" s="7" t="s">
        <v>7</v>
      </c>
      <c r="AS6" s="7" t="s">
        <v>8</v>
      </c>
      <c r="AT6" s="7" t="s">
        <v>9</v>
      </c>
      <c r="AU6" s="7" t="s">
        <v>6</v>
      </c>
      <c r="AV6" s="6" t="s">
        <v>11</v>
      </c>
      <c r="AW6" s="7" t="s">
        <v>7</v>
      </c>
      <c r="AX6" s="7" t="s">
        <v>8</v>
      </c>
      <c r="AY6" s="7" t="s">
        <v>9</v>
      </c>
      <c r="AZ6" s="7" t="s">
        <v>6</v>
      </c>
      <c r="BA6" s="6" t="s">
        <v>12</v>
      </c>
      <c r="BB6" s="181"/>
      <c r="BC6" s="181"/>
      <c r="BD6" s="305" t="s">
        <v>188</v>
      </c>
    </row>
    <row r="7" spans="1:87" s="27" customFormat="1" ht="15" customHeight="1" x14ac:dyDescent="0.25">
      <c r="A7" s="26"/>
      <c r="B7" s="26"/>
      <c r="BB7" s="178"/>
      <c r="BC7" s="178"/>
      <c r="BD7" s="178"/>
    </row>
    <row r="8" spans="1:87" s="268" customFormat="1" ht="15" customHeight="1" x14ac:dyDescent="0.25">
      <c r="A8" s="265"/>
      <c r="B8" s="256" t="s">
        <v>13</v>
      </c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8"/>
      <c r="AW8" s="257"/>
      <c r="AX8" s="257"/>
      <c r="AY8" s="257"/>
      <c r="AZ8" s="257"/>
      <c r="BA8" s="258"/>
      <c r="BB8" s="266"/>
      <c r="BC8" s="260">
        <v>0</v>
      </c>
      <c r="BD8" s="267"/>
    </row>
    <row r="9" spans="1:87" s="27" customFormat="1" ht="15" hidden="1" customHeight="1" outlineLevel="1" x14ac:dyDescent="0.25">
      <c r="A9" s="26"/>
      <c r="B9" s="26"/>
      <c r="BB9" s="178"/>
      <c r="BC9" s="198">
        <v>0</v>
      </c>
      <c r="BD9" s="199"/>
    </row>
    <row r="10" spans="1:87" s="37" customFormat="1" ht="15" hidden="1" customHeight="1" outlineLevel="1" x14ac:dyDescent="0.25">
      <c r="A10" s="34"/>
      <c r="B10" s="35" t="s">
        <v>20</v>
      </c>
      <c r="C10" s="36">
        <v>27526</v>
      </c>
      <c r="D10" s="36">
        <v>28688</v>
      </c>
      <c r="E10" s="36">
        <v>24840</v>
      </c>
      <c r="F10" s="36">
        <v>24902</v>
      </c>
      <c r="G10" s="36">
        <v>25342</v>
      </c>
      <c r="H10" s="36">
        <v>23795</v>
      </c>
      <c r="I10" s="36"/>
      <c r="J10" s="36"/>
      <c r="K10" s="36"/>
      <c r="L10" s="36"/>
      <c r="M10" s="36">
        <v>24290</v>
      </c>
      <c r="N10" s="36"/>
      <c r="O10" s="36"/>
      <c r="P10" s="36"/>
      <c r="Q10" s="36"/>
      <c r="R10" s="36">
        <v>24295</v>
      </c>
      <c r="S10" s="36"/>
      <c r="T10" s="36"/>
      <c r="U10" s="36"/>
      <c r="V10" s="36"/>
      <c r="W10" s="36">
        <v>25735</v>
      </c>
      <c r="X10" s="36"/>
      <c r="Y10" s="36"/>
      <c r="Z10" s="36"/>
      <c r="AA10" s="36"/>
      <c r="AB10" s="36">
        <v>26149</v>
      </c>
      <c r="AC10" s="36"/>
      <c r="AD10" s="36"/>
      <c r="AE10" s="36"/>
      <c r="AF10" s="36"/>
      <c r="AG10" s="36">
        <v>25638</v>
      </c>
      <c r="AH10" s="36"/>
      <c r="AI10" s="36"/>
      <c r="AJ10" s="36"/>
      <c r="AK10" s="36"/>
      <c r="AL10" s="36">
        <v>28557</v>
      </c>
      <c r="AM10" s="36"/>
      <c r="AN10" s="36"/>
      <c r="AO10" s="36"/>
      <c r="AP10" s="36"/>
      <c r="AQ10" s="36">
        <f>AL10*(1+AQ11)</f>
        <v>30555.99</v>
      </c>
      <c r="AR10" s="36"/>
      <c r="AS10" s="36"/>
      <c r="AT10" s="36"/>
      <c r="AU10" s="36"/>
      <c r="AV10" s="36">
        <f>AQ10*(1+AV11)</f>
        <v>32389.349400000003</v>
      </c>
      <c r="AW10" s="36"/>
      <c r="AX10" s="36"/>
      <c r="AY10" s="36"/>
      <c r="AZ10" s="36"/>
      <c r="BA10" s="36">
        <f>AV10*(1+BA11)</f>
        <v>34008.816870000002</v>
      </c>
      <c r="BB10" s="182"/>
      <c r="BC10" s="198">
        <v>0</v>
      </c>
      <c r="BD10" s="34"/>
    </row>
    <row r="11" spans="1:87" s="42" customFormat="1" ht="15" hidden="1" customHeight="1" outlineLevel="1" x14ac:dyDescent="0.25">
      <c r="A11" s="38"/>
      <c r="B11" s="131" t="s">
        <v>21</v>
      </c>
      <c r="C11" s="66"/>
      <c r="D11" s="66">
        <f t="shared" ref="D11:G11" si="1">D10/C10-1</f>
        <v>4.2214633437477334E-2</v>
      </c>
      <c r="E11" s="66">
        <f t="shared" si="1"/>
        <v>-0.13413273842721696</v>
      </c>
      <c r="F11" s="66">
        <f t="shared" si="1"/>
        <v>2.4959742351047254E-3</v>
      </c>
      <c r="G11" s="66">
        <f t="shared" si="1"/>
        <v>1.7669263512970934E-2</v>
      </c>
      <c r="H11" s="66">
        <f>H10/G10-1</f>
        <v>-6.1044905690158635E-2</v>
      </c>
      <c r="I11" s="67"/>
      <c r="J11" s="67"/>
      <c r="K11" s="67"/>
      <c r="L11" s="67"/>
      <c r="M11" s="66">
        <f>M10/H10-1</f>
        <v>2.0802689640680772E-2</v>
      </c>
      <c r="N11" s="67"/>
      <c r="O11" s="67"/>
      <c r="P11" s="67"/>
      <c r="Q11" s="67"/>
      <c r="R11" s="66">
        <f>R10/M10-1</f>
        <v>2.0584602717166334E-4</v>
      </c>
      <c r="S11" s="67"/>
      <c r="T11" s="67"/>
      <c r="U11" s="67"/>
      <c r="V11" s="67"/>
      <c r="W11" s="66">
        <f>W10/R10-1</f>
        <v>5.9271455031899567E-2</v>
      </c>
      <c r="X11" s="67"/>
      <c r="Y11" s="67"/>
      <c r="Z11" s="67"/>
      <c r="AA11" s="67"/>
      <c r="AB11" s="66">
        <f>AB10/W10-1</f>
        <v>1.608704099475422E-2</v>
      </c>
      <c r="AC11" s="69"/>
      <c r="AD11" s="69"/>
      <c r="AE11" s="69"/>
      <c r="AF11" s="69"/>
      <c r="AG11" s="66">
        <f>AG10/AB10-1</f>
        <v>-1.9541856285135162E-2</v>
      </c>
      <c r="AH11" s="69"/>
      <c r="AI11" s="69"/>
      <c r="AJ11" s="69"/>
      <c r="AK11" s="210"/>
      <c r="AL11" s="66">
        <f>AL10/AG10-1</f>
        <v>0.11385443482330926</v>
      </c>
      <c r="AM11" s="210"/>
      <c r="AN11" s="210"/>
      <c r="AO11" s="210"/>
      <c r="AP11" s="210"/>
      <c r="AQ11" s="242">
        <v>7.0000000000000007E-2</v>
      </c>
      <c r="AR11" s="210"/>
      <c r="AS11" s="210"/>
      <c r="AT11" s="210"/>
      <c r="AU11" s="210"/>
      <c r="AV11" s="242">
        <v>0.06</v>
      </c>
      <c r="AW11" s="243"/>
      <c r="AX11" s="243"/>
      <c r="AY11" s="243"/>
      <c r="AZ11" s="243"/>
      <c r="BA11" s="242">
        <v>0.05</v>
      </c>
      <c r="BB11" s="183"/>
      <c r="BC11" s="198">
        <v>0</v>
      </c>
      <c r="BD11" s="38"/>
    </row>
    <row r="12" spans="1:87" s="42" customFormat="1" ht="15" hidden="1" customHeight="1" outlineLevel="1" x14ac:dyDescent="0.25">
      <c r="A12" s="212"/>
      <c r="B12" s="71"/>
      <c r="C12" s="73"/>
      <c r="D12" s="73"/>
      <c r="E12" s="73"/>
      <c r="F12" s="73"/>
      <c r="G12" s="73"/>
      <c r="H12" s="73"/>
      <c r="I12" s="40"/>
      <c r="J12" s="40"/>
      <c r="K12" s="40"/>
      <c r="L12" s="40"/>
      <c r="M12" s="73"/>
      <c r="N12" s="40"/>
      <c r="O12" s="40"/>
      <c r="P12" s="40"/>
      <c r="Q12" s="40"/>
      <c r="R12" s="73"/>
      <c r="S12" s="40"/>
      <c r="T12" s="40"/>
      <c r="U12" s="40"/>
      <c r="V12" s="40"/>
      <c r="W12" s="73"/>
      <c r="X12" s="40"/>
      <c r="Y12" s="40"/>
      <c r="Z12" s="40"/>
      <c r="AA12" s="40"/>
      <c r="AB12" s="73"/>
      <c r="AC12" s="41"/>
      <c r="AD12" s="41"/>
      <c r="AE12" s="41"/>
      <c r="AF12" s="41"/>
      <c r="AG12" s="73"/>
      <c r="AH12" s="41"/>
      <c r="AI12" s="41"/>
      <c r="AJ12" s="41"/>
      <c r="AK12" s="8"/>
      <c r="AL12" s="73"/>
      <c r="AM12" s="8"/>
      <c r="AN12" s="8"/>
      <c r="AO12" s="8"/>
      <c r="AP12" s="8"/>
      <c r="AQ12" s="244"/>
      <c r="AR12" s="8"/>
      <c r="AS12" s="8"/>
      <c r="AT12" s="8"/>
      <c r="AU12" s="8"/>
      <c r="AV12" s="209"/>
      <c r="AW12" s="8"/>
      <c r="AX12" s="8"/>
      <c r="AY12" s="8"/>
      <c r="AZ12" s="8"/>
      <c r="BA12" s="209"/>
      <c r="BB12" s="211"/>
      <c r="BC12" s="198"/>
      <c r="BD12" s="38"/>
    </row>
    <row r="13" spans="1:87" s="48" customFormat="1" ht="15" hidden="1" customHeight="1" outlineLevel="1" x14ac:dyDescent="0.25">
      <c r="A13" s="43"/>
      <c r="B13" s="35" t="s">
        <v>22</v>
      </c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5"/>
      <c r="Y13" s="46"/>
      <c r="Z13" s="46"/>
      <c r="AA13" s="46"/>
      <c r="AB13" s="46"/>
      <c r="AC13" s="44"/>
      <c r="AD13" s="44"/>
      <c r="AE13" s="44"/>
      <c r="AF13" s="44"/>
      <c r="AG13" s="44"/>
      <c r="AH13" s="44"/>
      <c r="AI13" s="44"/>
      <c r="AJ13" s="44"/>
      <c r="AK13" s="44"/>
      <c r="AL13" s="241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7"/>
      <c r="BB13" s="184"/>
      <c r="BC13" s="198">
        <v>0</v>
      </c>
      <c r="BD13" s="43"/>
    </row>
    <row r="14" spans="1:87" s="42" customFormat="1" ht="15" hidden="1" customHeight="1" outlineLevel="1" x14ac:dyDescent="0.25">
      <c r="A14" s="49"/>
      <c r="B14" s="50" t="s">
        <v>23</v>
      </c>
      <c r="C14" s="51">
        <v>17.239999999999998</v>
      </c>
      <c r="D14" s="51">
        <v>18.28</v>
      </c>
      <c r="E14" s="51">
        <v>20.65</v>
      </c>
      <c r="F14" s="51">
        <v>20.67</v>
      </c>
      <c r="G14" s="51">
        <v>16.829999999999998</v>
      </c>
      <c r="H14" s="51">
        <v>20.28</v>
      </c>
      <c r="I14" s="52"/>
      <c r="J14" s="52"/>
      <c r="K14" s="52"/>
      <c r="L14" s="52"/>
      <c r="M14" s="51">
        <v>21.06</v>
      </c>
      <c r="N14" s="52"/>
      <c r="O14" s="52"/>
      <c r="P14" s="52"/>
      <c r="Q14" s="52"/>
      <c r="R14" s="51">
        <v>22.3</v>
      </c>
      <c r="S14" s="52"/>
      <c r="T14" s="52"/>
      <c r="U14" s="52"/>
      <c r="V14" s="52"/>
      <c r="W14" s="51">
        <v>22.41</v>
      </c>
      <c r="X14" s="52"/>
      <c r="Y14" s="52"/>
      <c r="Z14" s="52"/>
      <c r="AA14" s="52"/>
      <c r="AB14" s="51">
        <v>23.03</v>
      </c>
      <c r="AC14" s="53"/>
      <c r="AD14" s="53"/>
      <c r="AE14" s="53"/>
      <c r="AF14" s="53"/>
      <c r="AG14" s="54">
        <v>25.02</v>
      </c>
      <c r="AH14" s="53"/>
      <c r="AI14" s="53"/>
      <c r="AJ14" s="53"/>
      <c r="AK14" s="23"/>
      <c r="AL14" s="24">
        <f>AL27/(AL$10/1000)</f>
        <v>24.085828343313374</v>
      </c>
      <c r="AM14" s="23"/>
      <c r="AN14" s="23"/>
      <c r="AO14" s="23"/>
      <c r="AP14" s="23"/>
      <c r="AQ14" s="24">
        <f>AQ27/(AQ$10/1000)</f>
        <v>23.860727143843153</v>
      </c>
      <c r="AR14" s="23"/>
      <c r="AS14" s="23"/>
      <c r="AT14" s="23"/>
      <c r="AU14" s="23"/>
      <c r="AV14" s="24">
        <f>AV27/(AV$10/1000)</f>
        <v>23.41052474490272</v>
      </c>
      <c r="AW14" s="23"/>
      <c r="AX14" s="23"/>
      <c r="AY14" s="23"/>
      <c r="AZ14" s="23"/>
      <c r="BA14" s="24">
        <f>BA27/(BA$10/1000)</f>
        <v>22.741652609334068</v>
      </c>
      <c r="BB14" s="185"/>
      <c r="BC14" s="198">
        <v>0</v>
      </c>
      <c r="BD14" s="49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</row>
    <row r="15" spans="1:87" s="62" customFormat="1" ht="15" hidden="1" customHeight="1" outlineLevel="1" x14ac:dyDescent="0.25">
      <c r="A15" s="56"/>
      <c r="B15" s="57" t="s">
        <v>21</v>
      </c>
      <c r="C15" s="58"/>
      <c r="D15" s="39">
        <f t="shared" ref="D15" si="2">D14/C14-1</f>
        <v>6.0324825986079134E-2</v>
      </c>
      <c r="E15" s="39">
        <f t="shared" ref="E15" si="3">E14/D14-1</f>
        <v>0.12964989059080945</v>
      </c>
      <c r="F15" s="39">
        <f t="shared" ref="F15" si="4">F14/E14-1</f>
        <v>9.6852300242145084E-4</v>
      </c>
      <c r="G15" s="39">
        <f t="shared" ref="G15" si="5">G14/F14-1</f>
        <v>-0.18577648766328025</v>
      </c>
      <c r="H15" s="58">
        <f>H14/G14-1</f>
        <v>0.2049910873440286</v>
      </c>
      <c r="I15" s="59"/>
      <c r="J15" s="59"/>
      <c r="K15" s="59"/>
      <c r="L15" s="59"/>
      <c r="M15" s="58">
        <f>M14/H14-1</f>
        <v>3.8461538461538325E-2</v>
      </c>
      <c r="N15" s="59" t="e">
        <f t="shared" ref="N15:BA15" si="6">N14/I14-1</f>
        <v>#DIV/0!</v>
      </c>
      <c r="O15" s="59" t="e">
        <f t="shared" si="6"/>
        <v>#DIV/0!</v>
      </c>
      <c r="P15" s="59" t="e">
        <f t="shared" si="6"/>
        <v>#DIV/0!</v>
      </c>
      <c r="Q15" s="59" t="e">
        <f t="shared" si="6"/>
        <v>#DIV/0!</v>
      </c>
      <c r="R15" s="58">
        <f t="shared" si="6"/>
        <v>5.8879392212725534E-2</v>
      </c>
      <c r="S15" s="59" t="e">
        <f t="shared" si="6"/>
        <v>#DIV/0!</v>
      </c>
      <c r="T15" s="59" t="e">
        <f t="shared" si="6"/>
        <v>#DIV/0!</v>
      </c>
      <c r="U15" s="59" t="e">
        <f t="shared" si="6"/>
        <v>#DIV/0!</v>
      </c>
      <c r="V15" s="59" t="e">
        <f t="shared" si="6"/>
        <v>#DIV/0!</v>
      </c>
      <c r="W15" s="58">
        <f t="shared" si="6"/>
        <v>4.9327354260089162E-3</v>
      </c>
      <c r="X15" s="59" t="e">
        <f t="shared" si="6"/>
        <v>#DIV/0!</v>
      </c>
      <c r="Y15" s="59" t="e">
        <f t="shared" si="6"/>
        <v>#DIV/0!</v>
      </c>
      <c r="Z15" s="59" t="e">
        <f t="shared" si="6"/>
        <v>#DIV/0!</v>
      </c>
      <c r="AA15" s="59" t="e">
        <f t="shared" si="6"/>
        <v>#DIV/0!</v>
      </c>
      <c r="AB15" s="58">
        <f t="shared" si="6"/>
        <v>2.7666220437304823E-2</v>
      </c>
      <c r="AC15" s="60" t="e">
        <f t="shared" si="6"/>
        <v>#DIV/0!</v>
      </c>
      <c r="AD15" s="60" t="e">
        <f t="shared" si="6"/>
        <v>#DIV/0!</v>
      </c>
      <c r="AE15" s="60" t="e">
        <f t="shared" si="6"/>
        <v>#DIV/0!</v>
      </c>
      <c r="AF15" s="60" t="e">
        <f t="shared" si="6"/>
        <v>#DIV/0!</v>
      </c>
      <c r="AG15" s="61">
        <f t="shared" si="6"/>
        <v>8.6409031697785466E-2</v>
      </c>
      <c r="AH15" s="60" t="e">
        <f t="shared" si="6"/>
        <v>#DIV/0!</v>
      </c>
      <c r="AI15" s="60" t="e">
        <f t="shared" si="6"/>
        <v>#DIV/0!</v>
      </c>
      <c r="AJ15" s="60" t="e">
        <f t="shared" si="6"/>
        <v>#DIV/0!</v>
      </c>
      <c r="AK15" s="60" t="e">
        <f t="shared" si="6"/>
        <v>#DIV/0!</v>
      </c>
      <c r="AL15" s="61">
        <f t="shared" si="6"/>
        <v>-3.7336996670128908E-2</v>
      </c>
      <c r="AM15" s="60" t="e">
        <f t="shared" si="6"/>
        <v>#DIV/0!</v>
      </c>
      <c r="AN15" s="60" t="e">
        <f t="shared" si="6"/>
        <v>#DIV/0!</v>
      </c>
      <c r="AO15" s="60" t="e">
        <f t="shared" si="6"/>
        <v>#DIV/0!</v>
      </c>
      <c r="AP15" s="60" t="e">
        <f t="shared" si="6"/>
        <v>#DIV/0!</v>
      </c>
      <c r="AQ15" s="61">
        <f t="shared" si="6"/>
        <v>-9.3457943925234765E-3</v>
      </c>
      <c r="AR15" s="60" t="e">
        <f t="shared" si="6"/>
        <v>#DIV/0!</v>
      </c>
      <c r="AS15" s="60" t="e">
        <f t="shared" si="6"/>
        <v>#DIV/0!</v>
      </c>
      <c r="AT15" s="60" t="e">
        <f t="shared" si="6"/>
        <v>#DIV/0!</v>
      </c>
      <c r="AU15" s="60" t="e">
        <f t="shared" si="6"/>
        <v>#DIV/0!</v>
      </c>
      <c r="AV15" s="61">
        <f t="shared" si="6"/>
        <v>-1.8867924528301772E-2</v>
      </c>
      <c r="AW15" s="60" t="e">
        <f t="shared" si="6"/>
        <v>#DIV/0!</v>
      </c>
      <c r="AX15" s="60" t="e">
        <f t="shared" si="6"/>
        <v>#DIV/0!</v>
      </c>
      <c r="AY15" s="60" t="e">
        <f t="shared" si="6"/>
        <v>#DIV/0!</v>
      </c>
      <c r="AZ15" s="60" t="e">
        <f t="shared" si="6"/>
        <v>#DIV/0!</v>
      </c>
      <c r="BA15" s="61">
        <f t="shared" si="6"/>
        <v>-2.8571428571428692E-2</v>
      </c>
      <c r="BB15" s="186"/>
      <c r="BC15" s="198">
        <v>0</v>
      </c>
      <c r="BD15" s="56"/>
    </row>
    <row r="16" spans="1:87" s="62" customFormat="1" ht="15" hidden="1" customHeight="1" outlineLevel="1" x14ac:dyDescent="0.25">
      <c r="A16" s="34"/>
      <c r="B16" s="50" t="s">
        <v>24</v>
      </c>
      <c r="C16" s="51">
        <v>13.3</v>
      </c>
      <c r="D16" s="51">
        <v>13.88</v>
      </c>
      <c r="E16" s="51">
        <v>15.58</v>
      </c>
      <c r="F16" s="51">
        <v>16.100000000000001</v>
      </c>
      <c r="G16" s="51">
        <v>16.61</v>
      </c>
      <c r="H16" s="51">
        <v>15.75</v>
      </c>
      <c r="I16" s="52"/>
      <c r="J16" s="52"/>
      <c r="K16" s="52"/>
      <c r="L16" s="52"/>
      <c r="M16" s="51">
        <v>16.489999999999998</v>
      </c>
      <c r="N16" s="52"/>
      <c r="O16" s="52"/>
      <c r="P16" s="52"/>
      <c r="Q16" s="52"/>
      <c r="R16" s="51">
        <v>17.03</v>
      </c>
      <c r="S16" s="52"/>
      <c r="T16" s="52"/>
      <c r="U16" s="52"/>
      <c r="V16" s="52"/>
      <c r="W16" s="51">
        <v>17</v>
      </c>
      <c r="X16" s="52"/>
      <c r="Y16" s="52"/>
      <c r="Z16" s="52"/>
      <c r="AA16" s="52"/>
      <c r="AB16" s="51">
        <v>17.149999999999999</v>
      </c>
      <c r="AC16" s="53"/>
      <c r="AD16" s="53"/>
      <c r="AE16" s="53"/>
      <c r="AF16" s="53"/>
      <c r="AG16" s="54">
        <v>17.95</v>
      </c>
      <c r="AH16" s="53"/>
      <c r="AI16" s="53"/>
      <c r="AJ16" s="53"/>
      <c r="AK16" s="23"/>
      <c r="AL16" s="24">
        <f>AL29/(AL$10/1000)</f>
        <v>17.515495325139195</v>
      </c>
      <c r="AM16" s="23"/>
      <c r="AN16" s="23"/>
      <c r="AO16" s="23"/>
      <c r="AP16" s="23"/>
      <c r="AQ16" s="24">
        <f>AQ29/(AQ$10/1000)</f>
        <v>17.35179910714724</v>
      </c>
      <c r="AR16" s="23"/>
      <c r="AS16" s="23"/>
      <c r="AT16" s="23"/>
      <c r="AU16" s="23"/>
      <c r="AV16" s="24">
        <f>AV29/(AV$10/1000)</f>
        <v>17.024406671163334</v>
      </c>
      <c r="AW16" s="23"/>
      <c r="AX16" s="23"/>
      <c r="AY16" s="23"/>
      <c r="AZ16" s="23"/>
      <c r="BA16" s="24">
        <f>BA29/(BA$10/1000)</f>
        <v>16.537995051987235</v>
      </c>
      <c r="BB16" s="182"/>
      <c r="BC16" s="198">
        <v>0</v>
      </c>
      <c r="BD16" s="34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</row>
    <row r="17" spans="1:87" s="62" customFormat="1" ht="15" hidden="1" customHeight="1" outlineLevel="1" x14ac:dyDescent="0.25">
      <c r="A17" s="56"/>
      <c r="B17" s="57" t="s">
        <v>21</v>
      </c>
      <c r="C17" s="58"/>
      <c r="D17" s="39">
        <f t="shared" ref="D17" si="7">D16/C16-1</f>
        <v>4.3609022556390986E-2</v>
      </c>
      <c r="E17" s="39">
        <f t="shared" ref="E17" si="8">E16/D16-1</f>
        <v>0.12247838616714701</v>
      </c>
      <c r="F17" s="39">
        <f t="shared" ref="F17" si="9">F16/E16-1</f>
        <v>3.3376123234916566E-2</v>
      </c>
      <c r="G17" s="39">
        <f t="shared" ref="G17" si="10">G16/F16-1</f>
        <v>3.1677018633540222E-2</v>
      </c>
      <c r="H17" s="58">
        <f>H16/G16-1</f>
        <v>-5.1776038531005431E-2</v>
      </c>
      <c r="I17" s="59"/>
      <c r="J17" s="59"/>
      <c r="K17" s="59"/>
      <c r="L17" s="59"/>
      <c r="M17" s="58">
        <f>M16/H16-1</f>
        <v>4.6984126984126906E-2</v>
      </c>
      <c r="N17" s="59" t="e">
        <f t="shared" ref="N17:BA17" si="11">N16/I16-1</f>
        <v>#DIV/0!</v>
      </c>
      <c r="O17" s="59" t="e">
        <f t="shared" si="11"/>
        <v>#DIV/0!</v>
      </c>
      <c r="P17" s="59" t="e">
        <f t="shared" si="11"/>
        <v>#DIV/0!</v>
      </c>
      <c r="Q17" s="59" t="e">
        <f t="shared" si="11"/>
        <v>#DIV/0!</v>
      </c>
      <c r="R17" s="58">
        <f t="shared" si="11"/>
        <v>3.2747119466343344E-2</v>
      </c>
      <c r="S17" s="59" t="e">
        <f t="shared" si="11"/>
        <v>#DIV/0!</v>
      </c>
      <c r="T17" s="59" t="e">
        <f t="shared" si="11"/>
        <v>#DIV/0!</v>
      </c>
      <c r="U17" s="59" t="e">
        <f t="shared" si="11"/>
        <v>#DIV/0!</v>
      </c>
      <c r="V17" s="59" t="e">
        <f t="shared" si="11"/>
        <v>#DIV/0!</v>
      </c>
      <c r="W17" s="58">
        <f t="shared" si="11"/>
        <v>-1.7615971814445297E-3</v>
      </c>
      <c r="X17" s="59" t="e">
        <f t="shared" si="11"/>
        <v>#DIV/0!</v>
      </c>
      <c r="Y17" s="59" t="e">
        <f t="shared" si="11"/>
        <v>#DIV/0!</v>
      </c>
      <c r="Z17" s="59" t="e">
        <f t="shared" si="11"/>
        <v>#DIV/0!</v>
      </c>
      <c r="AA17" s="59" t="e">
        <f t="shared" si="11"/>
        <v>#DIV/0!</v>
      </c>
      <c r="AB17" s="58">
        <f t="shared" si="11"/>
        <v>8.8235294117646745E-3</v>
      </c>
      <c r="AC17" s="60" t="e">
        <f t="shared" si="11"/>
        <v>#DIV/0!</v>
      </c>
      <c r="AD17" s="60" t="e">
        <f t="shared" si="11"/>
        <v>#DIV/0!</v>
      </c>
      <c r="AE17" s="60" t="e">
        <f t="shared" si="11"/>
        <v>#DIV/0!</v>
      </c>
      <c r="AF17" s="60" t="e">
        <f t="shared" si="11"/>
        <v>#DIV/0!</v>
      </c>
      <c r="AG17" s="61">
        <f t="shared" si="11"/>
        <v>4.6647230320699729E-2</v>
      </c>
      <c r="AH17" s="60" t="e">
        <f t="shared" si="11"/>
        <v>#DIV/0!</v>
      </c>
      <c r="AI17" s="60" t="e">
        <f t="shared" si="11"/>
        <v>#DIV/0!</v>
      </c>
      <c r="AJ17" s="60" t="e">
        <f t="shared" si="11"/>
        <v>#DIV/0!</v>
      </c>
      <c r="AK17" s="60" t="e">
        <f t="shared" si="11"/>
        <v>#DIV/0!</v>
      </c>
      <c r="AL17" s="61">
        <f t="shared" si="11"/>
        <v>-2.4206388571632598E-2</v>
      </c>
      <c r="AM17" s="60" t="e">
        <f t="shared" si="11"/>
        <v>#DIV/0!</v>
      </c>
      <c r="AN17" s="60" t="e">
        <f t="shared" si="11"/>
        <v>#DIV/0!</v>
      </c>
      <c r="AO17" s="60" t="e">
        <f t="shared" si="11"/>
        <v>#DIV/0!</v>
      </c>
      <c r="AP17" s="60" t="e">
        <f t="shared" si="11"/>
        <v>#DIV/0!</v>
      </c>
      <c r="AQ17" s="61">
        <f t="shared" si="11"/>
        <v>-9.3457943925233655E-3</v>
      </c>
      <c r="AR17" s="60" t="e">
        <f t="shared" si="11"/>
        <v>#DIV/0!</v>
      </c>
      <c r="AS17" s="60" t="e">
        <f t="shared" si="11"/>
        <v>#DIV/0!</v>
      </c>
      <c r="AT17" s="60" t="e">
        <f t="shared" si="11"/>
        <v>#DIV/0!</v>
      </c>
      <c r="AU17" s="60" t="e">
        <f t="shared" si="11"/>
        <v>#DIV/0!</v>
      </c>
      <c r="AV17" s="61">
        <f t="shared" si="11"/>
        <v>-1.8867924528301661E-2</v>
      </c>
      <c r="AW17" s="60" t="e">
        <f t="shared" si="11"/>
        <v>#DIV/0!</v>
      </c>
      <c r="AX17" s="60" t="e">
        <f t="shared" si="11"/>
        <v>#DIV/0!</v>
      </c>
      <c r="AY17" s="60" t="e">
        <f t="shared" si="11"/>
        <v>#DIV/0!</v>
      </c>
      <c r="AZ17" s="60" t="e">
        <f t="shared" si="11"/>
        <v>#DIV/0!</v>
      </c>
      <c r="BA17" s="61">
        <f t="shared" si="11"/>
        <v>-2.8571428571428803E-2</v>
      </c>
      <c r="BB17" s="186"/>
      <c r="BC17" s="198">
        <v>0</v>
      </c>
      <c r="BD17" s="56"/>
    </row>
    <row r="18" spans="1:87" s="62" customFormat="1" ht="15" hidden="1" customHeight="1" outlineLevel="1" x14ac:dyDescent="0.25">
      <c r="A18" s="34"/>
      <c r="B18" s="50" t="s">
        <v>25</v>
      </c>
      <c r="C18" s="51">
        <v>0.76</v>
      </c>
      <c r="D18" s="51">
        <v>0.71</v>
      </c>
      <c r="E18" s="51">
        <v>1.02</v>
      </c>
      <c r="F18" s="51">
        <v>1.53</v>
      </c>
      <c r="G18" s="51">
        <v>2.2999999999999998</v>
      </c>
      <c r="H18" s="51">
        <v>1.75</v>
      </c>
      <c r="I18" s="52"/>
      <c r="J18" s="52"/>
      <c r="K18" s="52"/>
      <c r="L18" s="52"/>
      <c r="M18" s="51">
        <v>2.02</v>
      </c>
      <c r="N18" s="52"/>
      <c r="O18" s="52"/>
      <c r="P18" s="52"/>
      <c r="Q18" s="52"/>
      <c r="R18" s="51">
        <v>1.74</v>
      </c>
      <c r="S18" s="52"/>
      <c r="T18" s="52"/>
      <c r="U18" s="52"/>
      <c r="V18" s="52"/>
      <c r="W18" s="51">
        <v>1.55</v>
      </c>
      <c r="X18" s="52"/>
      <c r="Y18" s="52"/>
      <c r="Z18" s="52"/>
      <c r="AA18" s="52"/>
      <c r="AB18" s="51">
        <v>1.61</v>
      </c>
      <c r="AC18" s="53"/>
      <c r="AD18" s="53"/>
      <c r="AE18" s="53"/>
      <c r="AF18" s="53"/>
      <c r="AG18" s="54">
        <v>2.23</v>
      </c>
      <c r="AH18" s="53"/>
      <c r="AI18" s="53"/>
      <c r="AJ18" s="53"/>
      <c r="AK18" s="23"/>
      <c r="AL18" s="24">
        <f>AL31/(AL$10/1000)</f>
        <v>2.0707007038554472</v>
      </c>
      <c r="AM18" s="23"/>
      <c r="AN18" s="23"/>
      <c r="AO18" s="23"/>
      <c r="AP18" s="23"/>
      <c r="AQ18" s="24">
        <f>AQ31/(AQ$10/1000)</f>
        <v>2.1287577329355063</v>
      </c>
      <c r="AR18" s="23"/>
      <c r="AS18" s="23"/>
      <c r="AT18" s="23"/>
      <c r="AU18" s="23"/>
      <c r="AV18" s="24">
        <f>AV31/(AV$10/1000)</f>
        <v>2.2090882134236387</v>
      </c>
      <c r="AW18" s="23"/>
      <c r="AX18" s="23"/>
      <c r="AY18" s="23"/>
      <c r="AZ18" s="23"/>
      <c r="BA18" s="24">
        <f>BA31/(BA$10/1000)</f>
        <v>2.3142828902533359</v>
      </c>
      <c r="BB18" s="182"/>
      <c r="BC18" s="198">
        <v>0</v>
      </c>
      <c r="BD18" s="34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</row>
    <row r="19" spans="1:87" s="62" customFormat="1" ht="15" hidden="1" customHeight="1" outlineLevel="1" x14ac:dyDescent="0.25">
      <c r="A19" s="56"/>
      <c r="B19" s="57" t="s">
        <v>21</v>
      </c>
      <c r="C19" s="58"/>
      <c r="D19" s="39">
        <f t="shared" ref="D19" si="12">D18/C18-1</f>
        <v>-6.578947368421062E-2</v>
      </c>
      <c r="E19" s="39">
        <f t="shared" ref="E19" si="13">E18/D18-1</f>
        <v>0.43661971830985924</v>
      </c>
      <c r="F19" s="39">
        <f t="shared" ref="F19" si="14">F18/E18-1</f>
        <v>0.5</v>
      </c>
      <c r="G19" s="39">
        <f t="shared" ref="G19" si="15">G18/F18-1</f>
        <v>0.50326797385620892</v>
      </c>
      <c r="H19" s="58">
        <f>H18/G18-1</f>
        <v>-0.23913043478260865</v>
      </c>
      <c r="I19" s="59"/>
      <c r="J19" s="59"/>
      <c r="K19" s="59"/>
      <c r="L19" s="59"/>
      <c r="M19" s="58">
        <f>M18/H18-1</f>
        <v>0.15428571428571436</v>
      </c>
      <c r="N19" s="59" t="e">
        <f t="shared" ref="N19:BA19" si="16">N18/I18-1</f>
        <v>#DIV/0!</v>
      </c>
      <c r="O19" s="59" t="e">
        <f t="shared" si="16"/>
        <v>#DIV/0!</v>
      </c>
      <c r="P19" s="59" t="e">
        <f t="shared" si="16"/>
        <v>#DIV/0!</v>
      </c>
      <c r="Q19" s="59" t="e">
        <f t="shared" si="16"/>
        <v>#DIV/0!</v>
      </c>
      <c r="R19" s="58">
        <f t="shared" si="16"/>
        <v>-0.13861386138613863</v>
      </c>
      <c r="S19" s="59" t="e">
        <f t="shared" si="16"/>
        <v>#DIV/0!</v>
      </c>
      <c r="T19" s="59" t="e">
        <f t="shared" si="16"/>
        <v>#DIV/0!</v>
      </c>
      <c r="U19" s="59" t="e">
        <f t="shared" si="16"/>
        <v>#DIV/0!</v>
      </c>
      <c r="V19" s="59" t="e">
        <f t="shared" si="16"/>
        <v>#DIV/0!</v>
      </c>
      <c r="W19" s="58">
        <f t="shared" si="16"/>
        <v>-0.1091954022988505</v>
      </c>
      <c r="X19" s="59" t="e">
        <f t="shared" si="16"/>
        <v>#DIV/0!</v>
      </c>
      <c r="Y19" s="59" t="e">
        <f t="shared" si="16"/>
        <v>#DIV/0!</v>
      </c>
      <c r="Z19" s="59" t="e">
        <f t="shared" si="16"/>
        <v>#DIV/0!</v>
      </c>
      <c r="AA19" s="59" t="e">
        <f t="shared" si="16"/>
        <v>#DIV/0!</v>
      </c>
      <c r="AB19" s="58">
        <f t="shared" si="16"/>
        <v>3.8709677419354938E-2</v>
      </c>
      <c r="AC19" s="60" t="e">
        <f t="shared" si="16"/>
        <v>#DIV/0!</v>
      </c>
      <c r="AD19" s="60" t="e">
        <f t="shared" si="16"/>
        <v>#DIV/0!</v>
      </c>
      <c r="AE19" s="60" t="e">
        <f t="shared" si="16"/>
        <v>#DIV/0!</v>
      </c>
      <c r="AF19" s="60" t="e">
        <f t="shared" si="16"/>
        <v>#DIV/0!</v>
      </c>
      <c r="AG19" s="61">
        <f t="shared" si="16"/>
        <v>0.38509316770186319</v>
      </c>
      <c r="AH19" s="60" t="e">
        <f t="shared" si="16"/>
        <v>#DIV/0!</v>
      </c>
      <c r="AI19" s="60" t="e">
        <f t="shared" si="16"/>
        <v>#DIV/0!</v>
      </c>
      <c r="AJ19" s="60" t="e">
        <f t="shared" si="16"/>
        <v>#DIV/0!</v>
      </c>
      <c r="AK19" s="60" t="e">
        <f t="shared" si="16"/>
        <v>#DIV/0!</v>
      </c>
      <c r="AL19" s="61">
        <f t="shared" si="16"/>
        <v>-7.1434661948229894E-2</v>
      </c>
      <c r="AM19" s="60" t="e">
        <f t="shared" si="16"/>
        <v>#DIV/0!</v>
      </c>
      <c r="AN19" s="60" t="e">
        <f t="shared" si="16"/>
        <v>#DIV/0!</v>
      </c>
      <c r="AO19" s="60" t="e">
        <f t="shared" si="16"/>
        <v>#DIV/0!</v>
      </c>
      <c r="AP19" s="60" t="e">
        <f t="shared" si="16"/>
        <v>#DIV/0!</v>
      </c>
      <c r="AQ19" s="61">
        <f t="shared" si="16"/>
        <v>2.8037383177569986E-2</v>
      </c>
      <c r="AR19" s="60" t="e">
        <f t="shared" si="16"/>
        <v>#DIV/0!</v>
      </c>
      <c r="AS19" s="60" t="e">
        <f t="shared" si="16"/>
        <v>#DIV/0!</v>
      </c>
      <c r="AT19" s="60" t="e">
        <f t="shared" si="16"/>
        <v>#DIV/0!</v>
      </c>
      <c r="AU19" s="60" t="e">
        <f t="shared" si="16"/>
        <v>#DIV/0!</v>
      </c>
      <c r="AV19" s="61">
        <f t="shared" si="16"/>
        <v>3.7735849056603765E-2</v>
      </c>
      <c r="AW19" s="60" t="e">
        <f t="shared" si="16"/>
        <v>#DIV/0!</v>
      </c>
      <c r="AX19" s="60" t="e">
        <f t="shared" si="16"/>
        <v>#DIV/0!</v>
      </c>
      <c r="AY19" s="60" t="e">
        <f t="shared" si="16"/>
        <v>#DIV/0!</v>
      </c>
      <c r="AZ19" s="60" t="e">
        <f t="shared" si="16"/>
        <v>#DIV/0!</v>
      </c>
      <c r="BA19" s="61">
        <f t="shared" si="16"/>
        <v>4.7619047619047672E-2</v>
      </c>
      <c r="BB19" s="186"/>
      <c r="BC19" s="198">
        <v>0</v>
      </c>
      <c r="BD19" s="56"/>
    </row>
    <row r="20" spans="1:87" s="62" customFormat="1" ht="15" hidden="1" customHeight="1" outlineLevel="1" x14ac:dyDescent="0.25">
      <c r="A20" s="34"/>
      <c r="B20" s="50" t="s">
        <v>26</v>
      </c>
      <c r="C20" s="51"/>
      <c r="D20" s="51"/>
      <c r="E20" s="51"/>
      <c r="F20" s="51"/>
      <c r="G20" s="51"/>
      <c r="H20" s="51"/>
      <c r="I20" s="52"/>
      <c r="J20" s="52"/>
      <c r="K20" s="52"/>
      <c r="L20" s="52"/>
      <c r="M20" s="51">
        <v>0.6</v>
      </c>
      <c r="N20" s="52"/>
      <c r="O20" s="52"/>
      <c r="P20" s="52"/>
      <c r="Q20" s="52"/>
      <c r="R20" s="51">
        <v>0.63</v>
      </c>
      <c r="S20" s="52"/>
      <c r="T20" s="52"/>
      <c r="U20" s="52"/>
      <c r="V20" s="52"/>
      <c r="W20" s="51">
        <v>0.63</v>
      </c>
      <c r="X20" s="52"/>
      <c r="Y20" s="52"/>
      <c r="Z20" s="52"/>
      <c r="AA20" s="52"/>
      <c r="AB20" s="51">
        <v>0.65</v>
      </c>
      <c r="AC20" s="53"/>
      <c r="AD20" s="53"/>
      <c r="AE20" s="53"/>
      <c r="AF20" s="53"/>
      <c r="AG20" s="54">
        <v>0.66</v>
      </c>
      <c r="AH20" s="53"/>
      <c r="AI20" s="53"/>
      <c r="AJ20" s="53"/>
      <c r="AK20" s="23"/>
      <c r="AL20" s="24">
        <f>AL33/(AL$10/1000)</f>
        <v>0.58815701929474384</v>
      </c>
      <c r="AM20" s="23"/>
      <c r="AN20" s="23"/>
      <c r="AO20" s="23"/>
      <c r="AP20" s="23"/>
      <c r="AQ20" s="24">
        <f>AQ33/(AQ$10/1000)</f>
        <v>0.5551762518576554</v>
      </c>
      <c r="AR20" s="23"/>
      <c r="AS20" s="23"/>
      <c r="AT20" s="23"/>
      <c r="AU20" s="23"/>
      <c r="AV20" s="24">
        <f>AV33/(AV$10/1000)</f>
        <v>0.52898869280776595</v>
      </c>
      <c r="AW20" s="23"/>
      <c r="AX20" s="23"/>
      <c r="AY20" s="23"/>
      <c r="AZ20" s="23"/>
      <c r="BA20" s="24">
        <f>BA33/(BA$10/1000)</f>
        <v>0.50883674260556533</v>
      </c>
      <c r="BB20" s="182"/>
      <c r="BC20" s="198">
        <v>0</v>
      </c>
      <c r="BD20" s="34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</row>
    <row r="21" spans="1:87" s="62" customFormat="1" ht="15" hidden="1" customHeight="1" outlineLevel="1" x14ac:dyDescent="0.25">
      <c r="A21" s="56"/>
      <c r="B21" s="57" t="s">
        <v>21</v>
      </c>
      <c r="C21" s="58"/>
      <c r="D21" s="39"/>
      <c r="E21" s="39"/>
      <c r="F21" s="39"/>
      <c r="G21" s="39"/>
      <c r="H21" s="58"/>
      <c r="I21" s="59"/>
      <c r="J21" s="59"/>
      <c r="K21" s="59"/>
      <c r="L21" s="59"/>
      <c r="M21" s="58" t="e">
        <f>M20/H20-1</f>
        <v>#DIV/0!</v>
      </c>
      <c r="N21" s="59" t="e">
        <f t="shared" ref="N21:BA21" si="17">N20/I20-1</f>
        <v>#DIV/0!</v>
      </c>
      <c r="O21" s="59" t="e">
        <f t="shared" si="17"/>
        <v>#DIV/0!</v>
      </c>
      <c r="P21" s="59" t="e">
        <f t="shared" si="17"/>
        <v>#DIV/0!</v>
      </c>
      <c r="Q21" s="59" t="e">
        <f t="shared" si="17"/>
        <v>#DIV/0!</v>
      </c>
      <c r="R21" s="58">
        <f t="shared" si="17"/>
        <v>5.0000000000000044E-2</v>
      </c>
      <c r="S21" s="59" t="e">
        <f t="shared" si="17"/>
        <v>#DIV/0!</v>
      </c>
      <c r="T21" s="59" t="e">
        <f t="shared" si="17"/>
        <v>#DIV/0!</v>
      </c>
      <c r="U21" s="59" t="e">
        <f t="shared" si="17"/>
        <v>#DIV/0!</v>
      </c>
      <c r="V21" s="59" t="e">
        <f t="shared" si="17"/>
        <v>#DIV/0!</v>
      </c>
      <c r="W21" s="58">
        <f t="shared" si="17"/>
        <v>0</v>
      </c>
      <c r="X21" s="59" t="e">
        <f t="shared" si="17"/>
        <v>#DIV/0!</v>
      </c>
      <c r="Y21" s="59" t="e">
        <f t="shared" si="17"/>
        <v>#DIV/0!</v>
      </c>
      <c r="Z21" s="59" t="e">
        <f t="shared" si="17"/>
        <v>#DIV/0!</v>
      </c>
      <c r="AA21" s="59" t="e">
        <f t="shared" si="17"/>
        <v>#DIV/0!</v>
      </c>
      <c r="AB21" s="58">
        <f t="shared" si="17"/>
        <v>3.1746031746031855E-2</v>
      </c>
      <c r="AC21" s="60" t="e">
        <f t="shared" si="17"/>
        <v>#DIV/0!</v>
      </c>
      <c r="AD21" s="60" t="e">
        <f t="shared" si="17"/>
        <v>#DIV/0!</v>
      </c>
      <c r="AE21" s="60" t="e">
        <f t="shared" si="17"/>
        <v>#DIV/0!</v>
      </c>
      <c r="AF21" s="60" t="e">
        <f t="shared" si="17"/>
        <v>#DIV/0!</v>
      </c>
      <c r="AG21" s="61">
        <f t="shared" si="17"/>
        <v>1.538461538461533E-2</v>
      </c>
      <c r="AH21" s="60" t="e">
        <f t="shared" si="17"/>
        <v>#DIV/0!</v>
      </c>
      <c r="AI21" s="60" t="e">
        <f t="shared" si="17"/>
        <v>#DIV/0!</v>
      </c>
      <c r="AJ21" s="60" t="e">
        <f t="shared" si="17"/>
        <v>#DIV/0!</v>
      </c>
      <c r="AK21" s="60" t="e">
        <f t="shared" si="17"/>
        <v>#DIV/0!</v>
      </c>
      <c r="AL21" s="61">
        <f t="shared" si="17"/>
        <v>-0.10885300106856999</v>
      </c>
      <c r="AM21" s="60" t="e">
        <f t="shared" si="17"/>
        <v>#DIV/0!</v>
      </c>
      <c r="AN21" s="60" t="e">
        <f t="shared" si="17"/>
        <v>#DIV/0!</v>
      </c>
      <c r="AO21" s="60" t="e">
        <f t="shared" si="17"/>
        <v>#DIV/0!</v>
      </c>
      <c r="AP21" s="60" t="e">
        <f t="shared" si="17"/>
        <v>#DIV/0!</v>
      </c>
      <c r="AQ21" s="61">
        <f t="shared" si="17"/>
        <v>-5.6074766355140193E-2</v>
      </c>
      <c r="AR21" s="60" t="e">
        <f t="shared" si="17"/>
        <v>#DIV/0!</v>
      </c>
      <c r="AS21" s="60" t="e">
        <f t="shared" si="17"/>
        <v>#DIV/0!</v>
      </c>
      <c r="AT21" s="60" t="e">
        <f t="shared" si="17"/>
        <v>#DIV/0!</v>
      </c>
      <c r="AU21" s="60" t="e">
        <f t="shared" si="17"/>
        <v>#DIV/0!</v>
      </c>
      <c r="AV21" s="61">
        <f t="shared" si="17"/>
        <v>-4.7169811320754818E-2</v>
      </c>
      <c r="AW21" s="60" t="e">
        <f t="shared" si="17"/>
        <v>#DIV/0!</v>
      </c>
      <c r="AX21" s="60" t="e">
        <f t="shared" si="17"/>
        <v>#DIV/0!</v>
      </c>
      <c r="AY21" s="60" t="e">
        <f t="shared" si="17"/>
        <v>#DIV/0!</v>
      </c>
      <c r="AZ21" s="60" t="e">
        <f t="shared" si="17"/>
        <v>#DIV/0!</v>
      </c>
      <c r="BA21" s="61">
        <f t="shared" si="17"/>
        <v>-3.8095238095238071E-2</v>
      </c>
      <c r="BB21" s="186"/>
      <c r="BC21" s="198">
        <v>0</v>
      </c>
      <c r="BD21" s="56"/>
    </row>
    <row r="22" spans="1:87" s="62" customFormat="1" ht="15" hidden="1" customHeight="1" outlineLevel="1" x14ac:dyDescent="0.25">
      <c r="A22" s="56"/>
      <c r="B22" s="35" t="s">
        <v>28</v>
      </c>
      <c r="C22" s="63">
        <f>C20+C18+C16+C14</f>
        <v>31.299999999999997</v>
      </c>
      <c r="D22" s="63">
        <f t="shared" ref="D22:BA22" si="18">D20+D18+D16+D14</f>
        <v>32.870000000000005</v>
      </c>
      <c r="E22" s="63">
        <f t="shared" si="18"/>
        <v>37.25</v>
      </c>
      <c r="F22" s="63">
        <f t="shared" si="18"/>
        <v>38.300000000000004</v>
      </c>
      <c r="G22" s="63">
        <f t="shared" si="18"/>
        <v>35.739999999999995</v>
      </c>
      <c r="H22" s="63">
        <f t="shared" si="18"/>
        <v>37.78</v>
      </c>
      <c r="I22" s="44">
        <f t="shared" si="18"/>
        <v>0</v>
      </c>
      <c r="J22" s="44">
        <f t="shared" si="18"/>
        <v>0</v>
      </c>
      <c r="K22" s="44">
        <f t="shared" si="18"/>
        <v>0</v>
      </c>
      <c r="L22" s="44">
        <f t="shared" si="18"/>
        <v>0</v>
      </c>
      <c r="M22" s="63">
        <f t="shared" si="18"/>
        <v>40.17</v>
      </c>
      <c r="N22" s="44">
        <f t="shared" si="18"/>
        <v>0</v>
      </c>
      <c r="O22" s="44">
        <f t="shared" si="18"/>
        <v>0</v>
      </c>
      <c r="P22" s="44">
        <f t="shared" si="18"/>
        <v>0</v>
      </c>
      <c r="Q22" s="44">
        <f t="shared" si="18"/>
        <v>0</v>
      </c>
      <c r="R22" s="63">
        <f t="shared" si="18"/>
        <v>41.7</v>
      </c>
      <c r="S22" s="44">
        <f t="shared" si="18"/>
        <v>0</v>
      </c>
      <c r="T22" s="44">
        <f t="shared" si="18"/>
        <v>0</v>
      </c>
      <c r="U22" s="44">
        <f t="shared" si="18"/>
        <v>0</v>
      </c>
      <c r="V22" s="44">
        <f t="shared" si="18"/>
        <v>0</v>
      </c>
      <c r="W22" s="63">
        <f t="shared" si="18"/>
        <v>41.59</v>
      </c>
      <c r="X22" s="45">
        <f t="shared" si="18"/>
        <v>0</v>
      </c>
      <c r="Y22" s="46">
        <f t="shared" si="18"/>
        <v>0</v>
      </c>
      <c r="Z22" s="46">
        <f t="shared" si="18"/>
        <v>0</v>
      </c>
      <c r="AA22" s="46">
        <f t="shared" si="18"/>
        <v>0</v>
      </c>
      <c r="AB22" s="64">
        <f t="shared" si="18"/>
        <v>42.44</v>
      </c>
      <c r="AC22" s="44">
        <f t="shared" si="18"/>
        <v>0</v>
      </c>
      <c r="AD22" s="44">
        <f t="shared" si="18"/>
        <v>0</v>
      </c>
      <c r="AE22" s="44">
        <f t="shared" si="18"/>
        <v>0</v>
      </c>
      <c r="AF22" s="44">
        <f t="shared" si="18"/>
        <v>0</v>
      </c>
      <c r="AG22" s="63">
        <f t="shared" si="18"/>
        <v>45.86</v>
      </c>
      <c r="AH22" s="44">
        <f t="shared" si="18"/>
        <v>0</v>
      </c>
      <c r="AI22" s="44">
        <f t="shared" si="18"/>
        <v>0</v>
      </c>
      <c r="AJ22" s="44">
        <f t="shared" si="18"/>
        <v>0</v>
      </c>
      <c r="AK22" s="44">
        <f t="shared" si="18"/>
        <v>0</v>
      </c>
      <c r="AL22" s="63">
        <v>44.26</v>
      </c>
      <c r="AM22" s="44">
        <f t="shared" si="18"/>
        <v>0</v>
      </c>
      <c r="AN22" s="44">
        <f t="shared" si="18"/>
        <v>0</v>
      </c>
      <c r="AO22" s="44">
        <f t="shared" si="18"/>
        <v>0</v>
      </c>
      <c r="AP22" s="44">
        <f t="shared" si="18"/>
        <v>0</v>
      </c>
      <c r="AQ22" s="63">
        <f t="shared" si="18"/>
        <v>43.89646023578355</v>
      </c>
      <c r="AR22" s="44">
        <f t="shared" si="18"/>
        <v>0</v>
      </c>
      <c r="AS22" s="44">
        <f t="shared" si="18"/>
        <v>0</v>
      </c>
      <c r="AT22" s="44">
        <f t="shared" si="18"/>
        <v>0</v>
      </c>
      <c r="AU22" s="44">
        <f t="shared" si="18"/>
        <v>0</v>
      </c>
      <c r="AV22" s="63">
        <f t="shared" si="18"/>
        <v>43.173008322297463</v>
      </c>
      <c r="AW22" s="44">
        <f t="shared" si="18"/>
        <v>0</v>
      </c>
      <c r="AX22" s="44">
        <f t="shared" si="18"/>
        <v>0</v>
      </c>
      <c r="AY22" s="44">
        <f t="shared" si="18"/>
        <v>0</v>
      </c>
      <c r="AZ22" s="44">
        <f t="shared" si="18"/>
        <v>0</v>
      </c>
      <c r="BA22" s="63">
        <f t="shared" si="18"/>
        <v>42.102767294180204</v>
      </c>
      <c r="BB22" s="186"/>
      <c r="BC22" s="198">
        <v>0</v>
      </c>
      <c r="BD22" s="56"/>
    </row>
    <row r="23" spans="1:87" s="62" customFormat="1" ht="15" hidden="1" customHeight="1" outlineLevel="1" x14ac:dyDescent="0.25">
      <c r="A23" s="25"/>
      <c r="B23" s="65" t="s">
        <v>21</v>
      </c>
      <c r="C23" s="66"/>
      <c r="D23" s="66">
        <f t="shared" ref="D23" si="19">D22/C22-1</f>
        <v>5.0159744408945883E-2</v>
      </c>
      <c r="E23" s="66">
        <f t="shared" ref="E23" si="20">E22/D22-1</f>
        <v>0.13325220565865514</v>
      </c>
      <c r="F23" s="66">
        <f t="shared" ref="F23" si="21">F22/E22-1</f>
        <v>2.8187919463087407E-2</v>
      </c>
      <c r="G23" s="66">
        <f t="shared" ref="G23" si="22">G22/F22-1</f>
        <v>-6.6840731070496373E-2</v>
      </c>
      <c r="H23" s="66">
        <f>H22/G22-1</f>
        <v>5.7078903189703656E-2</v>
      </c>
      <c r="I23" s="67"/>
      <c r="J23" s="67"/>
      <c r="K23" s="67"/>
      <c r="L23" s="67"/>
      <c r="M23" s="66">
        <f>M22/H22-1</f>
        <v>6.3260984647961926E-2</v>
      </c>
      <c r="N23" s="67" t="e">
        <f t="shared" ref="N23:AK23" si="23">N22/I22-1</f>
        <v>#DIV/0!</v>
      </c>
      <c r="O23" s="67" t="e">
        <f t="shared" si="23"/>
        <v>#DIV/0!</v>
      </c>
      <c r="P23" s="67" t="e">
        <f t="shared" si="23"/>
        <v>#DIV/0!</v>
      </c>
      <c r="Q23" s="67" t="e">
        <f t="shared" si="23"/>
        <v>#DIV/0!</v>
      </c>
      <c r="R23" s="68">
        <f t="shared" si="23"/>
        <v>3.8088125466766209E-2</v>
      </c>
      <c r="S23" s="67" t="e">
        <f t="shared" si="23"/>
        <v>#DIV/0!</v>
      </c>
      <c r="T23" s="67" t="e">
        <f t="shared" si="23"/>
        <v>#DIV/0!</v>
      </c>
      <c r="U23" s="67" t="e">
        <f t="shared" si="23"/>
        <v>#DIV/0!</v>
      </c>
      <c r="V23" s="67" t="e">
        <f t="shared" si="23"/>
        <v>#DIV/0!</v>
      </c>
      <c r="W23" s="68">
        <f t="shared" si="23"/>
        <v>-2.6378896882494063E-3</v>
      </c>
      <c r="X23" s="67" t="e">
        <f t="shared" si="23"/>
        <v>#DIV/0!</v>
      </c>
      <c r="Y23" s="67" t="e">
        <f t="shared" si="23"/>
        <v>#DIV/0!</v>
      </c>
      <c r="Z23" s="67" t="e">
        <f t="shared" si="23"/>
        <v>#DIV/0!</v>
      </c>
      <c r="AA23" s="67" t="e">
        <f t="shared" si="23"/>
        <v>#DIV/0!</v>
      </c>
      <c r="AB23" s="68">
        <f t="shared" si="23"/>
        <v>2.0437605193555974E-2</v>
      </c>
      <c r="AC23" s="69" t="e">
        <f t="shared" si="23"/>
        <v>#DIV/0!</v>
      </c>
      <c r="AD23" s="69" t="e">
        <f t="shared" si="23"/>
        <v>#DIV/0!</v>
      </c>
      <c r="AE23" s="69" t="e">
        <f t="shared" si="23"/>
        <v>#DIV/0!</v>
      </c>
      <c r="AF23" s="69" t="e">
        <f t="shared" si="23"/>
        <v>#DIV/0!</v>
      </c>
      <c r="AG23" s="70">
        <f t="shared" si="23"/>
        <v>8.0584354382657875E-2</v>
      </c>
      <c r="AH23" s="41" t="e">
        <f t="shared" si="23"/>
        <v>#DIV/0!</v>
      </c>
      <c r="AI23" s="41" t="e">
        <f t="shared" si="23"/>
        <v>#DIV/0!</v>
      </c>
      <c r="AJ23" s="41" t="e">
        <f t="shared" si="23"/>
        <v>#DIV/0!</v>
      </c>
      <c r="AK23" s="286" t="e">
        <f t="shared" si="23"/>
        <v>#DIV/0!</v>
      </c>
      <c r="AL23" s="61">
        <f t="shared" ref="AL23" si="24">AL22/AG22-1</f>
        <v>-3.4888791975577926E-2</v>
      </c>
      <c r="AM23" s="60" t="e">
        <f t="shared" ref="AM23" si="25">AM22/AH22-1</f>
        <v>#DIV/0!</v>
      </c>
      <c r="AN23" s="60" t="e">
        <f t="shared" ref="AN23" si="26">AN22/AI22-1</f>
        <v>#DIV/0!</v>
      </c>
      <c r="AO23" s="60" t="e">
        <f t="shared" ref="AO23" si="27">AO22/AJ22-1</f>
        <v>#DIV/0!</v>
      </c>
      <c r="AP23" s="60" t="e">
        <f t="shared" ref="AP23" si="28">AP22/AK22-1</f>
        <v>#DIV/0!</v>
      </c>
      <c r="AQ23" s="61">
        <f t="shared" ref="AQ23" si="29">AQ22/AL22-1</f>
        <v>-8.2137316813476469E-3</v>
      </c>
      <c r="AR23" s="60" t="e">
        <f t="shared" ref="AR23" si="30">AR22/AM22-1</f>
        <v>#DIV/0!</v>
      </c>
      <c r="AS23" s="60" t="e">
        <f t="shared" ref="AS23" si="31">AS22/AN22-1</f>
        <v>#DIV/0!</v>
      </c>
      <c r="AT23" s="60" t="e">
        <f t="shared" ref="AT23" si="32">AT22/AO22-1</f>
        <v>#DIV/0!</v>
      </c>
      <c r="AU23" s="60" t="e">
        <f t="shared" ref="AU23" si="33">AU22/AP22-1</f>
        <v>#DIV/0!</v>
      </c>
      <c r="AV23" s="61">
        <f t="shared" ref="AV23" si="34">AV22/AQ22-1</f>
        <v>-1.6480871341337577E-2</v>
      </c>
      <c r="AW23" s="60" t="e">
        <f t="shared" ref="AW23" si="35">AW22/AR22-1</f>
        <v>#DIV/0!</v>
      </c>
      <c r="AX23" s="60" t="e">
        <f t="shared" ref="AX23" si="36">AX22/AS22-1</f>
        <v>#DIV/0!</v>
      </c>
      <c r="AY23" s="60" t="e">
        <f t="shared" ref="AY23" si="37">AY22/AT22-1</f>
        <v>#DIV/0!</v>
      </c>
      <c r="AZ23" s="60" t="e">
        <f t="shared" ref="AZ23" si="38">AZ22/AU22-1</f>
        <v>#DIV/0!</v>
      </c>
      <c r="BA23" s="61">
        <f t="shared" ref="BA23" si="39">BA22/AV22-1</f>
        <v>-2.4789586589093804E-2</v>
      </c>
      <c r="BB23" s="186"/>
      <c r="BC23" s="198">
        <v>0</v>
      </c>
      <c r="BD23" s="56"/>
    </row>
    <row r="24" spans="1:87" s="62" customFormat="1" ht="15" customHeight="1" collapsed="1" x14ac:dyDescent="0.25">
      <c r="A24" s="25"/>
      <c r="B24" s="71"/>
      <c r="C24" s="72"/>
      <c r="D24" s="73"/>
      <c r="E24" s="73"/>
      <c r="F24" s="73"/>
      <c r="G24" s="73"/>
      <c r="H24" s="73"/>
      <c r="I24" s="72"/>
      <c r="J24" s="72"/>
      <c r="K24" s="72"/>
      <c r="L24" s="72"/>
      <c r="M24" s="73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4"/>
      <c r="Y24" s="75"/>
      <c r="Z24" s="75"/>
      <c r="AA24" s="75"/>
      <c r="AB24" s="75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186"/>
      <c r="BC24" s="198">
        <v>0</v>
      </c>
      <c r="BD24" s="56"/>
    </row>
    <row r="25" spans="1:87" s="62" customFormat="1" ht="15" customHeight="1" x14ac:dyDescent="0.25">
      <c r="A25" s="25"/>
      <c r="B25" s="362" t="s">
        <v>29</v>
      </c>
      <c r="C25" s="363"/>
      <c r="D25" s="363"/>
      <c r="E25" s="363"/>
      <c r="F25" s="363"/>
      <c r="G25" s="363"/>
      <c r="H25" s="363"/>
      <c r="I25" s="363"/>
      <c r="J25" s="363"/>
      <c r="K25" s="363"/>
      <c r="L25" s="363"/>
      <c r="M25" s="363"/>
      <c r="N25" s="363"/>
      <c r="O25" s="363"/>
      <c r="P25" s="363"/>
      <c r="Q25" s="363"/>
      <c r="R25" s="363"/>
      <c r="S25" s="363"/>
      <c r="T25" s="363"/>
      <c r="U25" s="363"/>
      <c r="V25" s="363"/>
      <c r="W25" s="363"/>
      <c r="X25" s="363"/>
      <c r="Y25" s="363"/>
      <c r="Z25" s="363"/>
      <c r="AA25" s="363"/>
      <c r="AB25" s="363"/>
      <c r="AC25" s="363"/>
      <c r="AD25" s="363"/>
      <c r="AE25" s="363"/>
      <c r="AF25" s="363"/>
      <c r="AG25" s="363"/>
      <c r="AH25" s="363"/>
      <c r="AI25" s="363"/>
      <c r="AJ25" s="363"/>
      <c r="AK25" s="363"/>
      <c r="AL25" s="363"/>
      <c r="AM25" s="363"/>
      <c r="AN25" s="363"/>
      <c r="AO25" s="363"/>
      <c r="AP25" s="363"/>
      <c r="AQ25" s="363"/>
      <c r="AR25" s="363"/>
      <c r="AS25" s="363"/>
      <c r="AT25" s="363"/>
      <c r="AU25" s="363"/>
      <c r="AV25" s="363"/>
      <c r="AW25" s="363"/>
      <c r="AX25" s="363"/>
      <c r="AY25" s="363"/>
      <c r="AZ25" s="363"/>
      <c r="BA25" s="364"/>
      <c r="BB25" s="186"/>
      <c r="BC25" s="198">
        <v>0</v>
      </c>
      <c r="BD25" s="56"/>
    </row>
    <row r="26" spans="1:87" s="62" customFormat="1" ht="15" customHeight="1" x14ac:dyDescent="0.25">
      <c r="A26" s="25"/>
      <c r="B26" s="372"/>
      <c r="C26" s="365"/>
      <c r="D26" s="365"/>
      <c r="E26" s="365"/>
      <c r="F26" s="365"/>
      <c r="G26" s="365"/>
      <c r="H26" s="365"/>
      <c r="I26" s="365"/>
      <c r="J26" s="365"/>
      <c r="K26" s="365"/>
      <c r="L26" s="365"/>
      <c r="M26" s="365"/>
      <c r="N26" s="365"/>
      <c r="O26" s="365"/>
      <c r="P26" s="365"/>
      <c r="Q26" s="365"/>
      <c r="R26" s="365"/>
      <c r="S26" s="365"/>
      <c r="T26" s="365"/>
      <c r="U26" s="365"/>
      <c r="V26" s="365"/>
      <c r="W26" s="365"/>
      <c r="X26" s="365"/>
      <c r="Y26" s="365"/>
      <c r="Z26" s="365"/>
      <c r="AA26" s="365"/>
      <c r="AB26" s="365"/>
      <c r="AC26" s="365"/>
      <c r="AD26" s="365"/>
      <c r="AE26" s="365"/>
      <c r="AF26" s="365"/>
      <c r="AG26" s="365"/>
      <c r="AH26" s="365"/>
      <c r="AI26" s="365"/>
      <c r="AJ26" s="365"/>
      <c r="AK26" s="365"/>
      <c r="AL26" s="365"/>
      <c r="AM26" s="365"/>
      <c r="AN26" s="365"/>
      <c r="AO26" s="365"/>
      <c r="AP26" s="365"/>
      <c r="AQ26" s="365"/>
      <c r="AR26" s="365"/>
      <c r="AS26" s="365"/>
      <c r="AT26" s="365"/>
      <c r="AU26" s="365"/>
      <c r="AV26" s="365"/>
      <c r="AW26" s="365"/>
      <c r="AX26" s="365"/>
      <c r="AY26" s="365"/>
      <c r="AZ26" s="365"/>
      <c r="BA26" s="365"/>
      <c r="BB26" s="186"/>
      <c r="BC26" s="247"/>
      <c r="BD26" s="56"/>
    </row>
    <row r="27" spans="1:87" s="62" customFormat="1" ht="15" customHeight="1" x14ac:dyDescent="0.25">
      <c r="A27" s="28"/>
      <c r="B27" s="26" t="s">
        <v>23</v>
      </c>
      <c r="C27" s="365">
        <v>474</v>
      </c>
      <c r="D27" s="365">
        <v>524</v>
      </c>
      <c r="E27" s="365">
        <v>513</v>
      </c>
      <c r="F27" s="365">
        <v>515</v>
      </c>
      <c r="G27" s="365">
        <v>427</v>
      </c>
      <c r="H27" s="83">
        <v>483</v>
      </c>
      <c r="I27" s="83"/>
      <c r="J27" s="83"/>
      <c r="K27" s="83"/>
      <c r="L27" s="83"/>
      <c r="M27" s="83">
        <v>511</v>
      </c>
      <c r="N27" s="83"/>
      <c r="O27" s="83"/>
      <c r="P27" s="83"/>
      <c r="Q27" s="83"/>
      <c r="R27" s="83">
        <v>542</v>
      </c>
      <c r="S27" s="83"/>
      <c r="T27" s="83"/>
      <c r="U27" s="83"/>
      <c r="V27" s="83"/>
      <c r="W27" s="83">
        <v>577</v>
      </c>
      <c r="X27" s="83">
        <v>42</v>
      </c>
      <c r="Y27" s="83">
        <v>200</v>
      </c>
      <c r="Z27" s="83">
        <v>282</v>
      </c>
      <c r="AA27" s="83">
        <v>79</v>
      </c>
      <c r="AB27" s="83">
        <v>602</v>
      </c>
      <c r="AC27" s="92">
        <v>35</v>
      </c>
      <c r="AD27" s="92">
        <v>205</v>
      </c>
      <c r="AE27" s="92">
        <v>306</v>
      </c>
      <c r="AF27" s="92">
        <v>96</v>
      </c>
      <c r="AG27" s="92">
        <v>641.53499999999997</v>
      </c>
      <c r="AH27" s="92">
        <v>41</v>
      </c>
      <c r="AI27" s="92">
        <v>207</v>
      </c>
      <c r="AJ27" s="92">
        <v>326</v>
      </c>
      <c r="AK27" s="287">
        <v>115</v>
      </c>
      <c r="AL27" s="244">
        <v>687.81899999999996</v>
      </c>
      <c r="AM27" s="208"/>
      <c r="AN27" s="208"/>
      <c r="AO27" s="208"/>
      <c r="AP27" s="208"/>
      <c r="AQ27" s="244">
        <f>AL27*(1+AQ28)</f>
        <v>729.08813999999995</v>
      </c>
      <c r="AR27" s="208"/>
      <c r="AS27" s="208"/>
      <c r="AT27" s="208"/>
      <c r="AU27" s="208"/>
      <c r="AV27" s="244">
        <f>AQ27*(1+AV28)</f>
        <v>758.25166560000002</v>
      </c>
      <c r="AW27" s="208"/>
      <c r="AX27" s="208"/>
      <c r="AY27" s="208"/>
      <c r="AZ27" s="208"/>
      <c r="BA27" s="244">
        <f>AV27*(1+BA28)</f>
        <v>773.41669891200002</v>
      </c>
      <c r="BB27" s="187"/>
      <c r="BC27" s="198">
        <v>0</v>
      </c>
      <c r="BD27" s="200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</row>
    <row r="28" spans="1:87" s="62" customFormat="1" ht="15" customHeight="1" x14ac:dyDescent="0.25">
      <c r="A28" s="25"/>
      <c r="B28" s="71" t="s">
        <v>21</v>
      </c>
      <c r="C28" s="73"/>
      <c r="D28" s="73">
        <f t="shared" ref="D28" si="40">D27/C27-1</f>
        <v>0.10548523206751059</v>
      </c>
      <c r="E28" s="73">
        <f t="shared" ref="E28" si="41">E27/D27-1</f>
        <v>-2.0992366412213692E-2</v>
      </c>
      <c r="F28" s="73">
        <f t="shared" ref="F28" si="42">F27/E27-1</f>
        <v>3.8986354775829568E-3</v>
      </c>
      <c r="G28" s="73">
        <f t="shared" ref="G28" si="43">G27/F27-1</f>
        <v>-0.17087378640776696</v>
      </c>
      <c r="H28" s="73">
        <f>H27/G27-1</f>
        <v>0.13114754098360648</v>
      </c>
      <c r="I28" s="73"/>
      <c r="J28" s="73"/>
      <c r="K28" s="73"/>
      <c r="L28" s="73"/>
      <c r="M28" s="73">
        <f>M27/H27-1</f>
        <v>5.7971014492753659E-2</v>
      </c>
      <c r="N28" s="73" t="e">
        <f t="shared" ref="N28" si="44">N27/I27-1</f>
        <v>#DIV/0!</v>
      </c>
      <c r="O28" s="73" t="e">
        <f t="shared" ref="O28" si="45">O27/J27-1</f>
        <v>#DIV/0!</v>
      </c>
      <c r="P28" s="73" t="e">
        <f t="shared" ref="P28" si="46">P27/K27-1</f>
        <v>#DIV/0!</v>
      </c>
      <c r="Q28" s="73" t="e">
        <f t="shared" ref="Q28" si="47">Q27/L27-1</f>
        <v>#DIV/0!</v>
      </c>
      <c r="R28" s="73">
        <f t="shared" ref="R28" si="48">R27/M27-1</f>
        <v>6.0665362035225101E-2</v>
      </c>
      <c r="S28" s="73" t="e">
        <f t="shared" ref="S28" si="49">S27/N27-1</f>
        <v>#DIV/0!</v>
      </c>
      <c r="T28" s="73" t="e">
        <f t="shared" ref="T28" si="50">T27/O27-1</f>
        <v>#DIV/0!</v>
      </c>
      <c r="U28" s="73" t="e">
        <f t="shared" ref="U28" si="51">U27/P27-1</f>
        <v>#DIV/0!</v>
      </c>
      <c r="V28" s="73" t="e">
        <f t="shared" ref="V28" si="52">V27/Q27-1</f>
        <v>#DIV/0!</v>
      </c>
      <c r="W28" s="73">
        <f t="shared" ref="W28" si="53">W27/R27-1</f>
        <v>6.4575645756457467E-2</v>
      </c>
      <c r="X28" s="73">
        <v>0.41</v>
      </c>
      <c r="Y28" s="73">
        <v>-0.02</v>
      </c>
      <c r="Z28" s="73">
        <v>0.04</v>
      </c>
      <c r="AA28" s="73">
        <v>8.1000000000000003E-2</v>
      </c>
      <c r="AB28" s="73">
        <f t="shared" ref="AB28" si="54">AB27/W27-1</f>
        <v>4.3327556325823302E-2</v>
      </c>
      <c r="AC28" s="85">
        <f t="shared" ref="AC28" si="55">AC27/X27-1</f>
        <v>-0.16666666666666663</v>
      </c>
      <c r="AD28" s="85">
        <f t="shared" ref="AD28" si="56">AD27/Y27-1</f>
        <v>2.4999999999999911E-2</v>
      </c>
      <c r="AE28" s="85">
        <f t="shared" ref="AE28" si="57">AE27/Z27-1</f>
        <v>8.5106382978723305E-2</v>
      </c>
      <c r="AF28" s="85">
        <f t="shared" ref="AF28" si="58">AF27/AA27-1</f>
        <v>0.21518987341772156</v>
      </c>
      <c r="AG28" s="221">
        <f t="shared" ref="AG28" si="59">AG27/AB27-1</f>
        <v>6.5672757475083055E-2</v>
      </c>
      <c r="AH28" s="85">
        <f t="shared" ref="AH28" si="60">AH27/AC27-1</f>
        <v>0.17142857142857149</v>
      </c>
      <c r="AI28" s="85">
        <f t="shared" ref="AI28" si="61">AI27/AD27-1</f>
        <v>9.7560975609756184E-3</v>
      </c>
      <c r="AJ28" s="85">
        <f t="shared" ref="AJ28" si="62">AJ27/AE27-1</f>
        <v>6.5359477124182996E-2</v>
      </c>
      <c r="AK28" s="85">
        <f t="shared" ref="AK28" si="63">AK27/AF27-1</f>
        <v>0.19791666666666674</v>
      </c>
      <c r="AL28" s="221">
        <f t="shared" ref="AL28" si="64">AL27/AG27-1</f>
        <v>7.214571301643713E-2</v>
      </c>
      <c r="AM28" s="85">
        <f t="shared" ref="AM28" si="65">AM27/AH27-1</f>
        <v>-1</v>
      </c>
      <c r="AN28" s="85">
        <f t="shared" ref="AN28" si="66">AN27/AI27-1</f>
        <v>-1</v>
      </c>
      <c r="AO28" s="85">
        <f t="shared" ref="AO28" si="67">AO27/AJ27-1</f>
        <v>-1</v>
      </c>
      <c r="AP28" s="85">
        <f t="shared" ref="AP28" si="68">AP27/AK27-1</f>
        <v>-1</v>
      </c>
      <c r="AQ28" s="366">
        <f>Drivers!J8</f>
        <v>0.06</v>
      </c>
      <c r="AR28" s="299" t="e">
        <f t="shared" ref="AR28" si="69">AR27/AM27-1</f>
        <v>#DIV/0!</v>
      </c>
      <c r="AS28" s="299" t="e">
        <f t="shared" ref="AS28" si="70">AS27/AN27-1</f>
        <v>#DIV/0!</v>
      </c>
      <c r="AT28" s="299" t="e">
        <f t="shared" ref="AT28" si="71">AT27/AO27-1</f>
        <v>#DIV/0!</v>
      </c>
      <c r="AU28" s="299" t="e">
        <f t="shared" ref="AU28" si="72">AU27/AP27-1</f>
        <v>#DIV/0!</v>
      </c>
      <c r="AV28" s="366">
        <f>Drivers!O8</f>
        <v>0.04</v>
      </c>
      <c r="AW28" s="299" t="e">
        <f t="shared" ref="AW28" si="73">AW27/AR27-1</f>
        <v>#DIV/0!</v>
      </c>
      <c r="AX28" s="299" t="e">
        <f t="shared" ref="AX28" si="74">AX27/AS27-1</f>
        <v>#DIV/0!</v>
      </c>
      <c r="AY28" s="299" t="e">
        <f t="shared" ref="AY28" si="75">AY27/AT27-1</f>
        <v>#DIV/0!</v>
      </c>
      <c r="AZ28" s="299" t="e">
        <f t="shared" ref="AZ28" si="76">AZ27/AU27-1</f>
        <v>#DIV/0!</v>
      </c>
      <c r="BA28" s="366">
        <f>Drivers!T8</f>
        <v>0.02</v>
      </c>
      <c r="BB28" s="186"/>
      <c r="BC28" s="198">
        <v>0</v>
      </c>
      <c r="BD28" s="56"/>
    </row>
    <row r="29" spans="1:87" s="62" customFormat="1" ht="15" customHeight="1" x14ac:dyDescent="0.25">
      <c r="A29" s="28"/>
      <c r="B29" s="26" t="s">
        <v>24</v>
      </c>
      <c r="C29" s="365">
        <v>366</v>
      </c>
      <c r="D29" s="365">
        <v>398</v>
      </c>
      <c r="E29" s="365">
        <v>387</v>
      </c>
      <c r="F29" s="365">
        <v>401</v>
      </c>
      <c r="G29" s="365">
        <v>421</v>
      </c>
      <c r="H29" s="83">
        <v>375</v>
      </c>
      <c r="I29" s="83"/>
      <c r="J29" s="83"/>
      <c r="K29" s="83"/>
      <c r="L29" s="83"/>
      <c r="M29" s="83">
        <v>401</v>
      </c>
      <c r="N29" s="83"/>
      <c r="O29" s="83"/>
      <c r="P29" s="83"/>
      <c r="Q29" s="83"/>
      <c r="R29" s="83">
        <v>414</v>
      </c>
      <c r="S29" s="83"/>
      <c r="T29" s="83"/>
      <c r="U29" s="83"/>
      <c r="V29" s="83"/>
      <c r="W29" s="83">
        <v>437</v>
      </c>
      <c r="X29" s="83">
        <v>33</v>
      </c>
      <c r="Y29" s="83">
        <v>150</v>
      </c>
      <c r="Z29" s="83">
        <v>204</v>
      </c>
      <c r="AA29" s="83">
        <v>62</v>
      </c>
      <c r="AB29" s="83">
        <v>449</v>
      </c>
      <c r="AC29" s="92">
        <v>26</v>
      </c>
      <c r="AD29" s="92">
        <v>152</v>
      </c>
      <c r="AE29" s="92">
        <v>212</v>
      </c>
      <c r="AF29" s="92">
        <v>71</v>
      </c>
      <c r="AG29" s="92">
        <v>460.13099999999997</v>
      </c>
      <c r="AH29" s="92">
        <v>28</v>
      </c>
      <c r="AI29" s="92">
        <v>161</v>
      </c>
      <c r="AJ29" s="92">
        <v>228</v>
      </c>
      <c r="AK29" s="287">
        <v>83</v>
      </c>
      <c r="AL29" s="244">
        <v>500.19</v>
      </c>
      <c r="AM29" s="208"/>
      <c r="AN29" s="208"/>
      <c r="AO29" s="208"/>
      <c r="AP29" s="208"/>
      <c r="AQ29" s="244">
        <f>AL29*(1+AQ30)</f>
        <v>530.20140000000004</v>
      </c>
      <c r="AR29" s="208"/>
      <c r="AS29" s="208"/>
      <c r="AT29" s="208"/>
      <c r="AU29" s="208"/>
      <c r="AV29" s="244">
        <f>AQ29*(1+AV30)</f>
        <v>551.40945600000009</v>
      </c>
      <c r="AW29" s="208"/>
      <c r="AX29" s="208"/>
      <c r="AY29" s="208"/>
      <c r="AZ29" s="208"/>
      <c r="BA29" s="244">
        <f>AV29*(1+BA30)</f>
        <v>562.43764512000007</v>
      </c>
      <c r="BB29" s="189"/>
      <c r="BC29" s="198">
        <v>0</v>
      </c>
      <c r="BD29" s="200"/>
      <c r="BE29" s="76"/>
      <c r="BF29" s="76"/>
      <c r="BG29" s="76"/>
      <c r="BH29" s="76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  <c r="BT29" s="76"/>
      <c r="BU29" s="76"/>
      <c r="BV29" s="76"/>
      <c r="BW29" s="76"/>
      <c r="BX29" s="76"/>
      <c r="BY29" s="76"/>
      <c r="BZ29" s="76"/>
      <c r="CA29" s="76"/>
      <c r="CB29" s="76"/>
      <c r="CC29" s="76"/>
      <c r="CD29" s="76"/>
      <c r="CE29" s="76"/>
      <c r="CF29" s="76"/>
      <c r="CG29" s="76"/>
      <c r="CH29" s="76"/>
      <c r="CI29" s="76"/>
    </row>
    <row r="30" spans="1:87" s="62" customFormat="1" ht="15" customHeight="1" x14ac:dyDescent="0.25">
      <c r="A30" s="25"/>
      <c r="B30" s="71" t="s">
        <v>21</v>
      </c>
      <c r="C30" s="73"/>
      <c r="D30" s="73">
        <f t="shared" ref="D30" si="77">D29/C29-1</f>
        <v>8.7431693989071135E-2</v>
      </c>
      <c r="E30" s="73">
        <f t="shared" ref="E30" si="78">E29/D29-1</f>
        <v>-2.7638190954773822E-2</v>
      </c>
      <c r="F30" s="73">
        <f t="shared" ref="F30" si="79">F29/E29-1</f>
        <v>3.6175710594315236E-2</v>
      </c>
      <c r="G30" s="73">
        <f t="shared" ref="G30" si="80">G29/F29-1</f>
        <v>4.9875311720698257E-2</v>
      </c>
      <c r="H30" s="73">
        <f>H29/G29-1</f>
        <v>-0.10926365795724469</v>
      </c>
      <c r="I30" s="73"/>
      <c r="J30" s="73"/>
      <c r="K30" s="73"/>
      <c r="L30" s="73"/>
      <c r="M30" s="73">
        <f>M29/H29-1</f>
        <v>6.9333333333333247E-2</v>
      </c>
      <c r="N30" s="73" t="e">
        <f t="shared" ref="N30" si="81">N29/I29-1</f>
        <v>#DIV/0!</v>
      </c>
      <c r="O30" s="73" t="e">
        <f t="shared" ref="O30" si="82">O29/J29-1</f>
        <v>#DIV/0!</v>
      </c>
      <c r="P30" s="73" t="e">
        <f t="shared" ref="P30" si="83">P29/K29-1</f>
        <v>#DIV/0!</v>
      </c>
      <c r="Q30" s="73" t="e">
        <f t="shared" ref="Q30" si="84">Q29/L29-1</f>
        <v>#DIV/0!</v>
      </c>
      <c r="R30" s="73">
        <f t="shared" ref="R30" si="85">R29/M29-1</f>
        <v>3.2418952618453956E-2</v>
      </c>
      <c r="S30" s="73" t="e">
        <f t="shared" ref="S30" si="86">S29/N29-1</f>
        <v>#DIV/0!</v>
      </c>
      <c r="T30" s="73" t="e">
        <f t="shared" ref="T30" si="87">T29/O29-1</f>
        <v>#DIV/0!</v>
      </c>
      <c r="U30" s="73" t="e">
        <f t="shared" ref="U30" si="88">U29/P29-1</f>
        <v>#DIV/0!</v>
      </c>
      <c r="V30" s="73" t="e">
        <f t="shared" ref="V30" si="89">V29/Q29-1</f>
        <v>#DIV/0!</v>
      </c>
      <c r="W30" s="73">
        <f t="shared" ref="W30" si="90">W29/R29-1</f>
        <v>5.555555555555558E-2</v>
      </c>
      <c r="X30" s="73">
        <v>0.33</v>
      </c>
      <c r="Y30" s="73">
        <v>-0.05</v>
      </c>
      <c r="Z30" s="73">
        <v>0.04</v>
      </c>
      <c r="AA30" s="73">
        <v>6.8000000000000005E-2</v>
      </c>
      <c r="AB30" s="73">
        <f t="shared" ref="AB30" si="91">AB29/W29-1</f>
        <v>2.7459954233409523E-2</v>
      </c>
      <c r="AC30" s="85">
        <f t="shared" ref="AC30" si="92">AC29/X29-1</f>
        <v>-0.21212121212121215</v>
      </c>
      <c r="AD30" s="85">
        <f t="shared" ref="AD30" si="93">AD29/Y29-1</f>
        <v>1.3333333333333419E-2</v>
      </c>
      <c r="AE30" s="85">
        <f t="shared" ref="AE30" si="94">AE29/Z29-1</f>
        <v>3.9215686274509887E-2</v>
      </c>
      <c r="AF30" s="85">
        <f t="shared" ref="AF30" si="95">AF29/AA29-1</f>
        <v>0.14516129032258074</v>
      </c>
      <c r="AG30" s="221">
        <f t="shared" ref="AG30" si="96">AG29/AB29-1</f>
        <v>2.4790645879732676E-2</v>
      </c>
      <c r="AH30" s="85">
        <f t="shared" ref="AH30" si="97">AH29/AC29-1</f>
        <v>7.6923076923076872E-2</v>
      </c>
      <c r="AI30" s="85">
        <f t="shared" ref="AI30" si="98">AI29/AD29-1</f>
        <v>5.921052631578938E-2</v>
      </c>
      <c r="AJ30" s="85">
        <f t="shared" ref="AJ30" si="99">AJ29/AE29-1</f>
        <v>7.547169811320753E-2</v>
      </c>
      <c r="AK30" s="85">
        <f t="shared" ref="AK30" si="100">AK29/AF29-1</f>
        <v>0.16901408450704225</v>
      </c>
      <c r="AL30" s="221">
        <f t="shared" ref="AL30" si="101">AL29/AG29-1</f>
        <v>8.7059989437790586E-2</v>
      </c>
      <c r="AM30" s="85">
        <f t="shared" ref="AM30" si="102">AM29/AH29-1</f>
        <v>-1</v>
      </c>
      <c r="AN30" s="85">
        <f t="shared" ref="AN30" si="103">AN29/AI29-1</f>
        <v>-1</v>
      </c>
      <c r="AO30" s="85">
        <f t="shared" ref="AO30" si="104">AO29/AJ29-1</f>
        <v>-1</v>
      </c>
      <c r="AP30" s="85">
        <f t="shared" ref="AP30" si="105">AP29/AK29-1</f>
        <v>-1</v>
      </c>
      <c r="AQ30" s="366">
        <f>Drivers!J13</f>
        <v>0.06</v>
      </c>
      <c r="AR30" s="299" t="e">
        <f t="shared" ref="AR30" si="106">AR29/AM29-1</f>
        <v>#DIV/0!</v>
      </c>
      <c r="AS30" s="299" t="e">
        <f t="shared" ref="AS30" si="107">AS29/AN29-1</f>
        <v>#DIV/0!</v>
      </c>
      <c r="AT30" s="299" t="e">
        <f t="shared" ref="AT30" si="108">AT29/AO29-1</f>
        <v>#DIV/0!</v>
      </c>
      <c r="AU30" s="299" t="e">
        <f t="shared" ref="AU30" si="109">AU29/AP29-1</f>
        <v>#DIV/0!</v>
      </c>
      <c r="AV30" s="366">
        <f>Drivers!O13</f>
        <v>0.04</v>
      </c>
      <c r="AW30" s="299" t="e">
        <f t="shared" ref="AW30" si="110">AW29/AR29-1</f>
        <v>#DIV/0!</v>
      </c>
      <c r="AX30" s="299" t="e">
        <f t="shared" ref="AX30" si="111">AX29/AS29-1</f>
        <v>#DIV/0!</v>
      </c>
      <c r="AY30" s="299" t="e">
        <f t="shared" ref="AY30" si="112">AY29/AT29-1</f>
        <v>#DIV/0!</v>
      </c>
      <c r="AZ30" s="299" t="e">
        <f t="shared" ref="AZ30" si="113">AZ29/AU29-1</f>
        <v>#DIV/0!</v>
      </c>
      <c r="BA30" s="366">
        <f>Drivers!T13</f>
        <v>0.02</v>
      </c>
      <c r="BB30" s="186"/>
      <c r="BC30" s="198">
        <v>0</v>
      </c>
      <c r="BD30" s="56"/>
    </row>
    <row r="31" spans="1:87" s="62" customFormat="1" ht="15" customHeight="1" x14ac:dyDescent="0.25">
      <c r="A31" s="28"/>
      <c r="B31" s="26" t="s">
        <v>25</v>
      </c>
      <c r="C31" s="365">
        <v>21</v>
      </c>
      <c r="D31" s="365">
        <v>20</v>
      </c>
      <c r="E31" s="365">
        <v>25</v>
      </c>
      <c r="F31" s="365">
        <v>38</v>
      </c>
      <c r="G31" s="365">
        <v>58</v>
      </c>
      <c r="H31" s="83">
        <v>42</v>
      </c>
      <c r="I31" s="83"/>
      <c r="J31" s="83"/>
      <c r="K31" s="83"/>
      <c r="L31" s="83"/>
      <c r="M31" s="83">
        <v>49</v>
      </c>
      <c r="N31" s="83"/>
      <c r="O31" s="83"/>
      <c r="P31" s="83"/>
      <c r="Q31" s="83"/>
      <c r="R31" s="83">
        <v>42</v>
      </c>
      <c r="S31" s="83"/>
      <c r="T31" s="83"/>
      <c r="U31" s="83"/>
      <c r="V31" s="83"/>
      <c r="W31" s="83">
        <v>40</v>
      </c>
      <c r="X31" s="83">
        <v>8</v>
      </c>
      <c r="Y31" s="83">
        <v>11</v>
      </c>
      <c r="Z31" s="83">
        <v>14</v>
      </c>
      <c r="AA31" s="83">
        <v>10</v>
      </c>
      <c r="AB31" s="83">
        <v>42</v>
      </c>
      <c r="AC31" s="92">
        <v>8</v>
      </c>
      <c r="AD31" s="92">
        <v>16</v>
      </c>
      <c r="AE31" s="92">
        <v>19</v>
      </c>
      <c r="AF31" s="92">
        <v>15</v>
      </c>
      <c r="AG31" s="92">
        <v>57.25</v>
      </c>
      <c r="AH31" s="288">
        <v>11</v>
      </c>
      <c r="AI31" s="288">
        <v>14</v>
      </c>
      <c r="AJ31" s="288">
        <v>16</v>
      </c>
      <c r="AK31" s="287">
        <v>18</v>
      </c>
      <c r="AL31" s="244">
        <v>59.133000000000003</v>
      </c>
      <c r="AM31" s="208"/>
      <c r="AN31" s="208"/>
      <c r="AO31" s="208"/>
      <c r="AP31" s="208"/>
      <c r="AQ31" s="244">
        <f>AL31*(1+AQ32)</f>
        <v>65.046300000000002</v>
      </c>
      <c r="AR31" s="208"/>
      <c r="AS31" s="208"/>
      <c r="AT31" s="208"/>
      <c r="AU31" s="208"/>
      <c r="AV31" s="244">
        <f>AQ31*(1+AV32)</f>
        <v>71.550930000000008</v>
      </c>
      <c r="AW31" s="208"/>
      <c r="AX31" s="208"/>
      <c r="AY31" s="208"/>
      <c r="AZ31" s="208"/>
      <c r="BA31" s="244">
        <f>AV31*(1+BA32)</f>
        <v>78.706023000000016</v>
      </c>
      <c r="BB31" s="187"/>
      <c r="BC31" s="198">
        <v>0</v>
      </c>
      <c r="BD31" s="200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</row>
    <row r="32" spans="1:87" s="62" customFormat="1" ht="15" customHeight="1" x14ac:dyDescent="0.25">
      <c r="A32" s="25"/>
      <c r="B32" s="71" t="s">
        <v>21</v>
      </c>
      <c r="C32" s="73"/>
      <c r="D32" s="73">
        <f t="shared" ref="D32" si="114">D31/C31-1</f>
        <v>-4.7619047619047672E-2</v>
      </c>
      <c r="E32" s="73">
        <f t="shared" ref="E32" si="115">E31/D31-1</f>
        <v>0.25</v>
      </c>
      <c r="F32" s="73">
        <f t="shared" ref="F32" si="116">F31/E31-1</f>
        <v>0.52</v>
      </c>
      <c r="G32" s="73">
        <f t="shared" ref="G32" si="117">G31/F31-1</f>
        <v>0.52631578947368429</v>
      </c>
      <c r="H32" s="73">
        <f>H31/G31-1</f>
        <v>-0.27586206896551724</v>
      </c>
      <c r="I32" s="73"/>
      <c r="J32" s="73"/>
      <c r="K32" s="73"/>
      <c r="L32" s="73"/>
      <c r="M32" s="73">
        <f>M31/H31-1</f>
        <v>0.16666666666666674</v>
      </c>
      <c r="N32" s="73" t="e">
        <f t="shared" ref="N32" si="118">N31/I31-1</f>
        <v>#DIV/0!</v>
      </c>
      <c r="O32" s="73" t="e">
        <f t="shared" ref="O32" si="119">O31/J31-1</f>
        <v>#DIV/0!</v>
      </c>
      <c r="P32" s="73" t="e">
        <f t="shared" ref="P32" si="120">P31/K31-1</f>
        <v>#DIV/0!</v>
      </c>
      <c r="Q32" s="73" t="e">
        <f t="shared" ref="Q32" si="121">Q31/L31-1</f>
        <v>#DIV/0!</v>
      </c>
      <c r="R32" s="73">
        <f t="shared" ref="R32" si="122">R31/M31-1</f>
        <v>-0.1428571428571429</v>
      </c>
      <c r="S32" s="73" t="e">
        <f t="shared" ref="S32" si="123">S31/N31-1</f>
        <v>#DIV/0!</v>
      </c>
      <c r="T32" s="73" t="e">
        <f t="shared" ref="T32" si="124">T31/O31-1</f>
        <v>#DIV/0!</v>
      </c>
      <c r="U32" s="73" t="e">
        <f t="shared" ref="U32" si="125">U31/P31-1</f>
        <v>#DIV/0!</v>
      </c>
      <c r="V32" s="73" t="e">
        <f t="shared" ref="V32" si="126">V31/Q31-1</f>
        <v>#DIV/0!</v>
      </c>
      <c r="W32" s="73">
        <f t="shared" ref="W32" si="127">W31/R31-1</f>
        <v>-4.7619047619047672E-2</v>
      </c>
      <c r="X32" s="73">
        <v>0.02</v>
      </c>
      <c r="Y32" s="73">
        <v>0.06</v>
      </c>
      <c r="Z32" s="73">
        <v>0.1</v>
      </c>
      <c r="AA32" s="73">
        <v>0.02</v>
      </c>
      <c r="AB32" s="73">
        <f t="shared" ref="AB32" si="128">AB31/W31-1</f>
        <v>5.0000000000000044E-2</v>
      </c>
      <c r="AC32" s="85">
        <f t="shared" ref="AC32" si="129">AC31/X31-1</f>
        <v>0</v>
      </c>
      <c r="AD32" s="85">
        <f t="shared" ref="AD32" si="130">AD31/Y31-1</f>
        <v>0.45454545454545459</v>
      </c>
      <c r="AE32" s="85">
        <f t="shared" ref="AE32" si="131">AE31/Z31-1</f>
        <v>0.35714285714285721</v>
      </c>
      <c r="AF32" s="85">
        <f t="shared" ref="AF32" si="132">AF31/AA31-1</f>
        <v>0.5</v>
      </c>
      <c r="AG32" s="221">
        <f t="shared" ref="AG32" si="133">AG31/AB31-1</f>
        <v>0.36309523809523814</v>
      </c>
      <c r="AH32" s="85">
        <f t="shared" ref="AH32" si="134">AH31/AC31-1</f>
        <v>0.375</v>
      </c>
      <c r="AI32" s="85">
        <f t="shared" ref="AI32" si="135">AI31/AD31-1</f>
        <v>-0.125</v>
      </c>
      <c r="AJ32" s="85">
        <f t="shared" ref="AJ32" si="136">AJ31/AE31-1</f>
        <v>-0.15789473684210531</v>
      </c>
      <c r="AK32" s="85">
        <f t="shared" ref="AK32" si="137">AK31/AF31-1</f>
        <v>0.19999999999999996</v>
      </c>
      <c r="AL32" s="221">
        <f t="shared" ref="AL32" si="138">AL31/AG31-1</f>
        <v>3.2890829694323109E-2</v>
      </c>
      <c r="AM32" s="85">
        <f t="shared" ref="AM32" si="139">AM31/AH31-1</f>
        <v>-1</v>
      </c>
      <c r="AN32" s="85">
        <f t="shared" ref="AN32" si="140">AN31/AI31-1</f>
        <v>-1</v>
      </c>
      <c r="AO32" s="85">
        <f t="shared" ref="AO32" si="141">AO31/AJ31-1</f>
        <v>-1</v>
      </c>
      <c r="AP32" s="85">
        <f t="shared" ref="AP32" si="142">AP31/AK31-1</f>
        <v>-1</v>
      </c>
      <c r="AQ32" s="367">
        <v>0.1</v>
      </c>
      <c r="AR32" s="142" t="e">
        <f t="shared" ref="AR32" si="143">AR31/AM31-1</f>
        <v>#DIV/0!</v>
      </c>
      <c r="AS32" s="142" t="e">
        <f t="shared" ref="AS32" si="144">AS31/AN31-1</f>
        <v>#DIV/0!</v>
      </c>
      <c r="AT32" s="142" t="e">
        <f t="shared" ref="AT32" si="145">AT31/AO31-1</f>
        <v>#DIV/0!</v>
      </c>
      <c r="AU32" s="142" t="e">
        <f t="shared" ref="AU32" si="146">AU31/AP31-1</f>
        <v>#DIV/0!</v>
      </c>
      <c r="AV32" s="367">
        <v>0.1</v>
      </c>
      <c r="AW32" s="142" t="e">
        <f t="shared" ref="AW32" si="147">AW31/AR31-1</f>
        <v>#DIV/0!</v>
      </c>
      <c r="AX32" s="142" t="e">
        <f t="shared" ref="AX32" si="148">AX31/AS31-1</f>
        <v>#DIV/0!</v>
      </c>
      <c r="AY32" s="142" t="e">
        <f t="shared" ref="AY32" si="149">AY31/AT31-1</f>
        <v>#DIV/0!</v>
      </c>
      <c r="AZ32" s="142" t="e">
        <f t="shared" ref="AZ32" si="150">AZ31/AU31-1</f>
        <v>#DIV/0!</v>
      </c>
      <c r="BA32" s="367">
        <v>0.1</v>
      </c>
      <c r="BB32" s="186"/>
      <c r="BC32" s="198">
        <v>0</v>
      </c>
      <c r="BD32" s="56"/>
    </row>
    <row r="33" spans="1:87" s="62" customFormat="1" ht="15" customHeight="1" x14ac:dyDescent="0.25">
      <c r="A33" s="28"/>
      <c r="B33" s="26" t="s">
        <v>26</v>
      </c>
      <c r="C33" s="365"/>
      <c r="D33" s="365"/>
      <c r="E33" s="365"/>
      <c r="F33" s="365"/>
      <c r="G33" s="365"/>
      <c r="H33" s="83"/>
      <c r="I33" s="83"/>
      <c r="J33" s="83"/>
      <c r="K33" s="83"/>
      <c r="L33" s="83"/>
      <c r="M33" s="83">
        <v>15</v>
      </c>
      <c r="N33" s="83"/>
      <c r="O33" s="83"/>
      <c r="P33" s="83"/>
      <c r="Q33" s="83"/>
      <c r="R33" s="83">
        <v>15</v>
      </c>
      <c r="S33" s="83"/>
      <c r="T33" s="83"/>
      <c r="U33" s="83"/>
      <c r="V33" s="83"/>
      <c r="W33" s="83">
        <v>16</v>
      </c>
      <c r="X33" s="83">
        <v>5</v>
      </c>
      <c r="Y33" s="83">
        <v>4</v>
      </c>
      <c r="Z33" s="83">
        <v>5</v>
      </c>
      <c r="AA33" s="83">
        <v>3</v>
      </c>
      <c r="AB33" s="83">
        <v>17</v>
      </c>
      <c r="AC33" s="92">
        <v>5</v>
      </c>
      <c r="AD33" s="92">
        <v>4</v>
      </c>
      <c r="AE33" s="92">
        <v>5</v>
      </c>
      <c r="AF33" s="92">
        <v>3</v>
      </c>
      <c r="AG33" s="92">
        <v>16.876999999999999</v>
      </c>
      <c r="AH33" s="92">
        <v>5</v>
      </c>
      <c r="AI33" s="92">
        <v>4</v>
      </c>
      <c r="AJ33" s="92">
        <v>5</v>
      </c>
      <c r="AK33" s="287">
        <v>3</v>
      </c>
      <c r="AL33" s="244">
        <v>16.795999999999999</v>
      </c>
      <c r="AM33" s="208"/>
      <c r="AN33" s="208"/>
      <c r="AO33" s="208"/>
      <c r="AP33" s="208"/>
      <c r="AQ33" s="244">
        <f>AL33*(1+AQ34)</f>
        <v>16.96396</v>
      </c>
      <c r="AR33" s="208"/>
      <c r="AS33" s="208"/>
      <c r="AT33" s="208"/>
      <c r="AU33" s="208"/>
      <c r="AV33" s="244">
        <f>AQ33*(1+AV34)</f>
        <v>17.1335996</v>
      </c>
      <c r="AW33" s="208"/>
      <c r="AX33" s="208"/>
      <c r="AY33" s="208"/>
      <c r="AZ33" s="208"/>
      <c r="BA33" s="244">
        <f>AV33*(1+BA34)</f>
        <v>17.304935596</v>
      </c>
      <c r="BB33" s="187"/>
      <c r="BC33" s="198">
        <v>0</v>
      </c>
      <c r="BD33" s="200"/>
      <c r="BE33" s="76"/>
      <c r="BF33" s="76"/>
      <c r="BG33" s="76"/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/>
      <c r="CE33" s="76"/>
      <c r="CF33" s="76"/>
      <c r="CG33" s="76"/>
      <c r="CH33" s="76"/>
      <c r="CI33" s="76"/>
    </row>
    <row r="34" spans="1:87" s="62" customFormat="1" ht="15" customHeight="1" x14ac:dyDescent="0.25">
      <c r="A34" s="25"/>
      <c r="B34" s="71" t="s">
        <v>21</v>
      </c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 t="e">
        <f t="shared" ref="N34" si="151">N33/I33-1</f>
        <v>#DIV/0!</v>
      </c>
      <c r="O34" s="73" t="e">
        <f t="shared" ref="O34" si="152">O33/J33-1</f>
        <v>#DIV/0!</v>
      </c>
      <c r="P34" s="73" t="e">
        <f t="shared" ref="P34" si="153">P33/K33-1</f>
        <v>#DIV/0!</v>
      </c>
      <c r="Q34" s="73" t="e">
        <f t="shared" ref="Q34" si="154">Q33/L33-1</f>
        <v>#DIV/0!</v>
      </c>
      <c r="R34" s="73">
        <f t="shared" ref="R34" si="155">R33/M33-1</f>
        <v>0</v>
      </c>
      <c r="S34" s="73" t="e">
        <f t="shared" ref="S34" si="156">S33/N33-1</f>
        <v>#DIV/0!</v>
      </c>
      <c r="T34" s="73" t="e">
        <f t="shared" ref="T34" si="157">T33/O33-1</f>
        <v>#DIV/0!</v>
      </c>
      <c r="U34" s="73" t="e">
        <f t="shared" ref="U34" si="158">U33/P33-1</f>
        <v>#DIV/0!</v>
      </c>
      <c r="V34" s="73" t="e">
        <f t="shared" ref="V34" si="159">V33/Q33-1</f>
        <v>#DIV/0!</v>
      </c>
      <c r="W34" s="73">
        <f t="shared" ref="W34" si="160">W33/R33-1</f>
        <v>6.6666666666666652E-2</v>
      </c>
      <c r="X34" s="73">
        <v>0.15</v>
      </c>
      <c r="Y34" s="73">
        <v>-0.03</v>
      </c>
      <c r="Z34" s="73">
        <v>0</v>
      </c>
      <c r="AA34" s="73">
        <v>7.0000000000000007E-2</v>
      </c>
      <c r="AB34" s="73">
        <f t="shared" ref="AB34" si="161">AB33/W33-1</f>
        <v>6.25E-2</v>
      </c>
      <c r="AC34" s="85">
        <f t="shared" ref="AC34" si="162">AC33/X33-1</f>
        <v>0</v>
      </c>
      <c r="AD34" s="85">
        <f t="shared" ref="AD34" si="163">AD33/Y33-1</f>
        <v>0</v>
      </c>
      <c r="AE34" s="85">
        <f t="shared" ref="AE34" si="164">AE33/Z33-1</f>
        <v>0</v>
      </c>
      <c r="AF34" s="85">
        <f t="shared" ref="AF34" si="165">AF33/AA33-1</f>
        <v>0</v>
      </c>
      <c r="AG34" s="221">
        <f t="shared" ref="AG34" si="166">AG33/AB33-1</f>
        <v>-7.2352941176471175E-3</v>
      </c>
      <c r="AH34" s="85">
        <f t="shared" ref="AH34" si="167">AH33/AC33-1</f>
        <v>0</v>
      </c>
      <c r="AI34" s="85">
        <f t="shared" ref="AI34" si="168">AI33/AD33-1</f>
        <v>0</v>
      </c>
      <c r="AJ34" s="85">
        <f t="shared" ref="AJ34" si="169">AJ33/AE33-1</f>
        <v>0</v>
      </c>
      <c r="AK34" s="85">
        <f t="shared" ref="AK34" si="170">AK33/AF33-1</f>
        <v>0</v>
      </c>
      <c r="AL34" s="221">
        <f t="shared" ref="AL34" si="171">AL33/AG33-1</f>
        <v>-4.7994311785269916E-3</v>
      </c>
      <c r="AM34" s="85">
        <f t="shared" ref="AM34" si="172">AM33/AH33-1</f>
        <v>-1</v>
      </c>
      <c r="AN34" s="85">
        <f t="shared" ref="AN34" si="173">AN33/AI33-1</f>
        <v>-1</v>
      </c>
      <c r="AO34" s="85">
        <f t="shared" ref="AO34" si="174">AO33/AJ33-1</f>
        <v>-1</v>
      </c>
      <c r="AP34" s="85">
        <f t="shared" ref="AP34" si="175">AP33/AK33-1</f>
        <v>-1</v>
      </c>
      <c r="AQ34" s="367">
        <v>0.01</v>
      </c>
      <c r="AR34" s="142" t="e">
        <f t="shared" ref="AR34" si="176">AR33/AM33-1</f>
        <v>#DIV/0!</v>
      </c>
      <c r="AS34" s="142" t="e">
        <f t="shared" ref="AS34" si="177">AS33/AN33-1</f>
        <v>#DIV/0!</v>
      </c>
      <c r="AT34" s="142" t="e">
        <f t="shared" ref="AT34" si="178">AT33/AO33-1</f>
        <v>#DIV/0!</v>
      </c>
      <c r="AU34" s="142" t="e">
        <f t="shared" ref="AU34" si="179">AU33/AP33-1</f>
        <v>#DIV/0!</v>
      </c>
      <c r="AV34" s="367">
        <v>0.01</v>
      </c>
      <c r="AW34" s="142" t="e">
        <f t="shared" ref="AW34" si="180">AW33/AR33-1</f>
        <v>#DIV/0!</v>
      </c>
      <c r="AX34" s="142" t="e">
        <f t="shared" ref="AX34" si="181">AX33/AS33-1</f>
        <v>#DIV/0!</v>
      </c>
      <c r="AY34" s="142" t="e">
        <f t="shared" ref="AY34" si="182">AY33/AT33-1</f>
        <v>#DIV/0!</v>
      </c>
      <c r="AZ34" s="142" t="e">
        <f t="shared" ref="AZ34" si="183">AZ33/AU33-1</f>
        <v>#DIV/0!</v>
      </c>
      <c r="BA34" s="367">
        <v>0.01</v>
      </c>
      <c r="BB34" s="186"/>
      <c r="BC34" s="198">
        <v>0</v>
      </c>
      <c r="BD34" s="56"/>
    </row>
    <row r="35" spans="1:87" s="62" customFormat="1" ht="15" customHeight="1" x14ac:dyDescent="0.25">
      <c r="A35" s="25"/>
      <c r="B35" s="71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85"/>
      <c r="AD35" s="85"/>
      <c r="AE35" s="85"/>
      <c r="AF35" s="85"/>
      <c r="AG35" s="221"/>
      <c r="AH35" s="85"/>
      <c r="AI35" s="85"/>
      <c r="AJ35" s="85"/>
      <c r="AK35" s="85"/>
      <c r="AL35" s="221"/>
      <c r="AM35" s="85"/>
      <c r="AN35" s="85"/>
      <c r="AO35" s="85"/>
      <c r="AP35" s="85"/>
      <c r="AQ35" s="367"/>
      <c r="AR35" s="142"/>
      <c r="AS35" s="142"/>
      <c r="AT35" s="142"/>
      <c r="AU35" s="142"/>
      <c r="AV35" s="367"/>
      <c r="AW35" s="142"/>
      <c r="AX35" s="142"/>
      <c r="AY35" s="142"/>
      <c r="AZ35" s="142"/>
      <c r="BA35" s="367"/>
      <c r="BB35" s="186"/>
      <c r="BC35" s="198"/>
      <c r="BD35" s="56"/>
    </row>
    <row r="36" spans="1:87" s="62" customFormat="1" ht="15" customHeight="1" x14ac:dyDescent="0.25">
      <c r="A36" s="25"/>
      <c r="B36" s="368" t="s">
        <v>136</v>
      </c>
      <c r="C36" s="369">
        <f>C33+C31+C29+C27</f>
        <v>861</v>
      </c>
      <c r="D36" s="369">
        <f t="shared" ref="D36:BA36" si="184">D33+D31+D29+D27</f>
        <v>942</v>
      </c>
      <c r="E36" s="369">
        <f t="shared" si="184"/>
        <v>925</v>
      </c>
      <c r="F36" s="369">
        <f t="shared" si="184"/>
        <v>954</v>
      </c>
      <c r="G36" s="369">
        <f t="shared" si="184"/>
        <v>906</v>
      </c>
      <c r="H36" s="369">
        <f t="shared" si="184"/>
        <v>900</v>
      </c>
      <c r="I36" s="369">
        <f t="shared" si="184"/>
        <v>0</v>
      </c>
      <c r="J36" s="369">
        <f t="shared" si="184"/>
        <v>0</v>
      </c>
      <c r="K36" s="369">
        <f t="shared" si="184"/>
        <v>0</v>
      </c>
      <c r="L36" s="369">
        <f t="shared" si="184"/>
        <v>0</v>
      </c>
      <c r="M36" s="369">
        <f t="shared" si="184"/>
        <v>976</v>
      </c>
      <c r="N36" s="369">
        <f t="shared" si="184"/>
        <v>0</v>
      </c>
      <c r="O36" s="369">
        <f t="shared" si="184"/>
        <v>0</v>
      </c>
      <c r="P36" s="369">
        <f t="shared" si="184"/>
        <v>0</v>
      </c>
      <c r="Q36" s="369">
        <f t="shared" si="184"/>
        <v>0</v>
      </c>
      <c r="R36" s="369">
        <f t="shared" si="184"/>
        <v>1013</v>
      </c>
      <c r="S36" s="369">
        <f t="shared" si="184"/>
        <v>0</v>
      </c>
      <c r="T36" s="369">
        <f t="shared" si="184"/>
        <v>0</v>
      </c>
      <c r="U36" s="369">
        <f t="shared" si="184"/>
        <v>0</v>
      </c>
      <c r="V36" s="369">
        <f t="shared" si="184"/>
        <v>0</v>
      </c>
      <c r="W36" s="369">
        <f t="shared" si="184"/>
        <v>1070</v>
      </c>
      <c r="X36" s="370">
        <f t="shared" si="184"/>
        <v>88</v>
      </c>
      <c r="Y36" s="371">
        <f t="shared" si="184"/>
        <v>365</v>
      </c>
      <c r="Z36" s="371">
        <f t="shared" si="184"/>
        <v>505</v>
      </c>
      <c r="AA36" s="371">
        <f t="shared" si="184"/>
        <v>154</v>
      </c>
      <c r="AB36" s="371">
        <f t="shared" si="184"/>
        <v>1110</v>
      </c>
      <c r="AC36" s="369">
        <f t="shared" si="184"/>
        <v>74</v>
      </c>
      <c r="AD36" s="369">
        <f t="shared" si="184"/>
        <v>377</v>
      </c>
      <c r="AE36" s="369">
        <f t="shared" si="184"/>
        <v>542</v>
      </c>
      <c r="AF36" s="369">
        <f t="shared" si="184"/>
        <v>185</v>
      </c>
      <c r="AG36" s="369">
        <f t="shared" si="184"/>
        <v>1175.7929999999999</v>
      </c>
      <c r="AH36" s="369">
        <f t="shared" si="184"/>
        <v>85</v>
      </c>
      <c r="AI36" s="369">
        <f t="shared" si="184"/>
        <v>386</v>
      </c>
      <c r="AJ36" s="369">
        <f t="shared" si="184"/>
        <v>575</v>
      </c>
      <c r="AK36" s="369">
        <f t="shared" si="184"/>
        <v>219</v>
      </c>
      <c r="AL36" s="369">
        <f t="shared" si="184"/>
        <v>1263.9380000000001</v>
      </c>
      <c r="AM36" s="369">
        <f t="shared" si="184"/>
        <v>0</v>
      </c>
      <c r="AN36" s="369">
        <f t="shared" si="184"/>
        <v>0</v>
      </c>
      <c r="AO36" s="369">
        <f t="shared" si="184"/>
        <v>0</v>
      </c>
      <c r="AP36" s="369">
        <f t="shared" si="184"/>
        <v>0</v>
      </c>
      <c r="AQ36" s="369">
        <f t="shared" si="184"/>
        <v>1341.2998</v>
      </c>
      <c r="AR36" s="369">
        <f t="shared" si="184"/>
        <v>0</v>
      </c>
      <c r="AS36" s="369">
        <f t="shared" si="184"/>
        <v>0</v>
      </c>
      <c r="AT36" s="369">
        <f t="shared" si="184"/>
        <v>0</v>
      </c>
      <c r="AU36" s="369">
        <f t="shared" si="184"/>
        <v>0</v>
      </c>
      <c r="AV36" s="369">
        <f t="shared" si="184"/>
        <v>1398.3456512000002</v>
      </c>
      <c r="AW36" s="369">
        <f t="shared" si="184"/>
        <v>0</v>
      </c>
      <c r="AX36" s="369">
        <f t="shared" si="184"/>
        <v>0</v>
      </c>
      <c r="AY36" s="369">
        <f t="shared" si="184"/>
        <v>0</v>
      </c>
      <c r="AZ36" s="369">
        <f t="shared" si="184"/>
        <v>0</v>
      </c>
      <c r="BA36" s="369">
        <f t="shared" si="184"/>
        <v>1431.8653026280001</v>
      </c>
      <c r="BB36" s="186"/>
      <c r="BC36" s="198">
        <v>0</v>
      </c>
      <c r="BD36" s="56"/>
    </row>
    <row r="37" spans="1:87" s="62" customFormat="1" ht="15" customHeight="1" x14ac:dyDescent="0.25">
      <c r="A37" s="25"/>
      <c r="B37" s="71" t="s">
        <v>21</v>
      </c>
      <c r="C37" s="73"/>
      <c r="D37" s="73">
        <f t="shared" ref="D37" si="185">D36/C36-1</f>
        <v>9.4076655052264702E-2</v>
      </c>
      <c r="E37" s="73">
        <f t="shared" ref="E37" si="186">E36/D36-1</f>
        <v>-1.8046709129511673E-2</v>
      </c>
      <c r="F37" s="73">
        <f t="shared" ref="F37" si="187">F36/E36-1</f>
        <v>3.1351351351351253E-2</v>
      </c>
      <c r="G37" s="73">
        <f t="shared" ref="G37" si="188">G36/F36-1</f>
        <v>-5.031446540880502E-2</v>
      </c>
      <c r="H37" s="73">
        <f>H36/G36-1</f>
        <v>-6.6225165562914245E-3</v>
      </c>
      <c r="I37" s="40"/>
      <c r="J37" s="40"/>
      <c r="K37" s="40"/>
      <c r="L37" s="40"/>
      <c r="M37" s="73">
        <f>M36/H36-1</f>
        <v>8.4444444444444544E-2</v>
      </c>
      <c r="N37" s="40" t="e">
        <f t="shared" ref="N37" si="189">N36/I36-1</f>
        <v>#DIV/0!</v>
      </c>
      <c r="O37" s="40" t="e">
        <f t="shared" ref="O37" si="190">O36/J36-1</f>
        <v>#DIV/0!</v>
      </c>
      <c r="P37" s="40" t="e">
        <f t="shared" ref="P37" si="191">P36/K36-1</f>
        <v>#DIV/0!</v>
      </c>
      <c r="Q37" s="40" t="e">
        <f t="shared" ref="Q37" si="192">Q36/L36-1</f>
        <v>#DIV/0!</v>
      </c>
      <c r="R37" s="40">
        <f t="shared" ref="R37" si="193">R36/M36-1</f>
        <v>3.7909836065573854E-2</v>
      </c>
      <c r="S37" s="40" t="e">
        <f t="shared" ref="S37" si="194">S36/N36-1</f>
        <v>#DIV/0!</v>
      </c>
      <c r="T37" s="40" t="e">
        <f t="shared" ref="T37" si="195">T36/O36-1</f>
        <v>#DIV/0!</v>
      </c>
      <c r="U37" s="40" t="e">
        <f t="shared" ref="U37" si="196">U36/P36-1</f>
        <v>#DIV/0!</v>
      </c>
      <c r="V37" s="40" t="e">
        <f t="shared" ref="V37" si="197">V36/Q36-1</f>
        <v>#DIV/0!</v>
      </c>
      <c r="W37" s="40">
        <f t="shared" ref="W37" si="198">W36/R36-1</f>
        <v>5.6268509378084808E-2</v>
      </c>
      <c r="X37" s="40" t="e">
        <f t="shared" ref="X37" si="199">X36/S36-1</f>
        <v>#DIV/0!</v>
      </c>
      <c r="Y37" s="40" t="e">
        <f t="shared" ref="Y37" si="200">Y36/T36-1</f>
        <v>#DIV/0!</v>
      </c>
      <c r="Z37" s="40" t="e">
        <f t="shared" ref="Z37" si="201">Z36/U36-1</f>
        <v>#DIV/0!</v>
      </c>
      <c r="AA37" s="40" t="e">
        <f t="shared" ref="AA37" si="202">AA36/V36-1</f>
        <v>#DIV/0!</v>
      </c>
      <c r="AB37" s="40">
        <f t="shared" ref="AB37" si="203">AB36/W36-1</f>
        <v>3.7383177570093462E-2</v>
      </c>
      <c r="AC37" s="41">
        <f t="shared" ref="AC37" si="204">AC36/X36-1</f>
        <v>-0.15909090909090906</v>
      </c>
      <c r="AD37" s="41">
        <f t="shared" ref="AD37" si="205">AD36/Y36-1</f>
        <v>3.287671232876721E-2</v>
      </c>
      <c r="AE37" s="41">
        <f t="shared" ref="AE37" si="206">AE36/Z36-1</f>
        <v>7.3267326732673332E-2</v>
      </c>
      <c r="AF37" s="41">
        <f t="shared" ref="AF37" si="207">AF36/AA36-1</f>
        <v>0.20129870129870131</v>
      </c>
      <c r="AG37" s="41">
        <f t="shared" ref="AG37" si="208">AG36/AB36-1</f>
        <v>5.9272972972972848E-2</v>
      </c>
      <c r="AH37" s="41">
        <f t="shared" ref="AH37" si="209">AH36/AC36-1</f>
        <v>0.14864864864864868</v>
      </c>
      <c r="AI37" s="41">
        <f t="shared" ref="AI37" si="210">AI36/AD36-1</f>
        <v>2.3872679045092937E-2</v>
      </c>
      <c r="AJ37" s="41">
        <f t="shared" ref="AJ37" si="211">AJ36/AE36-1</f>
        <v>6.0885608856088513E-2</v>
      </c>
      <c r="AK37" s="286">
        <f t="shared" ref="AK37" si="212">AK36/AF36-1</f>
        <v>0.18378378378378368</v>
      </c>
      <c r="AL37" s="221">
        <f t="shared" ref="AL37" si="213">AL36/AG36-1</f>
        <v>7.4966426913581019E-2</v>
      </c>
      <c r="AM37" s="85">
        <f t="shared" ref="AM37" si="214">AM36/AH36-1</f>
        <v>-1</v>
      </c>
      <c r="AN37" s="85">
        <f t="shared" ref="AN37" si="215">AN36/AI36-1</f>
        <v>-1</v>
      </c>
      <c r="AO37" s="85">
        <f t="shared" ref="AO37" si="216">AO36/AJ36-1</f>
        <v>-1</v>
      </c>
      <c r="AP37" s="85">
        <f t="shared" ref="AP37" si="217">AP36/AK36-1</f>
        <v>-1</v>
      </c>
      <c r="AQ37" s="221">
        <f t="shared" ref="AQ37" si="218">AQ36/AL36-1</f>
        <v>6.1206957936227768E-2</v>
      </c>
      <c r="AR37" s="85" t="e">
        <f t="shared" ref="AR37" si="219">AR36/AM36-1</f>
        <v>#DIV/0!</v>
      </c>
      <c r="AS37" s="85" t="e">
        <f t="shared" ref="AS37" si="220">AS36/AN36-1</f>
        <v>#DIV/0!</v>
      </c>
      <c r="AT37" s="85" t="e">
        <f t="shared" ref="AT37" si="221">AT36/AO36-1</f>
        <v>#DIV/0!</v>
      </c>
      <c r="AU37" s="85" t="e">
        <f t="shared" ref="AU37" si="222">AU36/AP36-1</f>
        <v>#DIV/0!</v>
      </c>
      <c r="AV37" s="221">
        <f t="shared" ref="AV37" si="223">AV36/AQ36-1</f>
        <v>4.2530276378182075E-2</v>
      </c>
      <c r="AW37" s="85" t="e">
        <f t="shared" ref="AW37" si="224">AW36/AR36-1</f>
        <v>#DIV/0!</v>
      </c>
      <c r="AX37" s="85" t="e">
        <f t="shared" ref="AX37" si="225">AX36/AS36-1</f>
        <v>#DIV/0!</v>
      </c>
      <c r="AY37" s="85" t="e">
        <f t="shared" ref="AY37" si="226">AY36/AT36-1</f>
        <v>#DIV/0!</v>
      </c>
      <c r="AZ37" s="85" t="e">
        <f t="shared" ref="AZ37" si="227">AZ36/AU36-1</f>
        <v>#DIV/0!</v>
      </c>
      <c r="BA37" s="221">
        <f t="shared" ref="BA37" si="228">BA36/AV36-1</f>
        <v>2.3970934081451789E-2</v>
      </c>
      <c r="BB37" s="186"/>
      <c r="BC37" s="198">
        <v>0</v>
      </c>
      <c r="BD37" s="56"/>
    </row>
    <row r="38" spans="1:87" s="62" customFormat="1" ht="15" customHeight="1" x14ac:dyDescent="0.25">
      <c r="A38" s="25"/>
      <c r="B38" s="71"/>
      <c r="C38" s="72"/>
      <c r="D38" s="73"/>
      <c r="E38" s="73"/>
      <c r="F38" s="73"/>
      <c r="G38" s="73"/>
      <c r="H38" s="73"/>
      <c r="I38" s="72"/>
      <c r="J38" s="72"/>
      <c r="K38" s="72"/>
      <c r="L38" s="72"/>
      <c r="M38" s="73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4"/>
      <c r="Y38" s="75"/>
      <c r="Z38" s="75"/>
      <c r="AA38" s="75"/>
      <c r="AB38" s="75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186"/>
      <c r="BC38" s="198">
        <v>0</v>
      </c>
      <c r="BD38" s="56"/>
    </row>
    <row r="39" spans="1:87" s="62" customFormat="1" ht="15" hidden="1" customHeight="1" outlineLevel="1" x14ac:dyDescent="0.25">
      <c r="A39" s="25"/>
      <c r="B39" s="132" t="s">
        <v>134</v>
      </c>
      <c r="C39" s="133"/>
      <c r="D39" s="215">
        <v>0.28000000000000003</v>
      </c>
      <c r="E39" s="215">
        <v>0.27</v>
      </c>
      <c r="F39" s="215">
        <v>0.28000000000000003</v>
      </c>
      <c r="G39" s="215">
        <v>0.28000000000000003</v>
      </c>
      <c r="H39" s="215">
        <v>0.3</v>
      </c>
      <c r="I39" s="215"/>
      <c r="J39" s="215"/>
      <c r="K39" s="215"/>
      <c r="L39" s="215"/>
      <c r="M39" s="215">
        <v>0.32</v>
      </c>
      <c r="N39" s="215"/>
      <c r="O39" s="215"/>
      <c r="P39" s="215"/>
      <c r="Q39" s="215"/>
      <c r="R39" s="215">
        <v>0.35</v>
      </c>
      <c r="S39" s="215"/>
      <c r="T39" s="215"/>
      <c r="U39" s="215"/>
      <c r="V39" s="215"/>
      <c r="W39" s="215">
        <v>0.44</v>
      </c>
      <c r="X39" s="216"/>
      <c r="Y39" s="217"/>
      <c r="Z39" s="217"/>
      <c r="AA39" s="217"/>
      <c r="AB39" s="217">
        <v>0.48</v>
      </c>
      <c r="AC39" s="215"/>
      <c r="AD39" s="215"/>
      <c r="AE39" s="215"/>
      <c r="AF39" s="215"/>
      <c r="AG39" s="215">
        <v>0.5</v>
      </c>
      <c r="AH39" s="218"/>
      <c r="AI39" s="218"/>
      <c r="AJ39" s="218"/>
      <c r="AK39" s="218"/>
      <c r="AL39" s="215">
        <v>0.56000000000000005</v>
      </c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4"/>
      <c r="BB39" s="186"/>
      <c r="BC39" s="198">
        <v>0</v>
      </c>
      <c r="BD39" s="56"/>
    </row>
    <row r="40" spans="1:87" s="27" customFormat="1" ht="15" hidden="1" customHeight="1" outlineLevel="1" x14ac:dyDescent="0.25">
      <c r="A40" s="26"/>
      <c r="B40" s="26"/>
      <c r="BB40" s="178"/>
      <c r="BC40" s="198">
        <v>0</v>
      </c>
      <c r="BD40" s="199"/>
    </row>
    <row r="41" spans="1:87" s="27" customFormat="1" ht="15" hidden="1" customHeight="1" outlineLevel="1" x14ac:dyDescent="0.25">
      <c r="A41" s="26"/>
      <c r="B41" s="26" t="s">
        <v>205</v>
      </c>
      <c r="BB41" s="178"/>
      <c r="BC41" s="198"/>
      <c r="BD41" s="199"/>
    </row>
    <row r="42" spans="1:87" s="27" customFormat="1" ht="15" hidden="1" customHeight="1" outlineLevel="1" x14ac:dyDescent="0.25">
      <c r="A42" s="26"/>
      <c r="B42" s="26" t="s">
        <v>23</v>
      </c>
      <c r="H42" s="73">
        <f>H27/H36</f>
        <v>0.53666666666666663</v>
      </c>
      <c r="I42" s="73" t="e">
        <f t="shared" ref="I42:BA42" si="229">I27/I36</f>
        <v>#DIV/0!</v>
      </c>
      <c r="J42" s="73" t="e">
        <f t="shared" si="229"/>
        <v>#DIV/0!</v>
      </c>
      <c r="K42" s="73" t="e">
        <f t="shared" si="229"/>
        <v>#DIV/0!</v>
      </c>
      <c r="L42" s="73" t="e">
        <f t="shared" si="229"/>
        <v>#DIV/0!</v>
      </c>
      <c r="M42" s="73">
        <f t="shared" si="229"/>
        <v>0.52356557377049184</v>
      </c>
      <c r="N42" s="73" t="e">
        <f t="shared" si="229"/>
        <v>#DIV/0!</v>
      </c>
      <c r="O42" s="73" t="e">
        <f t="shared" si="229"/>
        <v>#DIV/0!</v>
      </c>
      <c r="P42" s="73" t="e">
        <f t="shared" si="229"/>
        <v>#DIV/0!</v>
      </c>
      <c r="Q42" s="73" t="e">
        <f t="shared" si="229"/>
        <v>#DIV/0!</v>
      </c>
      <c r="R42" s="73">
        <f t="shared" si="229"/>
        <v>0.53504442250740381</v>
      </c>
      <c r="S42" s="73" t="e">
        <f t="shared" si="229"/>
        <v>#DIV/0!</v>
      </c>
      <c r="T42" s="73" t="e">
        <f t="shared" si="229"/>
        <v>#DIV/0!</v>
      </c>
      <c r="U42" s="73" t="e">
        <f t="shared" si="229"/>
        <v>#DIV/0!</v>
      </c>
      <c r="V42" s="73" t="e">
        <f t="shared" si="229"/>
        <v>#DIV/0!</v>
      </c>
      <c r="W42" s="73">
        <f t="shared" si="229"/>
        <v>0.53925233644859816</v>
      </c>
      <c r="X42" s="73">
        <f t="shared" si="229"/>
        <v>0.47727272727272729</v>
      </c>
      <c r="Y42" s="73">
        <f t="shared" si="229"/>
        <v>0.54794520547945202</v>
      </c>
      <c r="Z42" s="73">
        <f t="shared" si="229"/>
        <v>0.55841584158415847</v>
      </c>
      <c r="AA42" s="73">
        <f t="shared" si="229"/>
        <v>0.51298701298701299</v>
      </c>
      <c r="AB42" s="73">
        <f t="shared" si="229"/>
        <v>0.54234234234234235</v>
      </c>
      <c r="AC42" s="73">
        <f t="shared" si="229"/>
        <v>0.47297297297297297</v>
      </c>
      <c r="AD42" s="73">
        <f t="shared" si="229"/>
        <v>0.54376657824933683</v>
      </c>
      <c r="AE42" s="73">
        <f t="shared" si="229"/>
        <v>0.56457564575645758</v>
      </c>
      <c r="AF42" s="73">
        <f t="shared" si="229"/>
        <v>0.51891891891891895</v>
      </c>
      <c r="AG42" s="73">
        <f t="shared" si="229"/>
        <v>0.54561899926262536</v>
      </c>
      <c r="AH42" s="73">
        <f t="shared" si="229"/>
        <v>0.4823529411764706</v>
      </c>
      <c r="AI42" s="73">
        <f t="shared" si="229"/>
        <v>0.53626943005181349</v>
      </c>
      <c r="AJ42" s="73">
        <f t="shared" si="229"/>
        <v>0.56695652173913047</v>
      </c>
      <c r="AK42" s="73">
        <f t="shared" si="229"/>
        <v>0.52511415525114158</v>
      </c>
      <c r="AL42" s="73">
        <f t="shared" si="229"/>
        <v>0.5441872939970156</v>
      </c>
      <c r="AM42" s="73" t="e">
        <f t="shared" si="229"/>
        <v>#DIV/0!</v>
      </c>
      <c r="AN42" s="73" t="e">
        <f t="shared" si="229"/>
        <v>#DIV/0!</v>
      </c>
      <c r="AO42" s="73" t="e">
        <f t="shared" si="229"/>
        <v>#DIV/0!</v>
      </c>
      <c r="AP42" s="73" t="e">
        <f t="shared" si="229"/>
        <v>#DIV/0!</v>
      </c>
      <c r="AQ42" s="73">
        <f t="shared" si="229"/>
        <v>0.54356836555108701</v>
      </c>
      <c r="AR42" s="73" t="e">
        <f t="shared" si="229"/>
        <v>#DIV/0!</v>
      </c>
      <c r="AS42" s="73" t="e">
        <f t="shared" si="229"/>
        <v>#DIV/0!</v>
      </c>
      <c r="AT42" s="73" t="e">
        <f t="shared" si="229"/>
        <v>#DIV/0!</v>
      </c>
      <c r="AU42" s="73" t="e">
        <f t="shared" si="229"/>
        <v>#DIV/0!</v>
      </c>
      <c r="AV42" s="73">
        <f t="shared" si="229"/>
        <v>0.54224909624405171</v>
      </c>
      <c r="AW42" s="73" t="e">
        <f t="shared" si="229"/>
        <v>#DIV/0!</v>
      </c>
      <c r="AX42" s="73" t="e">
        <f t="shared" si="229"/>
        <v>#DIV/0!</v>
      </c>
      <c r="AY42" s="73" t="e">
        <f t="shared" si="229"/>
        <v>#DIV/0!</v>
      </c>
      <c r="AZ42" s="73" t="e">
        <f t="shared" si="229"/>
        <v>#DIV/0!</v>
      </c>
      <c r="BA42" s="73">
        <f t="shared" si="229"/>
        <v>0.54014626759409257</v>
      </c>
      <c r="BB42" s="178"/>
      <c r="BC42" s="198"/>
      <c r="BD42" s="199"/>
    </row>
    <row r="43" spans="1:87" s="27" customFormat="1" ht="15" hidden="1" customHeight="1" outlineLevel="1" x14ac:dyDescent="0.25">
      <c r="A43" s="26"/>
      <c r="B43" s="26" t="s">
        <v>24</v>
      </c>
      <c r="H43" s="73">
        <f>H29/H36</f>
        <v>0.41666666666666669</v>
      </c>
      <c r="I43" s="73" t="e">
        <f t="shared" ref="I43:BA43" si="230">I29/I36</f>
        <v>#DIV/0!</v>
      </c>
      <c r="J43" s="73" t="e">
        <f t="shared" si="230"/>
        <v>#DIV/0!</v>
      </c>
      <c r="K43" s="73" t="e">
        <f t="shared" si="230"/>
        <v>#DIV/0!</v>
      </c>
      <c r="L43" s="73" t="e">
        <f t="shared" si="230"/>
        <v>#DIV/0!</v>
      </c>
      <c r="M43" s="73">
        <f t="shared" si="230"/>
        <v>0.41086065573770492</v>
      </c>
      <c r="N43" s="73" t="e">
        <f t="shared" si="230"/>
        <v>#DIV/0!</v>
      </c>
      <c r="O43" s="73" t="e">
        <f t="shared" si="230"/>
        <v>#DIV/0!</v>
      </c>
      <c r="P43" s="73" t="e">
        <f t="shared" si="230"/>
        <v>#DIV/0!</v>
      </c>
      <c r="Q43" s="73" t="e">
        <f t="shared" si="230"/>
        <v>#DIV/0!</v>
      </c>
      <c r="R43" s="73">
        <f t="shared" si="230"/>
        <v>0.40868706811451133</v>
      </c>
      <c r="S43" s="73" t="e">
        <f t="shared" si="230"/>
        <v>#DIV/0!</v>
      </c>
      <c r="T43" s="73" t="e">
        <f t="shared" si="230"/>
        <v>#DIV/0!</v>
      </c>
      <c r="U43" s="73" t="e">
        <f t="shared" si="230"/>
        <v>#DIV/0!</v>
      </c>
      <c r="V43" s="73" t="e">
        <f t="shared" si="230"/>
        <v>#DIV/0!</v>
      </c>
      <c r="W43" s="73">
        <f t="shared" si="230"/>
        <v>0.40841121495327104</v>
      </c>
      <c r="X43" s="73">
        <f t="shared" si="230"/>
        <v>0.375</v>
      </c>
      <c r="Y43" s="73">
        <f t="shared" si="230"/>
        <v>0.41095890410958902</v>
      </c>
      <c r="Z43" s="73">
        <f t="shared" si="230"/>
        <v>0.40396039603960399</v>
      </c>
      <c r="AA43" s="73">
        <f t="shared" si="230"/>
        <v>0.40259740259740262</v>
      </c>
      <c r="AB43" s="73">
        <f t="shared" si="230"/>
        <v>0.40450450450450448</v>
      </c>
      <c r="AC43" s="73">
        <f t="shared" si="230"/>
        <v>0.35135135135135137</v>
      </c>
      <c r="AD43" s="73">
        <f t="shared" si="230"/>
        <v>0.40318302387267907</v>
      </c>
      <c r="AE43" s="73">
        <f t="shared" si="230"/>
        <v>0.39114391143911437</v>
      </c>
      <c r="AF43" s="73">
        <f t="shared" si="230"/>
        <v>0.38378378378378381</v>
      </c>
      <c r="AG43" s="73">
        <f t="shared" si="230"/>
        <v>0.39133674039563088</v>
      </c>
      <c r="AH43" s="73">
        <f t="shared" si="230"/>
        <v>0.32941176470588235</v>
      </c>
      <c r="AI43" s="73">
        <f t="shared" si="230"/>
        <v>0.41709844559585491</v>
      </c>
      <c r="AJ43" s="73">
        <f t="shared" si="230"/>
        <v>0.39652173913043476</v>
      </c>
      <c r="AK43" s="73">
        <f t="shared" si="230"/>
        <v>0.37899543378995432</v>
      </c>
      <c r="AL43" s="73">
        <f t="shared" si="230"/>
        <v>0.39573934797434679</v>
      </c>
      <c r="AM43" s="73" t="e">
        <f t="shared" si="230"/>
        <v>#DIV/0!</v>
      </c>
      <c r="AN43" s="73" t="e">
        <f t="shared" si="230"/>
        <v>#DIV/0!</v>
      </c>
      <c r="AO43" s="73" t="e">
        <f t="shared" si="230"/>
        <v>#DIV/0!</v>
      </c>
      <c r="AP43" s="73" t="e">
        <f t="shared" si="230"/>
        <v>#DIV/0!</v>
      </c>
      <c r="AQ43" s="73">
        <f t="shared" si="230"/>
        <v>0.395289255988855</v>
      </c>
      <c r="AR43" s="73" t="e">
        <f t="shared" si="230"/>
        <v>#DIV/0!</v>
      </c>
      <c r="AS43" s="73" t="e">
        <f t="shared" si="230"/>
        <v>#DIV/0!</v>
      </c>
      <c r="AT43" s="73" t="e">
        <f t="shared" si="230"/>
        <v>#DIV/0!</v>
      </c>
      <c r="AU43" s="73" t="e">
        <f t="shared" si="230"/>
        <v>#DIV/0!</v>
      </c>
      <c r="AV43" s="73">
        <f t="shared" si="230"/>
        <v>0.3943298679599026</v>
      </c>
      <c r="AW43" s="73" t="e">
        <f t="shared" si="230"/>
        <v>#DIV/0!</v>
      </c>
      <c r="AX43" s="73" t="e">
        <f t="shared" si="230"/>
        <v>#DIV/0!</v>
      </c>
      <c r="AY43" s="73" t="e">
        <f t="shared" si="230"/>
        <v>#DIV/0!</v>
      </c>
      <c r="AZ43" s="73" t="e">
        <f t="shared" si="230"/>
        <v>#DIV/0!</v>
      </c>
      <c r="BA43" s="73">
        <f t="shared" si="230"/>
        <v>0.39280066643679395</v>
      </c>
      <c r="BB43" s="178"/>
      <c r="BC43" s="198"/>
      <c r="BD43" s="199"/>
    </row>
    <row r="44" spans="1:87" s="27" customFormat="1" ht="15" hidden="1" customHeight="1" outlineLevel="1" x14ac:dyDescent="0.25">
      <c r="A44" s="26"/>
      <c r="B44" s="26"/>
      <c r="BB44" s="178"/>
      <c r="BC44" s="198"/>
      <c r="BD44" s="199"/>
    </row>
    <row r="45" spans="1:87" s="264" customFormat="1" ht="15" customHeight="1" collapsed="1" x14ac:dyDescent="0.25">
      <c r="A45" s="262"/>
      <c r="B45" s="256" t="s">
        <v>14</v>
      </c>
      <c r="C45" s="257"/>
      <c r="D45" s="257"/>
      <c r="E45" s="257"/>
      <c r="F45" s="257"/>
      <c r="G45" s="257"/>
      <c r="H45" s="257"/>
      <c r="I45" s="257"/>
      <c r="J45" s="257"/>
      <c r="K45" s="257"/>
      <c r="L45" s="257"/>
      <c r="M45" s="257"/>
      <c r="N45" s="257"/>
      <c r="O45" s="257"/>
      <c r="P45" s="257"/>
      <c r="Q45" s="257"/>
      <c r="R45" s="257"/>
      <c r="S45" s="257"/>
      <c r="T45" s="257"/>
      <c r="U45" s="257"/>
      <c r="V45" s="257"/>
      <c r="W45" s="257"/>
      <c r="X45" s="257"/>
      <c r="Y45" s="257"/>
      <c r="Z45" s="257"/>
      <c r="AA45" s="257"/>
      <c r="AB45" s="257"/>
      <c r="AC45" s="257"/>
      <c r="AD45" s="257"/>
      <c r="AE45" s="257"/>
      <c r="AF45" s="257"/>
      <c r="AG45" s="257"/>
      <c r="AH45" s="257"/>
      <c r="AI45" s="257"/>
      <c r="AJ45" s="257"/>
      <c r="AK45" s="257"/>
      <c r="AL45" s="257"/>
      <c r="AM45" s="257"/>
      <c r="AN45" s="257"/>
      <c r="AO45" s="257"/>
      <c r="AP45" s="257"/>
      <c r="AQ45" s="257"/>
      <c r="AR45" s="257"/>
      <c r="AS45" s="257"/>
      <c r="AT45" s="257"/>
      <c r="AU45" s="257"/>
      <c r="AV45" s="257"/>
      <c r="AW45" s="257"/>
      <c r="AX45" s="257"/>
      <c r="AY45" s="257"/>
      <c r="AZ45" s="257"/>
      <c r="BA45" s="258"/>
      <c r="BB45" s="263"/>
      <c r="BC45" s="260">
        <v>0</v>
      </c>
      <c r="BD45" s="262"/>
    </row>
    <row r="46" spans="1:87" s="27" customFormat="1" ht="15" customHeight="1" x14ac:dyDescent="0.25">
      <c r="A46" s="26"/>
      <c r="B46" s="26"/>
      <c r="AC46" s="81"/>
      <c r="AD46" s="81"/>
      <c r="AE46" s="81"/>
      <c r="AF46" s="81"/>
      <c r="AG46" s="81"/>
      <c r="AH46" s="81"/>
      <c r="AI46" s="81"/>
      <c r="AJ46" s="81"/>
      <c r="AK46" s="82"/>
      <c r="AR46" s="81"/>
      <c r="AS46" s="81"/>
      <c r="BB46" s="178"/>
      <c r="BC46" s="198">
        <v>0</v>
      </c>
      <c r="BD46" s="199"/>
    </row>
    <row r="47" spans="1:87" s="27" customFormat="1" ht="15" customHeight="1" x14ac:dyDescent="0.25">
      <c r="A47" s="26"/>
      <c r="B47" s="25" t="s">
        <v>23</v>
      </c>
      <c r="C47" s="83">
        <f>C27</f>
        <v>474</v>
      </c>
      <c r="D47" s="83">
        <f t="shared" ref="D47:BA47" si="231">D27</f>
        <v>524</v>
      </c>
      <c r="E47" s="83">
        <f t="shared" si="231"/>
        <v>513</v>
      </c>
      <c r="F47" s="83">
        <f t="shared" si="231"/>
        <v>515</v>
      </c>
      <c r="G47" s="83">
        <f t="shared" si="231"/>
        <v>427</v>
      </c>
      <c r="H47" s="83">
        <f t="shared" si="231"/>
        <v>483</v>
      </c>
      <c r="I47" s="83">
        <f t="shared" si="231"/>
        <v>0</v>
      </c>
      <c r="J47" s="83">
        <f t="shared" si="231"/>
        <v>0</v>
      </c>
      <c r="K47" s="83">
        <f t="shared" si="231"/>
        <v>0</v>
      </c>
      <c r="L47" s="83">
        <f t="shared" si="231"/>
        <v>0</v>
      </c>
      <c r="M47" s="83">
        <f t="shared" si="231"/>
        <v>511</v>
      </c>
      <c r="N47" s="83">
        <f t="shared" si="231"/>
        <v>0</v>
      </c>
      <c r="O47" s="83">
        <f t="shared" si="231"/>
        <v>0</v>
      </c>
      <c r="P47" s="83">
        <f t="shared" si="231"/>
        <v>0</v>
      </c>
      <c r="Q47" s="83">
        <f t="shared" si="231"/>
        <v>0</v>
      </c>
      <c r="R47" s="83">
        <f t="shared" si="231"/>
        <v>542</v>
      </c>
      <c r="S47" s="83">
        <f t="shared" si="231"/>
        <v>0</v>
      </c>
      <c r="T47" s="83">
        <f t="shared" si="231"/>
        <v>0</v>
      </c>
      <c r="U47" s="83">
        <f t="shared" si="231"/>
        <v>0</v>
      </c>
      <c r="V47" s="83">
        <f t="shared" si="231"/>
        <v>0</v>
      </c>
      <c r="W47" s="83">
        <f t="shared" si="231"/>
        <v>577</v>
      </c>
      <c r="X47" s="83">
        <f t="shared" si="231"/>
        <v>42</v>
      </c>
      <c r="Y47" s="83">
        <f t="shared" si="231"/>
        <v>200</v>
      </c>
      <c r="Z47" s="83">
        <f t="shared" si="231"/>
        <v>282</v>
      </c>
      <c r="AA47" s="83">
        <f t="shared" si="231"/>
        <v>79</v>
      </c>
      <c r="AB47" s="83">
        <f t="shared" si="231"/>
        <v>602</v>
      </c>
      <c r="AC47" s="83">
        <f t="shared" si="231"/>
        <v>35</v>
      </c>
      <c r="AD47" s="83">
        <f t="shared" si="231"/>
        <v>205</v>
      </c>
      <c r="AE47" s="83">
        <f t="shared" si="231"/>
        <v>306</v>
      </c>
      <c r="AF47" s="83">
        <f t="shared" si="231"/>
        <v>96</v>
      </c>
      <c r="AG47" s="83">
        <f t="shared" si="231"/>
        <v>641.53499999999997</v>
      </c>
      <c r="AH47" s="83">
        <f t="shared" si="231"/>
        <v>41</v>
      </c>
      <c r="AI47" s="83">
        <f t="shared" si="231"/>
        <v>207</v>
      </c>
      <c r="AJ47" s="83">
        <f t="shared" si="231"/>
        <v>326</v>
      </c>
      <c r="AK47" s="84">
        <f t="shared" si="231"/>
        <v>115</v>
      </c>
      <c r="AL47" s="83">
        <f t="shared" si="231"/>
        <v>687.81899999999996</v>
      </c>
      <c r="AM47" s="83">
        <f t="shared" si="231"/>
        <v>0</v>
      </c>
      <c r="AN47" s="83">
        <f t="shared" si="231"/>
        <v>0</v>
      </c>
      <c r="AO47" s="83">
        <f t="shared" si="231"/>
        <v>0</v>
      </c>
      <c r="AP47" s="83">
        <f t="shared" si="231"/>
        <v>0</v>
      </c>
      <c r="AQ47" s="83">
        <f t="shared" si="231"/>
        <v>729.08813999999995</v>
      </c>
      <c r="AR47" s="83">
        <f t="shared" si="231"/>
        <v>0</v>
      </c>
      <c r="AS47" s="83">
        <f t="shared" si="231"/>
        <v>0</v>
      </c>
      <c r="AT47" s="83">
        <f t="shared" si="231"/>
        <v>0</v>
      </c>
      <c r="AU47" s="83">
        <f t="shared" si="231"/>
        <v>0</v>
      </c>
      <c r="AV47" s="83">
        <f t="shared" si="231"/>
        <v>758.25166560000002</v>
      </c>
      <c r="AW47" s="83">
        <f t="shared" si="231"/>
        <v>0</v>
      </c>
      <c r="AX47" s="83">
        <f t="shared" si="231"/>
        <v>0</v>
      </c>
      <c r="AY47" s="83">
        <f t="shared" si="231"/>
        <v>0</v>
      </c>
      <c r="AZ47" s="83">
        <f t="shared" si="231"/>
        <v>0</v>
      </c>
      <c r="BA47" s="83">
        <f t="shared" si="231"/>
        <v>773.41669891200002</v>
      </c>
      <c r="BB47" s="178"/>
      <c r="BC47" s="198">
        <v>0</v>
      </c>
      <c r="BD47" s="199"/>
    </row>
    <row r="48" spans="1:87" s="27" customFormat="1" ht="15" customHeight="1" x14ac:dyDescent="0.25">
      <c r="A48" s="26"/>
      <c r="B48" s="25" t="s">
        <v>24</v>
      </c>
      <c r="C48" s="83">
        <f>C29</f>
        <v>366</v>
      </c>
      <c r="D48" s="83">
        <f t="shared" ref="D48:BA48" si="232">D29</f>
        <v>398</v>
      </c>
      <c r="E48" s="83">
        <f t="shared" si="232"/>
        <v>387</v>
      </c>
      <c r="F48" s="83">
        <f t="shared" si="232"/>
        <v>401</v>
      </c>
      <c r="G48" s="83">
        <f t="shared" si="232"/>
        <v>421</v>
      </c>
      <c r="H48" s="83">
        <f t="shared" si="232"/>
        <v>375</v>
      </c>
      <c r="I48" s="83">
        <f t="shared" si="232"/>
        <v>0</v>
      </c>
      <c r="J48" s="83">
        <f t="shared" si="232"/>
        <v>0</v>
      </c>
      <c r="K48" s="83">
        <f t="shared" si="232"/>
        <v>0</v>
      </c>
      <c r="L48" s="83">
        <f t="shared" si="232"/>
        <v>0</v>
      </c>
      <c r="M48" s="83">
        <f t="shared" si="232"/>
        <v>401</v>
      </c>
      <c r="N48" s="83">
        <f t="shared" si="232"/>
        <v>0</v>
      </c>
      <c r="O48" s="83">
        <f t="shared" si="232"/>
        <v>0</v>
      </c>
      <c r="P48" s="83">
        <f t="shared" si="232"/>
        <v>0</v>
      </c>
      <c r="Q48" s="83">
        <f t="shared" si="232"/>
        <v>0</v>
      </c>
      <c r="R48" s="83">
        <f t="shared" si="232"/>
        <v>414</v>
      </c>
      <c r="S48" s="83">
        <f t="shared" si="232"/>
        <v>0</v>
      </c>
      <c r="T48" s="83">
        <f t="shared" si="232"/>
        <v>0</v>
      </c>
      <c r="U48" s="83">
        <f t="shared" si="232"/>
        <v>0</v>
      </c>
      <c r="V48" s="83">
        <f t="shared" si="232"/>
        <v>0</v>
      </c>
      <c r="W48" s="83">
        <f t="shared" si="232"/>
        <v>437</v>
      </c>
      <c r="X48" s="83">
        <f t="shared" si="232"/>
        <v>33</v>
      </c>
      <c r="Y48" s="83">
        <f t="shared" si="232"/>
        <v>150</v>
      </c>
      <c r="Z48" s="83">
        <f t="shared" si="232"/>
        <v>204</v>
      </c>
      <c r="AA48" s="83">
        <f t="shared" si="232"/>
        <v>62</v>
      </c>
      <c r="AB48" s="83">
        <f t="shared" si="232"/>
        <v>449</v>
      </c>
      <c r="AC48" s="83">
        <f t="shared" si="232"/>
        <v>26</v>
      </c>
      <c r="AD48" s="83">
        <f t="shared" si="232"/>
        <v>152</v>
      </c>
      <c r="AE48" s="83">
        <f t="shared" si="232"/>
        <v>212</v>
      </c>
      <c r="AF48" s="83">
        <f t="shared" si="232"/>
        <v>71</v>
      </c>
      <c r="AG48" s="83">
        <f t="shared" si="232"/>
        <v>460.13099999999997</v>
      </c>
      <c r="AH48" s="83">
        <f t="shared" si="232"/>
        <v>28</v>
      </c>
      <c r="AI48" s="83">
        <f t="shared" si="232"/>
        <v>161</v>
      </c>
      <c r="AJ48" s="83">
        <f t="shared" si="232"/>
        <v>228</v>
      </c>
      <c r="AK48" s="84">
        <f t="shared" si="232"/>
        <v>83</v>
      </c>
      <c r="AL48" s="83">
        <f t="shared" si="232"/>
        <v>500.19</v>
      </c>
      <c r="AM48" s="83">
        <f t="shared" si="232"/>
        <v>0</v>
      </c>
      <c r="AN48" s="83">
        <f t="shared" si="232"/>
        <v>0</v>
      </c>
      <c r="AO48" s="83">
        <f t="shared" si="232"/>
        <v>0</v>
      </c>
      <c r="AP48" s="83">
        <f t="shared" si="232"/>
        <v>0</v>
      </c>
      <c r="AQ48" s="83">
        <f t="shared" si="232"/>
        <v>530.20140000000004</v>
      </c>
      <c r="AR48" s="83">
        <f t="shared" si="232"/>
        <v>0</v>
      </c>
      <c r="AS48" s="83">
        <f t="shared" si="232"/>
        <v>0</v>
      </c>
      <c r="AT48" s="83">
        <f t="shared" si="232"/>
        <v>0</v>
      </c>
      <c r="AU48" s="83">
        <f t="shared" si="232"/>
        <v>0</v>
      </c>
      <c r="AV48" s="83">
        <f t="shared" si="232"/>
        <v>551.40945600000009</v>
      </c>
      <c r="AW48" s="83">
        <f t="shared" si="232"/>
        <v>0</v>
      </c>
      <c r="AX48" s="83">
        <f t="shared" si="232"/>
        <v>0</v>
      </c>
      <c r="AY48" s="83">
        <f t="shared" si="232"/>
        <v>0</v>
      </c>
      <c r="AZ48" s="83">
        <f t="shared" si="232"/>
        <v>0</v>
      </c>
      <c r="BA48" s="83">
        <f t="shared" si="232"/>
        <v>562.43764512000007</v>
      </c>
      <c r="BB48" s="178"/>
      <c r="BC48" s="198">
        <v>0</v>
      </c>
      <c r="BD48" s="199"/>
    </row>
    <row r="49" spans="1:65" s="27" customFormat="1" ht="15" customHeight="1" x14ac:dyDescent="0.25">
      <c r="A49" s="26"/>
      <c r="B49" s="25" t="s">
        <v>25</v>
      </c>
      <c r="C49" s="83">
        <f>C31</f>
        <v>21</v>
      </c>
      <c r="D49" s="83">
        <f t="shared" ref="D49:BA49" si="233">D31</f>
        <v>20</v>
      </c>
      <c r="E49" s="83">
        <f t="shared" si="233"/>
        <v>25</v>
      </c>
      <c r="F49" s="83">
        <f t="shared" si="233"/>
        <v>38</v>
      </c>
      <c r="G49" s="83">
        <f t="shared" si="233"/>
        <v>58</v>
      </c>
      <c r="H49" s="83">
        <f t="shared" si="233"/>
        <v>42</v>
      </c>
      <c r="I49" s="83">
        <f t="shared" si="233"/>
        <v>0</v>
      </c>
      <c r="J49" s="83">
        <f t="shared" si="233"/>
        <v>0</v>
      </c>
      <c r="K49" s="83">
        <f t="shared" si="233"/>
        <v>0</v>
      </c>
      <c r="L49" s="83">
        <f t="shared" si="233"/>
        <v>0</v>
      </c>
      <c r="M49" s="83">
        <f t="shared" si="233"/>
        <v>49</v>
      </c>
      <c r="N49" s="83">
        <f t="shared" si="233"/>
        <v>0</v>
      </c>
      <c r="O49" s="83">
        <f t="shared" si="233"/>
        <v>0</v>
      </c>
      <c r="P49" s="83">
        <f t="shared" si="233"/>
        <v>0</v>
      </c>
      <c r="Q49" s="83">
        <f t="shared" si="233"/>
        <v>0</v>
      </c>
      <c r="R49" s="83">
        <f t="shared" si="233"/>
        <v>42</v>
      </c>
      <c r="S49" s="83">
        <f t="shared" si="233"/>
        <v>0</v>
      </c>
      <c r="T49" s="83">
        <f t="shared" si="233"/>
        <v>0</v>
      </c>
      <c r="U49" s="83">
        <f t="shared" si="233"/>
        <v>0</v>
      </c>
      <c r="V49" s="83">
        <f t="shared" si="233"/>
        <v>0</v>
      </c>
      <c r="W49" s="83">
        <f t="shared" si="233"/>
        <v>40</v>
      </c>
      <c r="X49" s="83">
        <f t="shared" si="233"/>
        <v>8</v>
      </c>
      <c r="Y49" s="83">
        <f t="shared" si="233"/>
        <v>11</v>
      </c>
      <c r="Z49" s="83">
        <f t="shared" si="233"/>
        <v>14</v>
      </c>
      <c r="AA49" s="83">
        <f t="shared" si="233"/>
        <v>10</v>
      </c>
      <c r="AB49" s="83">
        <f t="shared" si="233"/>
        <v>42</v>
      </c>
      <c r="AC49" s="83">
        <f t="shared" si="233"/>
        <v>8</v>
      </c>
      <c r="AD49" s="83">
        <f t="shared" si="233"/>
        <v>16</v>
      </c>
      <c r="AE49" s="83">
        <f t="shared" si="233"/>
        <v>19</v>
      </c>
      <c r="AF49" s="83">
        <f t="shared" si="233"/>
        <v>15</v>
      </c>
      <c r="AG49" s="83">
        <f t="shared" si="233"/>
        <v>57.25</v>
      </c>
      <c r="AH49" s="83">
        <f t="shared" si="233"/>
        <v>11</v>
      </c>
      <c r="AI49" s="83">
        <f t="shared" si="233"/>
        <v>14</v>
      </c>
      <c r="AJ49" s="83">
        <f t="shared" si="233"/>
        <v>16</v>
      </c>
      <c r="AK49" s="84">
        <f t="shared" si="233"/>
        <v>18</v>
      </c>
      <c r="AL49" s="83">
        <f t="shared" si="233"/>
        <v>59.133000000000003</v>
      </c>
      <c r="AM49" s="83">
        <f t="shared" si="233"/>
        <v>0</v>
      </c>
      <c r="AN49" s="83">
        <f t="shared" si="233"/>
        <v>0</v>
      </c>
      <c r="AO49" s="83">
        <f t="shared" si="233"/>
        <v>0</v>
      </c>
      <c r="AP49" s="83">
        <f t="shared" si="233"/>
        <v>0</v>
      </c>
      <c r="AQ49" s="83">
        <f t="shared" si="233"/>
        <v>65.046300000000002</v>
      </c>
      <c r="AR49" s="83">
        <f t="shared" si="233"/>
        <v>0</v>
      </c>
      <c r="AS49" s="83">
        <f t="shared" si="233"/>
        <v>0</v>
      </c>
      <c r="AT49" s="83">
        <f t="shared" si="233"/>
        <v>0</v>
      </c>
      <c r="AU49" s="83">
        <f t="shared" si="233"/>
        <v>0</v>
      </c>
      <c r="AV49" s="83">
        <f t="shared" si="233"/>
        <v>71.550930000000008</v>
      </c>
      <c r="AW49" s="83">
        <f t="shared" si="233"/>
        <v>0</v>
      </c>
      <c r="AX49" s="83">
        <f t="shared" si="233"/>
        <v>0</v>
      </c>
      <c r="AY49" s="83">
        <f t="shared" si="233"/>
        <v>0</v>
      </c>
      <c r="AZ49" s="83">
        <f t="shared" si="233"/>
        <v>0</v>
      </c>
      <c r="BA49" s="83">
        <f t="shared" si="233"/>
        <v>78.706023000000016</v>
      </c>
      <c r="BB49" s="178"/>
      <c r="BC49" s="198">
        <v>0</v>
      </c>
      <c r="BD49" s="199"/>
    </row>
    <row r="50" spans="1:65" s="27" customFormat="1" ht="15" customHeight="1" x14ac:dyDescent="0.25">
      <c r="A50" s="26"/>
      <c r="B50" s="25" t="s">
        <v>26</v>
      </c>
      <c r="C50" s="83">
        <f>C33</f>
        <v>0</v>
      </c>
      <c r="D50" s="83">
        <f t="shared" ref="D50:BA50" si="234">D33</f>
        <v>0</v>
      </c>
      <c r="E50" s="83">
        <f t="shared" si="234"/>
        <v>0</v>
      </c>
      <c r="F50" s="83">
        <f t="shared" si="234"/>
        <v>0</v>
      </c>
      <c r="G50" s="83">
        <f t="shared" si="234"/>
        <v>0</v>
      </c>
      <c r="H50" s="83">
        <f t="shared" si="234"/>
        <v>0</v>
      </c>
      <c r="I50" s="83">
        <f t="shared" si="234"/>
        <v>0</v>
      </c>
      <c r="J50" s="83">
        <f t="shared" si="234"/>
        <v>0</v>
      </c>
      <c r="K50" s="83">
        <f t="shared" si="234"/>
        <v>0</v>
      </c>
      <c r="L50" s="83">
        <f t="shared" si="234"/>
        <v>0</v>
      </c>
      <c r="M50" s="83">
        <f t="shared" si="234"/>
        <v>15</v>
      </c>
      <c r="N50" s="83">
        <f t="shared" si="234"/>
        <v>0</v>
      </c>
      <c r="O50" s="83">
        <f t="shared" si="234"/>
        <v>0</v>
      </c>
      <c r="P50" s="83">
        <f t="shared" si="234"/>
        <v>0</v>
      </c>
      <c r="Q50" s="83">
        <f t="shared" si="234"/>
        <v>0</v>
      </c>
      <c r="R50" s="83">
        <f t="shared" si="234"/>
        <v>15</v>
      </c>
      <c r="S50" s="83">
        <f t="shared" si="234"/>
        <v>0</v>
      </c>
      <c r="T50" s="83">
        <f t="shared" si="234"/>
        <v>0</v>
      </c>
      <c r="U50" s="83">
        <f t="shared" si="234"/>
        <v>0</v>
      </c>
      <c r="V50" s="83">
        <f t="shared" si="234"/>
        <v>0</v>
      </c>
      <c r="W50" s="83">
        <f t="shared" si="234"/>
        <v>16</v>
      </c>
      <c r="X50" s="83">
        <f t="shared" si="234"/>
        <v>5</v>
      </c>
      <c r="Y50" s="83">
        <f t="shared" si="234"/>
        <v>4</v>
      </c>
      <c r="Z50" s="83">
        <f t="shared" si="234"/>
        <v>5</v>
      </c>
      <c r="AA50" s="83">
        <f t="shared" si="234"/>
        <v>3</v>
      </c>
      <c r="AB50" s="83">
        <f t="shared" si="234"/>
        <v>17</v>
      </c>
      <c r="AC50" s="83">
        <f t="shared" si="234"/>
        <v>5</v>
      </c>
      <c r="AD50" s="83">
        <f t="shared" si="234"/>
        <v>4</v>
      </c>
      <c r="AE50" s="83">
        <f t="shared" si="234"/>
        <v>5</v>
      </c>
      <c r="AF50" s="83">
        <f t="shared" si="234"/>
        <v>3</v>
      </c>
      <c r="AG50" s="83">
        <f t="shared" si="234"/>
        <v>16.876999999999999</v>
      </c>
      <c r="AH50" s="83">
        <f t="shared" si="234"/>
        <v>5</v>
      </c>
      <c r="AI50" s="83">
        <f t="shared" si="234"/>
        <v>4</v>
      </c>
      <c r="AJ50" s="83">
        <f t="shared" si="234"/>
        <v>5</v>
      </c>
      <c r="AK50" s="84">
        <f t="shared" si="234"/>
        <v>3</v>
      </c>
      <c r="AL50" s="83">
        <f t="shared" si="234"/>
        <v>16.795999999999999</v>
      </c>
      <c r="AM50" s="83">
        <f t="shared" si="234"/>
        <v>0</v>
      </c>
      <c r="AN50" s="83">
        <f t="shared" si="234"/>
        <v>0</v>
      </c>
      <c r="AO50" s="83">
        <f t="shared" si="234"/>
        <v>0</v>
      </c>
      <c r="AP50" s="83">
        <f t="shared" si="234"/>
        <v>0</v>
      </c>
      <c r="AQ50" s="83">
        <f t="shared" si="234"/>
        <v>16.96396</v>
      </c>
      <c r="AR50" s="83">
        <f t="shared" si="234"/>
        <v>0</v>
      </c>
      <c r="AS50" s="83">
        <f t="shared" si="234"/>
        <v>0</v>
      </c>
      <c r="AT50" s="83">
        <f t="shared" si="234"/>
        <v>0</v>
      </c>
      <c r="AU50" s="83">
        <f t="shared" si="234"/>
        <v>0</v>
      </c>
      <c r="AV50" s="83">
        <f t="shared" si="234"/>
        <v>17.1335996</v>
      </c>
      <c r="AW50" s="83">
        <f t="shared" si="234"/>
        <v>0</v>
      </c>
      <c r="AX50" s="83">
        <f t="shared" si="234"/>
        <v>0</v>
      </c>
      <c r="AY50" s="83">
        <f t="shared" si="234"/>
        <v>0</v>
      </c>
      <c r="AZ50" s="83">
        <f t="shared" si="234"/>
        <v>0</v>
      </c>
      <c r="BA50" s="83">
        <f t="shared" si="234"/>
        <v>17.304935596</v>
      </c>
      <c r="BB50" s="178"/>
      <c r="BC50" s="198">
        <v>0</v>
      </c>
      <c r="BD50" s="199"/>
    </row>
    <row r="51" spans="1:65" s="10" customFormat="1" ht="15" customHeight="1" x14ac:dyDescent="0.25">
      <c r="A51" s="9"/>
      <c r="B51" s="77" t="s">
        <v>18</v>
      </c>
      <c r="C51" s="143">
        <f>SUM(C47:C50)</f>
        <v>861</v>
      </c>
      <c r="D51" s="143">
        <f t="shared" ref="D51:BA51" si="235">SUM(D47:D50)</f>
        <v>942</v>
      </c>
      <c r="E51" s="143">
        <f t="shared" si="235"/>
        <v>925</v>
      </c>
      <c r="F51" s="143">
        <f t="shared" si="235"/>
        <v>954</v>
      </c>
      <c r="G51" s="143">
        <f t="shared" si="235"/>
        <v>906</v>
      </c>
      <c r="H51" s="143">
        <f t="shared" si="235"/>
        <v>900</v>
      </c>
      <c r="I51" s="143">
        <f t="shared" si="235"/>
        <v>0</v>
      </c>
      <c r="J51" s="143">
        <f t="shared" si="235"/>
        <v>0</v>
      </c>
      <c r="K51" s="143">
        <f t="shared" si="235"/>
        <v>0</v>
      </c>
      <c r="L51" s="143">
        <f t="shared" si="235"/>
        <v>0</v>
      </c>
      <c r="M51" s="143">
        <f t="shared" si="235"/>
        <v>976</v>
      </c>
      <c r="N51" s="143">
        <f t="shared" si="235"/>
        <v>0</v>
      </c>
      <c r="O51" s="143">
        <f t="shared" si="235"/>
        <v>0</v>
      </c>
      <c r="P51" s="143">
        <f t="shared" si="235"/>
        <v>0</v>
      </c>
      <c r="Q51" s="143">
        <f t="shared" si="235"/>
        <v>0</v>
      </c>
      <c r="R51" s="143">
        <f t="shared" si="235"/>
        <v>1013</v>
      </c>
      <c r="S51" s="143">
        <f t="shared" si="235"/>
        <v>0</v>
      </c>
      <c r="T51" s="143">
        <f t="shared" si="235"/>
        <v>0</v>
      </c>
      <c r="U51" s="143">
        <f t="shared" si="235"/>
        <v>0</v>
      </c>
      <c r="V51" s="143">
        <f t="shared" si="235"/>
        <v>0</v>
      </c>
      <c r="W51" s="143">
        <f t="shared" si="235"/>
        <v>1070</v>
      </c>
      <c r="X51" s="144">
        <f t="shared" si="235"/>
        <v>88</v>
      </c>
      <c r="Y51" s="145">
        <f t="shared" si="235"/>
        <v>365</v>
      </c>
      <c r="Z51" s="145">
        <f t="shared" si="235"/>
        <v>505</v>
      </c>
      <c r="AA51" s="145">
        <f t="shared" si="235"/>
        <v>154</v>
      </c>
      <c r="AB51" s="145">
        <f t="shared" si="235"/>
        <v>1110</v>
      </c>
      <c r="AC51" s="143">
        <f t="shared" si="235"/>
        <v>74</v>
      </c>
      <c r="AD51" s="143">
        <f t="shared" si="235"/>
        <v>377</v>
      </c>
      <c r="AE51" s="143">
        <f t="shared" si="235"/>
        <v>542</v>
      </c>
      <c r="AF51" s="143">
        <f t="shared" si="235"/>
        <v>185</v>
      </c>
      <c r="AG51" s="143">
        <f t="shared" si="235"/>
        <v>1175.7929999999999</v>
      </c>
      <c r="AH51" s="143">
        <f t="shared" si="235"/>
        <v>85</v>
      </c>
      <c r="AI51" s="143">
        <f t="shared" si="235"/>
        <v>386</v>
      </c>
      <c r="AJ51" s="143">
        <f t="shared" si="235"/>
        <v>575</v>
      </c>
      <c r="AK51" s="143">
        <f t="shared" si="235"/>
        <v>219</v>
      </c>
      <c r="AL51" s="143">
        <f t="shared" si="235"/>
        <v>1263.9380000000001</v>
      </c>
      <c r="AM51" s="143">
        <f t="shared" si="235"/>
        <v>0</v>
      </c>
      <c r="AN51" s="143">
        <f t="shared" si="235"/>
        <v>0</v>
      </c>
      <c r="AO51" s="143">
        <f t="shared" si="235"/>
        <v>0</v>
      </c>
      <c r="AP51" s="143">
        <f t="shared" si="235"/>
        <v>0</v>
      </c>
      <c r="AQ51" s="143">
        <f t="shared" si="235"/>
        <v>1341.2998</v>
      </c>
      <c r="AR51" s="143">
        <f t="shared" si="235"/>
        <v>0</v>
      </c>
      <c r="AS51" s="143">
        <f t="shared" si="235"/>
        <v>0</v>
      </c>
      <c r="AT51" s="143">
        <f t="shared" si="235"/>
        <v>0</v>
      </c>
      <c r="AU51" s="143">
        <f t="shared" si="235"/>
        <v>0</v>
      </c>
      <c r="AV51" s="143">
        <f t="shared" si="235"/>
        <v>1398.3456512000002</v>
      </c>
      <c r="AW51" s="143">
        <f t="shared" si="235"/>
        <v>0</v>
      </c>
      <c r="AX51" s="143">
        <f t="shared" si="235"/>
        <v>0</v>
      </c>
      <c r="AY51" s="143">
        <f t="shared" si="235"/>
        <v>0</v>
      </c>
      <c r="AZ51" s="143">
        <f t="shared" si="235"/>
        <v>0</v>
      </c>
      <c r="BA51" s="223">
        <f t="shared" si="235"/>
        <v>1431.8653026279999</v>
      </c>
      <c r="BB51" s="188"/>
      <c r="BC51" s="198">
        <v>0</v>
      </c>
      <c r="BD51" s="9"/>
    </row>
    <row r="52" spans="1:65" s="42" customFormat="1" ht="15" customHeight="1" x14ac:dyDescent="0.25">
      <c r="A52" s="38"/>
      <c r="B52" s="219" t="s">
        <v>21</v>
      </c>
      <c r="C52" s="73"/>
      <c r="D52" s="73">
        <f t="shared" ref="D52" si="236">D51/C51-1</f>
        <v>9.4076655052264702E-2</v>
      </c>
      <c r="E52" s="73">
        <f t="shared" ref="E52" si="237">E51/D51-1</f>
        <v>-1.8046709129511673E-2</v>
      </c>
      <c r="F52" s="73">
        <f t="shared" ref="F52" si="238">F51/E51-1</f>
        <v>3.1351351351351253E-2</v>
      </c>
      <c r="G52" s="73">
        <f t="shared" ref="G52" si="239">G51/F51-1</f>
        <v>-5.031446540880502E-2</v>
      </c>
      <c r="H52" s="73">
        <f>H51/G51-1</f>
        <v>-6.6225165562914245E-3</v>
      </c>
      <c r="I52" s="73"/>
      <c r="J52" s="73"/>
      <c r="K52" s="73"/>
      <c r="L52" s="73"/>
      <c r="M52" s="73">
        <f>M51/H51-1</f>
        <v>8.4444444444444544E-2</v>
      </c>
      <c r="N52" s="73" t="e">
        <f t="shared" ref="N52" si="240">N51/I51-1</f>
        <v>#DIV/0!</v>
      </c>
      <c r="O52" s="73" t="e">
        <f t="shared" ref="O52" si="241">O51/J51-1</f>
        <v>#DIV/0!</v>
      </c>
      <c r="P52" s="73" t="e">
        <f t="shared" ref="P52" si="242">P51/K51-1</f>
        <v>#DIV/0!</v>
      </c>
      <c r="Q52" s="73" t="e">
        <f t="shared" ref="Q52" si="243">Q51/L51-1</f>
        <v>#DIV/0!</v>
      </c>
      <c r="R52" s="73">
        <f t="shared" ref="R52" si="244">R51/M51-1</f>
        <v>3.7909836065573854E-2</v>
      </c>
      <c r="S52" s="73" t="e">
        <f t="shared" ref="S52" si="245">S51/N51-1</f>
        <v>#DIV/0!</v>
      </c>
      <c r="T52" s="73" t="e">
        <f t="shared" ref="T52" si="246">T51/O51-1</f>
        <v>#DIV/0!</v>
      </c>
      <c r="U52" s="73" t="e">
        <f t="shared" ref="U52" si="247">U51/P51-1</f>
        <v>#DIV/0!</v>
      </c>
      <c r="V52" s="73" t="e">
        <f t="shared" ref="V52" si="248">V51/Q51-1</f>
        <v>#DIV/0!</v>
      </c>
      <c r="W52" s="73">
        <f t="shared" ref="W52" si="249">W51/R51-1</f>
        <v>5.6268509378084808E-2</v>
      </c>
      <c r="X52" s="85" t="e">
        <f t="shared" ref="X52" si="250">X51/S51-1</f>
        <v>#DIV/0!</v>
      </c>
      <c r="Y52" s="85" t="e">
        <f t="shared" ref="Y52" si="251">Y51/T51-1</f>
        <v>#DIV/0!</v>
      </c>
      <c r="Z52" s="85" t="e">
        <f t="shared" ref="Z52" si="252">Z51/U51-1</f>
        <v>#DIV/0!</v>
      </c>
      <c r="AA52" s="85" t="e">
        <f t="shared" ref="AA52" si="253">AA51/V51-1</f>
        <v>#DIV/0!</v>
      </c>
      <c r="AB52" s="85">
        <f t="shared" ref="AB52" si="254">AB51/W51-1</f>
        <v>3.7383177570093462E-2</v>
      </c>
      <c r="AC52" s="85">
        <f t="shared" ref="AC52" si="255">AC51/X51-1</f>
        <v>-0.15909090909090906</v>
      </c>
      <c r="AD52" s="85">
        <f t="shared" ref="AD52" si="256">AD51/Y51-1</f>
        <v>3.287671232876721E-2</v>
      </c>
      <c r="AE52" s="85">
        <f t="shared" ref="AE52" si="257">AE51/Z51-1</f>
        <v>7.3267326732673332E-2</v>
      </c>
      <c r="AF52" s="85">
        <f t="shared" ref="AF52" si="258">AF51/AA51-1</f>
        <v>0.20129870129870131</v>
      </c>
      <c r="AG52" s="85">
        <f t="shared" ref="AG52" si="259">AG51/AB51-1</f>
        <v>5.9272972972972848E-2</v>
      </c>
      <c r="AH52" s="85">
        <f t="shared" ref="AH52" si="260">AH51/AC51-1</f>
        <v>0.14864864864864868</v>
      </c>
      <c r="AI52" s="85">
        <f t="shared" ref="AI52" si="261">AI51/AD51-1</f>
        <v>2.3872679045092937E-2</v>
      </c>
      <c r="AJ52" s="85">
        <f t="shared" ref="AJ52" si="262">AJ51/AE51-1</f>
        <v>6.0885608856088513E-2</v>
      </c>
      <c r="AK52" s="85">
        <f t="shared" ref="AK52" si="263">AK51/AF51-1</f>
        <v>0.18378378378378368</v>
      </c>
      <c r="AL52" s="85">
        <f t="shared" ref="AL52" si="264">AL51/AG51-1</f>
        <v>7.4966426913581019E-2</v>
      </c>
      <c r="AM52" s="85">
        <f t="shared" ref="AM52" si="265">AM51/AH51-1</f>
        <v>-1</v>
      </c>
      <c r="AN52" s="85">
        <f t="shared" ref="AN52" si="266">AN51/AI51-1</f>
        <v>-1</v>
      </c>
      <c r="AO52" s="85">
        <f t="shared" ref="AO52" si="267">AO51/AJ51-1</f>
        <v>-1</v>
      </c>
      <c r="AP52" s="85">
        <f t="shared" ref="AP52" si="268">AP51/AK51-1</f>
        <v>-1</v>
      </c>
      <c r="AQ52" s="85">
        <f t="shared" ref="AQ52" si="269">AQ51/AL51-1</f>
        <v>6.1206957936227768E-2</v>
      </c>
      <c r="AR52" s="85" t="e">
        <f t="shared" ref="AR52" si="270">AR51/AM51-1</f>
        <v>#DIV/0!</v>
      </c>
      <c r="AS52" s="85" t="e">
        <f t="shared" ref="AS52" si="271">AS51/AN51-1</f>
        <v>#DIV/0!</v>
      </c>
      <c r="AT52" s="85" t="e">
        <f t="shared" ref="AT52" si="272">AT51/AO51-1</f>
        <v>#DIV/0!</v>
      </c>
      <c r="AU52" s="85" t="e">
        <f t="shared" ref="AU52" si="273">AU51/AP51-1</f>
        <v>#DIV/0!</v>
      </c>
      <c r="AV52" s="85">
        <f t="shared" ref="AV52" si="274">AV51/AQ51-1</f>
        <v>4.2530276378182075E-2</v>
      </c>
      <c r="AW52" s="85" t="e">
        <f t="shared" ref="AW52" si="275">AW51/AR51-1</f>
        <v>#DIV/0!</v>
      </c>
      <c r="AX52" s="85" t="e">
        <f t="shared" ref="AX52" si="276">AX51/AS51-1</f>
        <v>#DIV/0!</v>
      </c>
      <c r="AY52" s="85" t="e">
        <f t="shared" ref="AY52" si="277">AY51/AT51-1</f>
        <v>#DIV/0!</v>
      </c>
      <c r="AZ52" s="85" t="e">
        <f t="shared" ref="AZ52" si="278">AZ51/AU51-1</f>
        <v>#DIV/0!</v>
      </c>
      <c r="BA52" s="85">
        <f t="shared" ref="BA52" si="279">BA51/AV51-1</f>
        <v>2.3970934081451567E-2</v>
      </c>
      <c r="BB52" s="183"/>
      <c r="BC52" s="198">
        <v>0</v>
      </c>
      <c r="BD52" s="38"/>
    </row>
    <row r="53" spans="1:65" s="10" customFormat="1" ht="15" customHeight="1" collapsed="1" x14ac:dyDescent="0.25">
      <c r="A53" s="9"/>
      <c r="B53" s="110" t="s">
        <v>76</v>
      </c>
      <c r="C53" s="83">
        <v>352</v>
      </c>
      <c r="D53" s="83">
        <v>381</v>
      </c>
      <c r="E53" s="83">
        <v>400</v>
      </c>
      <c r="F53" s="83">
        <v>416</v>
      </c>
      <c r="G53" s="83">
        <v>408</v>
      </c>
      <c r="H53" s="83">
        <v>414</v>
      </c>
      <c r="I53" s="83"/>
      <c r="J53" s="83"/>
      <c r="K53" s="83"/>
      <c r="L53" s="83"/>
      <c r="M53" s="83">
        <v>408</v>
      </c>
      <c r="N53" s="83"/>
      <c r="O53" s="83"/>
      <c r="P53" s="83"/>
      <c r="Q53" s="83"/>
      <c r="R53" s="83">
        <v>398</v>
      </c>
      <c r="S53" s="83"/>
      <c r="T53" s="83"/>
      <c r="U53" s="83"/>
      <c r="V53" s="83"/>
      <c r="W53" s="83">
        <v>412</v>
      </c>
      <c r="X53" s="92"/>
      <c r="Y53" s="92"/>
      <c r="Z53" s="92"/>
      <c r="AA53" s="92"/>
      <c r="AB53" s="92">
        <v>417</v>
      </c>
      <c r="AC53" s="83"/>
      <c r="AD53" s="83"/>
      <c r="AE53" s="83"/>
      <c r="AF53" s="83"/>
      <c r="AG53" s="83">
        <v>437.43099999999998</v>
      </c>
      <c r="AH53" s="83">
        <v>83</v>
      </c>
      <c r="AI53" s="83">
        <v>133</v>
      </c>
      <c r="AJ53" s="83">
        <v>153</v>
      </c>
      <c r="AK53" s="83">
        <v>96</v>
      </c>
      <c r="AL53" s="83">
        <v>465.21899999999999</v>
      </c>
      <c r="AM53" s="83"/>
      <c r="AN53" s="83"/>
      <c r="AO53" s="83"/>
      <c r="AP53" s="83"/>
      <c r="AQ53" s="83">
        <f>AQ55*AQ51</f>
        <v>492.25702660000002</v>
      </c>
      <c r="AR53" s="83"/>
      <c r="AS53" s="83"/>
      <c r="AT53" s="83"/>
      <c r="AU53" s="83"/>
      <c r="AV53" s="83">
        <f>AV55*AV51</f>
        <v>511.79450833920009</v>
      </c>
      <c r="AW53" s="83"/>
      <c r="AX53" s="83"/>
      <c r="AY53" s="83"/>
      <c r="AZ53" s="83"/>
      <c r="BA53" s="83">
        <f>BA55*BA51</f>
        <v>522.63083545921995</v>
      </c>
      <c r="BB53" s="189"/>
      <c r="BC53" s="198">
        <v>0</v>
      </c>
      <c r="BD53" s="201"/>
      <c r="BE53" s="91"/>
    </row>
    <row r="54" spans="1:65" s="42" customFormat="1" ht="15" customHeight="1" x14ac:dyDescent="0.25">
      <c r="A54" s="38"/>
      <c r="B54" s="219" t="s">
        <v>21</v>
      </c>
      <c r="C54" s="73"/>
      <c r="D54" s="73">
        <f t="shared" ref="D54" si="280">D53/C53-1</f>
        <v>8.2386363636363535E-2</v>
      </c>
      <c r="E54" s="73">
        <f t="shared" ref="E54" si="281">E53/D53-1</f>
        <v>4.986876640419946E-2</v>
      </c>
      <c r="F54" s="73">
        <f t="shared" ref="F54" si="282">F53/E53-1</f>
        <v>4.0000000000000036E-2</v>
      </c>
      <c r="G54" s="73">
        <f t="shared" ref="G54" si="283">G53/F53-1</f>
        <v>-1.9230769230769273E-2</v>
      </c>
      <c r="H54" s="73">
        <f>H53/G53-1</f>
        <v>1.4705882352941124E-2</v>
      </c>
      <c r="I54" s="73"/>
      <c r="J54" s="73"/>
      <c r="K54" s="73"/>
      <c r="L54" s="73"/>
      <c r="M54" s="73">
        <f>M53/H53-1</f>
        <v>-1.4492753623188359E-2</v>
      </c>
      <c r="N54" s="73" t="e">
        <f t="shared" ref="N54" si="284">N53/I53-1</f>
        <v>#DIV/0!</v>
      </c>
      <c r="O54" s="73" t="e">
        <f t="shared" ref="O54" si="285">O53/J53-1</f>
        <v>#DIV/0!</v>
      </c>
      <c r="P54" s="73" t="e">
        <f t="shared" ref="P54" si="286">P53/K53-1</f>
        <v>#DIV/0!</v>
      </c>
      <c r="Q54" s="73" t="e">
        <f t="shared" ref="Q54" si="287">Q53/L53-1</f>
        <v>#DIV/0!</v>
      </c>
      <c r="R54" s="73">
        <f t="shared" ref="R54" si="288">R53/M53-1</f>
        <v>-2.4509803921568651E-2</v>
      </c>
      <c r="S54" s="73" t="e">
        <f t="shared" ref="S54" si="289">S53/N53-1</f>
        <v>#DIV/0!</v>
      </c>
      <c r="T54" s="73" t="e">
        <f t="shared" ref="T54" si="290">T53/O53-1</f>
        <v>#DIV/0!</v>
      </c>
      <c r="U54" s="73" t="e">
        <f t="shared" ref="U54" si="291">U53/P53-1</f>
        <v>#DIV/0!</v>
      </c>
      <c r="V54" s="73" t="e">
        <f t="shared" ref="V54" si="292">V53/Q53-1</f>
        <v>#DIV/0!</v>
      </c>
      <c r="W54" s="73">
        <f t="shared" ref="W54" si="293">W53/R53-1</f>
        <v>3.5175879396984966E-2</v>
      </c>
      <c r="X54" s="85" t="e">
        <f t="shared" ref="X54" si="294">X53/S53-1</f>
        <v>#DIV/0!</v>
      </c>
      <c r="Y54" s="85" t="e">
        <f t="shared" ref="Y54" si="295">Y53/T53-1</f>
        <v>#DIV/0!</v>
      </c>
      <c r="Z54" s="85" t="e">
        <f t="shared" ref="Z54" si="296">Z53/U53-1</f>
        <v>#DIV/0!</v>
      </c>
      <c r="AA54" s="85" t="e">
        <f t="shared" ref="AA54" si="297">AA53/V53-1</f>
        <v>#DIV/0!</v>
      </c>
      <c r="AB54" s="85">
        <f t="shared" ref="AB54" si="298">AB53/W53-1</f>
        <v>1.2135922330097193E-2</v>
      </c>
      <c r="AC54" s="85" t="e">
        <f t="shared" ref="AC54" si="299">AC53/X53-1</f>
        <v>#DIV/0!</v>
      </c>
      <c r="AD54" s="85" t="e">
        <f t="shared" ref="AD54" si="300">AD53/Y53-1</f>
        <v>#DIV/0!</v>
      </c>
      <c r="AE54" s="85" t="e">
        <f t="shared" ref="AE54" si="301">AE53/Z53-1</f>
        <v>#DIV/0!</v>
      </c>
      <c r="AF54" s="85" t="e">
        <f t="shared" ref="AF54" si="302">AF53/AA53-1</f>
        <v>#DIV/0!</v>
      </c>
      <c r="AG54" s="85">
        <f t="shared" ref="AG54" si="303">AG53/AB53-1</f>
        <v>4.8995203836930346E-2</v>
      </c>
      <c r="AH54" s="85" t="e">
        <f t="shared" ref="AH54" si="304">AH53/AC53-1</f>
        <v>#DIV/0!</v>
      </c>
      <c r="AI54" s="85" t="e">
        <f t="shared" ref="AI54" si="305">AI53/AD53-1</f>
        <v>#DIV/0!</v>
      </c>
      <c r="AJ54" s="85" t="e">
        <f t="shared" ref="AJ54" si="306">AJ53/AE53-1</f>
        <v>#DIV/0!</v>
      </c>
      <c r="AK54" s="85" t="e">
        <f t="shared" ref="AK54" si="307">AK53/AF53-1</f>
        <v>#DIV/0!</v>
      </c>
      <c r="AL54" s="85">
        <f t="shared" ref="AL54" si="308">AL53/AG53-1</f>
        <v>6.3525447441996619E-2</v>
      </c>
      <c r="AM54" s="85">
        <f t="shared" ref="AM54" si="309">AM53/AH53-1</f>
        <v>-1</v>
      </c>
      <c r="AN54" s="85">
        <f t="shared" ref="AN54" si="310">AN53/AI53-1</f>
        <v>-1</v>
      </c>
      <c r="AO54" s="85">
        <f t="shared" ref="AO54" si="311">AO53/AJ53-1</f>
        <v>-1</v>
      </c>
      <c r="AP54" s="85">
        <f t="shared" ref="AP54" si="312">AP53/AK53-1</f>
        <v>-1</v>
      </c>
      <c r="AQ54" s="85">
        <f t="shared" ref="AQ54" si="313">AQ53/AL53-1</f>
        <v>5.8118921626158837E-2</v>
      </c>
      <c r="AR54" s="85" t="e">
        <f t="shared" ref="AR54" si="314">AR53/AM53-1</f>
        <v>#DIV/0!</v>
      </c>
      <c r="AS54" s="85" t="e">
        <f t="shared" ref="AS54" si="315">AS53/AN53-1</f>
        <v>#DIV/0!</v>
      </c>
      <c r="AT54" s="85" t="e">
        <f t="shared" ref="AT54" si="316">AT53/AO53-1</f>
        <v>#DIV/0!</v>
      </c>
      <c r="AU54" s="85" t="e">
        <f t="shared" ref="AU54" si="317">AU53/AP53-1</f>
        <v>#DIV/0!</v>
      </c>
      <c r="AV54" s="85">
        <f t="shared" ref="AV54" si="318">AV53/AQ53-1</f>
        <v>3.9689594426197905E-2</v>
      </c>
      <c r="AW54" s="85" t="e">
        <f t="shared" ref="AW54" si="319">AW53/AR53-1</f>
        <v>#DIV/0!</v>
      </c>
      <c r="AX54" s="85" t="e">
        <f t="shared" ref="AX54" si="320">AX53/AS53-1</f>
        <v>#DIV/0!</v>
      </c>
      <c r="AY54" s="85" t="e">
        <f t="shared" ref="AY54" si="321">AY53/AT53-1</f>
        <v>#DIV/0!</v>
      </c>
      <c r="AZ54" s="85" t="e">
        <f t="shared" ref="AZ54" si="322">AZ53/AU53-1</f>
        <v>#DIV/0!</v>
      </c>
      <c r="BA54" s="85">
        <f t="shared" ref="BA54" si="323">BA53/AV53-1</f>
        <v>2.1173199288879285E-2</v>
      </c>
      <c r="BB54" s="183"/>
      <c r="BC54" s="198">
        <v>0</v>
      </c>
      <c r="BD54" s="38"/>
    </row>
    <row r="55" spans="1:65" s="97" customFormat="1" ht="15" customHeight="1" x14ac:dyDescent="0.25">
      <c r="A55" s="94"/>
      <c r="B55" s="219" t="s">
        <v>31</v>
      </c>
      <c r="C55" s="73">
        <f>C53/C51</f>
        <v>0.40882694541231129</v>
      </c>
      <c r="D55" s="73">
        <f t="shared" ref="D55:AZ55" si="324">D53/D51</f>
        <v>0.40445859872611467</v>
      </c>
      <c r="E55" s="73">
        <f t="shared" si="324"/>
        <v>0.43243243243243246</v>
      </c>
      <c r="F55" s="73">
        <f t="shared" si="324"/>
        <v>0.4360587002096436</v>
      </c>
      <c r="G55" s="73">
        <f t="shared" si="324"/>
        <v>0.45033112582781459</v>
      </c>
      <c r="H55" s="73">
        <f t="shared" si="324"/>
        <v>0.46</v>
      </c>
      <c r="I55" s="73" t="e">
        <f t="shared" si="324"/>
        <v>#DIV/0!</v>
      </c>
      <c r="J55" s="73" t="e">
        <f t="shared" si="324"/>
        <v>#DIV/0!</v>
      </c>
      <c r="K55" s="73" t="e">
        <f t="shared" si="324"/>
        <v>#DIV/0!</v>
      </c>
      <c r="L55" s="73" t="e">
        <f t="shared" si="324"/>
        <v>#DIV/0!</v>
      </c>
      <c r="M55" s="73">
        <f t="shared" si="324"/>
        <v>0.41803278688524592</v>
      </c>
      <c r="N55" s="73" t="e">
        <f t="shared" si="324"/>
        <v>#DIV/0!</v>
      </c>
      <c r="O55" s="73" t="e">
        <f t="shared" si="324"/>
        <v>#DIV/0!</v>
      </c>
      <c r="P55" s="73" t="e">
        <f t="shared" si="324"/>
        <v>#DIV/0!</v>
      </c>
      <c r="Q55" s="73" t="e">
        <f t="shared" si="324"/>
        <v>#DIV/0!</v>
      </c>
      <c r="R55" s="73">
        <f t="shared" si="324"/>
        <v>0.39289239881539978</v>
      </c>
      <c r="S55" s="73" t="e">
        <f t="shared" si="324"/>
        <v>#DIV/0!</v>
      </c>
      <c r="T55" s="73" t="e">
        <f t="shared" si="324"/>
        <v>#DIV/0!</v>
      </c>
      <c r="U55" s="73" t="e">
        <f t="shared" si="324"/>
        <v>#DIV/0!</v>
      </c>
      <c r="V55" s="73" t="e">
        <f t="shared" si="324"/>
        <v>#DIV/0!</v>
      </c>
      <c r="W55" s="73">
        <f t="shared" si="324"/>
        <v>0.38504672897196263</v>
      </c>
      <c r="X55" s="85">
        <f t="shared" si="324"/>
        <v>0</v>
      </c>
      <c r="Y55" s="85">
        <f t="shared" si="324"/>
        <v>0</v>
      </c>
      <c r="Z55" s="85">
        <f t="shared" si="324"/>
        <v>0</v>
      </c>
      <c r="AA55" s="85">
        <f t="shared" si="324"/>
        <v>0</v>
      </c>
      <c r="AB55" s="85">
        <f t="shared" si="324"/>
        <v>0.37567567567567567</v>
      </c>
      <c r="AC55" s="85">
        <f t="shared" si="324"/>
        <v>0</v>
      </c>
      <c r="AD55" s="85">
        <f t="shared" si="324"/>
        <v>0</v>
      </c>
      <c r="AE55" s="85">
        <f t="shared" si="324"/>
        <v>0</v>
      </c>
      <c r="AF55" s="85">
        <f t="shared" si="324"/>
        <v>0</v>
      </c>
      <c r="AG55" s="85">
        <f t="shared" si="324"/>
        <v>0.37203062103618584</v>
      </c>
      <c r="AH55" s="85">
        <f t="shared" si="324"/>
        <v>0.97647058823529409</v>
      </c>
      <c r="AI55" s="85">
        <f t="shared" si="324"/>
        <v>0.34455958549222798</v>
      </c>
      <c r="AJ55" s="85">
        <f t="shared" si="324"/>
        <v>0.26608695652173914</v>
      </c>
      <c r="AK55" s="85">
        <f t="shared" si="324"/>
        <v>0.43835616438356162</v>
      </c>
      <c r="AL55" s="85">
        <f t="shared" si="324"/>
        <v>0.3680710604475852</v>
      </c>
      <c r="AM55" s="85" t="e">
        <f t="shared" si="324"/>
        <v>#DIV/0!</v>
      </c>
      <c r="AN55" s="85" t="e">
        <f t="shared" si="324"/>
        <v>#DIV/0!</v>
      </c>
      <c r="AO55" s="85" t="e">
        <f t="shared" si="324"/>
        <v>#DIV/0!</v>
      </c>
      <c r="AP55" s="85" t="e">
        <f t="shared" si="324"/>
        <v>#DIV/0!</v>
      </c>
      <c r="AQ55" s="299">
        <f>Drivers!J20</f>
        <v>0.36699999999999999</v>
      </c>
      <c r="AR55" s="299" t="e">
        <f t="shared" si="324"/>
        <v>#DIV/0!</v>
      </c>
      <c r="AS55" s="299" t="e">
        <f t="shared" si="324"/>
        <v>#DIV/0!</v>
      </c>
      <c r="AT55" s="299" t="e">
        <f t="shared" si="324"/>
        <v>#DIV/0!</v>
      </c>
      <c r="AU55" s="299" t="e">
        <f t="shared" si="324"/>
        <v>#DIV/0!</v>
      </c>
      <c r="AV55" s="299">
        <f>Drivers!O20</f>
        <v>0.36599999999999999</v>
      </c>
      <c r="AW55" s="299" t="e">
        <f t="shared" si="324"/>
        <v>#DIV/0!</v>
      </c>
      <c r="AX55" s="299" t="e">
        <f t="shared" si="324"/>
        <v>#DIV/0!</v>
      </c>
      <c r="AY55" s="299" t="e">
        <f t="shared" si="324"/>
        <v>#DIV/0!</v>
      </c>
      <c r="AZ55" s="299" t="e">
        <f t="shared" si="324"/>
        <v>#DIV/0!</v>
      </c>
      <c r="BA55" s="299">
        <f>Drivers!T20</f>
        <v>0.36499999999999999</v>
      </c>
      <c r="BB55" s="191"/>
      <c r="BC55" s="198">
        <v>0</v>
      </c>
      <c r="BD55" s="94"/>
    </row>
    <row r="56" spans="1:65" s="227" customFormat="1" ht="15" hidden="1" customHeight="1" outlineLevel="1" x14ac:dyDescent="0.25">
      <c r="A56" s="224"/>
      <c r="B56" s="278" t="s">
        <v>257</v>
      </c>
      <c r="C56" s="279"/>
      <c r="D56" s="279"/>
      <c r="E56" s="279"/>
      <c r="F56" s="279"/>
      <c r="G56" s="27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90"/>
      <c r="Y56" s="90"/>
      <c r="Z56" s="90"/>
      <c r="AA56" s="90"/>
      <c r="AB56" s="90">
        <f>67.483-AB60</f>
        <v>40.449000000000005</v>
      </c>
      <c r="AC56" s="90"/>
      <c r="AD56" s="90"/>
      <c r="AE56" s="90"/>
      <c r="AF56" s="90"/>
      <c r="AG56" s="90">
        <f>188.633-AG60</f>
        <v>48.594999999999999</v>
      </c>
      <c r="AH56" s="90"/>
      <c r="AI56" s="90"/>
      <c r="AJ56" s="90"/>
      <c r="AK56" s="90"/>
      <c r="AL56" s="90">
        <f>115.399-AL60</f>
        <v>59.166000000000004</v>
      </c>
      <c r="AM56" s="90"/>
      <c r="AN56" s="90"/>
      <c r="AO56" s="90"/>
      <c r="AP56" s="90"/>
      <c r="AQ56" s="280"/>
      <c r="AR56" s="280"/>
      <c r="AS56" s="280"/>
      <c r="AT56" s="280"/>
      <c r="AU56" s="280"/>
      <c r="AV56" s="280"/>
      <c r="AW56" s="280"/>
      <c r="AX56" s="280"/>
      <c r="AY56" s="280"/>
      <c r="AZ56" s="280"/>
      <c r="BA56" s="280"/>
      <c r="BB56" s="225"/>
      <c r="BC56" s="226"/>
      <c r="BD56" s="224"/>
    </row>
    <row r="57" spans="1:65" s="227" customFormat="1" ht="15" hidden="1" customHeight="1" outlineLevel="1" x14ac:dyDescent="0.25">
      <c r="A57" s="224"/>
      <c r="B57" s="278" t="s">
        <v>258</v>
      </c>
      <c r="C57" s="279"/>
      <c r="D57" s="279"/>
      <c r="E57" s="279"/>
      <c r="F57" s="279"/>
      <c r="G57" s="27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90"/>
      <c r="Y57" s="90"/>
      <c r="Z57" s="90"/>
      <c r="AA57" s="90"/>
      <c r="AB57" s="90">
        <v>121.73</v>
      </c>
      <c r="AC57" s="90"/>
      <c r="AD57" s="90"/>
      <c r="AE57" s="90"/>
      <c r="AF57" s="90"/>
      <c r="AG57" s="90">
        <v>122.322</v>
      </c>
      <c r="AH57" s="90"/>
      <c r="AI57" s="90"/>
      <c r="AJ57" s="90"/>
      <c r="AK57" s="90"/>
      <c r="AL57" s="90">
        <v>119.411</v>
      </c>
      <c r="AM57" s="90"/>
      <c r="AN57" s="90"/>
      <c r="AO57" s="90"/>
      <c r="AP57" s="90"/>
      <c r="AQ57" s="280"/>
      <c r="AR57" s="280"/>
      <c r="AS57" s="280"/>
      <c r="AT57" s="280"/>
      <c r="AU57" s="280"/>
      <c r="AV57" s="280"/>
      <c r="AW57" s="280"/>
      <c r="AX57" s="280"/>
      <c r="AY57" s="280"/>
      <c r="AZ57" s="280"/>
      <c r="BA57" s="280"/>
      <c r="BB57" s="225"/>
      <c r="BC57" s="226"/>
      <c r="BD57" s="224"/>
    </row>
    <row r="58" spans="1:65" s="42" customFormat="1" ht="15" customHeight="1" collapsed="1" x14ac:dyDescent="0.25">
      <c r="A58" s="38"/>
      <c r="B58" s="110" t="s">
        <v>259</v>
      </c>
      <c r="C58" s="83">
        <v>174</v>
      </c>
      <c r="D58" s="83">
        <v>189</v>
      </c>
      <c r="E58" s="83">
        <v>236</v>
      </c>
      <c r="F58" s="83">
        <v>237</v>
      </c>
      <c r="G58" s="83">
        <v>213</v>
      </c>
      <c r="H58" s="83">
        <v>193</v>
      </c>
      <c r="I58" s="83"/>
      <c r="J58" s="83"/>
      <c r="K58" s="83"/>
      <c r="L58" s="83"/>
      <c r="M58" s="83">
        <v>190</v>
      </c>
      <c r="N58" s="83"/>
      <c r="O58" s="83"/>
      <c r="P58" s="83"/>
      <c r="Q58" s="83"/>
      <c r="R58" s="83">
        <v>215</v>
      </c>
      <c r="S58" s="83"/>
      <c r="T58" s="83"/>
      <c r="U58" s="83"/>
      <c r="V58" s="83"/>
      <c r="W58" s="83">
        <v>163.1</v>
      </c>
      <c r="X58" s="92"/>
      <c r="Y58" s="92"/>
      <c r="Z58" s="92"/>
      <c r="AA58" s="92"/>
      <c r="AB58" s="92">
        <v>162</v>
      </c>
      <c r="AC58" s="92"/>
      <c r="AD58" s="92"/>
      <c r="AE58" s="92"/>
      <c r="AF58" s="92"/>
      <c r="AG58" s="92">
        <v>171</v>
      </c>
      <c r="AH58" s="92">
        <v>32</v>
      </c>
      <c r="AI58" s="92">
        <v>51</v>
      </c>
      <c r="AJ58" s="92">
        <v>52</v>
      </c>
      <c r="AK58" s="92">
        <v>43</v>
      </c>
      <c r="AL58" s="92">
        <v>178.6</v>
      </c>
      <c r="AM58" s="92"/>
      <c r="AN58" s="92"/>
      <c r="AO58" s="92"/>
      <c r="AP58" s="92"/>
      <c r="AQ58" s="92">
        <f>AQ59*AQ51</f>
        <v>189.12327179999997</v>
      </c>
      <c r="AR58" s="92"/>
      <c r="AS58" s="92"/>
      <c r="AT58" s="92"/>
      <c r="AU58" s="92"/>
      <c r="AV58" s="92">
        <f>AV59*AV51</f>
        <v>195.76839116800005</v>
      </c>
      <c r="AW58" s="92"/>
      <c r="AX58" s="92"/>
      <c r="AY58" s="92"/>
      <c r="AZ58" s="92"/>
      <c r="BA58" s="92">
        <f>BA59*BA51</f>
        <v>200.46114236791999</v>
      </c>
      <c r="BB58" s="189"/>
      <c r="BC58" s="198">
        <v>0</v>
      </c>
      <c r="BD58" s="202"/>
      <c r="BE58" s="93"/>
      <c r="BF58" s="93"/>
      <c r="BG58" s="93"/>
      <c r="BH58" s="93"/>
      <c r="BI58" s="93"/>
      <c r="BJ58" s="93"/>
      <c r="BK58" s="93"/>
      <c r="BL58" s="93"/>
    </row>
    <row r="59" spans="1:65" s="97" customFormat="1" ht="15" customHeight="1" x14ac:dyDescent="0.25">
      <c r="A59" s="94"/>
      <c r="B59" s="219" t="s">
        <v>31</v>
      </c>
      <c r="C59" s="73">
        <f>C58/C51</f>
        <v>0.20209059233449478</v>
      </c>
      <c r="D59" s="95">
        <f t="shared" ref="D59:AP59" si="325">D58/D51</f>
        <v>0.20063694267515925</v>
      </c>
      <c r="E59" s="95">
        <f t="shared" si="325"/>
        <v>0.25513513513513514</v>
      </c>
      <c r="F59" s="95">
        <f t="shared" si="325"/>
        <v>0.24842767295597484</v>
      </c>
      <c r="G59" s="95">
        <f t="shared" si="325"/>
        <v>0.23509933774834438</v>
      </c>
      <c r="H59" s="95">
        <f t="shared" si="325"/>
        <v>0.21444444444444444</v>
      </c>
      <c r="I59" s="95" t="e">
        <f t="shared" si="325"/>
        <v>#DIV/0!</v>
      </c>
      <c r="J59" s="95" t="e">
        <f t="shared" si="325"/>
        <v>#DIV/0!</v>
      </c>
      <c r="K59" s="95" t="e">
        <f t="shared" si="325"/>
        <v>#DIV/0!</v>
      </c>
      <c r="L59" s="95" t="e">
        <f t="shared" si="325"/>
        <v>#DIV/0!</v>
      </c>
      <c r="M59" s="95">
        <f t="shared" si="325"/>
        <v>0.19467213114754098</v>
      </c>
      <c r="N59" s="95" t="e">
        <f t="shared" si="325"/>
        <v>#DIV/0!</v>
      </c>
      <c r="O59" s="95" t="e">
        <f t="shared" si="325"/>
        <v>#DIV/0!</v>
      </c>
      <c r="P59" s="95" t="e">
        <f t="shared" si="325"/>
        <v>#DIV/0!</v>
      </c>
      <c r="Q59" s="95" t="e">
        <f t="shared" si="325"/>
        <v>#DIV/0!</v>
      </c>
      <c r="R59" s="95">
        <f t="shared" si="325"/>
        <v>0.21224086870681144</v>
      </c>
      <c r="S59" s="95" t="e">
        <f t="shared" si="325"/>
        <v>#DIV/0!</v>
      </c>
      <c r="T59" s="95" t="e">
        <f t="shared" si="325"/>
        <v>#DIV/0!</v>
      </c>
      <c r="U59" s="95" t="e">
        <f t="shared" si="325"/>
        <v>#DIV/0!</v>
      </c>
      <c r="V59" s="95" t="e">
        <f t="shared" si="325"/>
        <v>#DIV/0!</v>
      </c>
      <c r="W59" s="95">
        <f t="shared" si="325"/>
        <v>0.15242990654205607</v>
      </c>
      <c r="X59" s="96">
        <f t="shared" si="325"/>
        <v>0</v>
      </c>
      <c r="Y59" s="96">
        <f t="shared" si="325"/>
        <v>0</v>
      </c>
      <c r="Z59" s="96">
        <f t="shared" si="325"/>
        <v>0</v>
      </c>
      <c r="AA59" s="96">
        <f t="shared" si="325"/>
        <v>0</v>
      </c>
      <c r="AB59" s="96">
        <f t="shared" si="325"/>
        <v>0.14594594594594595</v>
      </c>
      <c r="AC59" s="96">
        <f t="shared" si="325"/>
        <v>0</v>
      </c>
      <c r="AD59" s="96">
        <f t="shared" si="325"/>
        <v>0</v>
      </c>
      <c r="AE59" s="96">
        <f t="shared" si="325"/>
        <v>0</v>
      </c>
      <c r="AF59" s="96">
        <f t="shared" si="325"/>
        <v>0</v>
      </c>
      <c r="AG59" s="96">
        <f t="shared" si="325"/>
        <v>0.1454337625755554</v>
      </c>
      <c r="AH59" s="96">
        <f t="shared" si="325"/>
        <v>0.37647058823529411</v>
      </c>
      <c r="AI59" s="96">
        <f t="shared" si="325"/>
        <v>0.13212435233160622</v>
      </c>
      <c r="AJ59" s="96">
        <f t="shared" si="325"/>
        <v>9.0434782608695655E-2</v>
      </c>
      <c r="AK59" s="96">
        <f t="shared" si="325"/>
        <v>0.19634703196347031</v>
      </c>
      <c r="AL59" s="96">
        <f t="shared" si="325"/>
        <v>0.14130439942465531</v>
      </c>
      <c r="AM59" s="96" t="e">
        <f t="shared" si="325"/>
        <v>#DIV/0!</v>
      </c>
      <c r="AN59" s="96" t="e">
        <f t="shared" si="325"/>
        <v>#DIV/0!</v>
      </c>
      <c r="AO59" s="96" t="e">
        <f t="shared" si="325"/>
        <v>#DIV/0!</v>
      </c>
      <c r="AP59" s="96" t="e">
        <f t="shared" si="325"/>
        <v>#DIV/0!</v>
      </c>
      <c r="AQ59" s="299">
        <f>Drivers!J25</f>
        <v>0.14099999999999999</v>
      </c>
      <c r="AR59" s="299" t="e">
        <f>AR55/AR53</f>
        <v>#DIV/0!</v>
      </c>
      <c r="AS59" s="299" t="e">
        <f>AS55/AS53</f>
        <v>#DIV/0!</v>
      </c>
      <c r="AT59" s="299" t="e">
        <f>AT55/AT53</f>
        <v>#DIV/0!</v>
      </c>
      <c r="AU59" s="299" t="e">
        <f>AU55/AU53</f>
        <v>#DIV/0!</v>
      </c>
      <c r="AV59" s="299">
        <f>Drivers!O25</f>
        <v>0.14000000000000001</v>
      </c>
      <c r="AW59" s="299" t="e">
        <f>AW55/AW53</f>
        <v>#DIV/0!</v>
      </c>
      <c r="AX59" s="299" t="e">
        <f>AX55/AX53</f>
        <v>#DIV/0!</v>
      </c>
      <c r="AY59" s="299" t="e">
        <f>AY55/AY53</f>
        <v>#DIV/0!</v>
      </c>
      <c r="AZ59" s="299" t="e">
        <f>AZ55/AZ53</f>
        <v>#DIV/0!</v>
      </c>
      <c r="BA59" s="299">
        <f>Drivers!T25</f>
        <v>0.14000000000000001</v>
      </c>
      <c r="BB59" s="191"/>
      <c r="BC59" s="198">
        <v>0</v>
      </c>
      <c r="BD59" s="94"/>
    </row>
    <row r="60" spans="1:65" s="97" customFormat="1" ht="15" customHeight="1" x14ac:dyDescent="0.25">
      <c r="A60" s="94"/>
      <c r="B60" s="110" t="s">
        <v>160</v>
      </c>
      <c r="C60" s="73"/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83">
        <v>62.875</v>
      </c>
      <c r="X60" s="92"/>
      <c r="Y60" s="92"/>
      <c r="Z60" s="92"/>
      <c r="AA60" s="92"/>
      <c r="AB60" s="92">
        <v>27.033999999999999</v>
      </c>
      <c r="AC60" s="92"/>
      <c r="AD60" s="92"/>
      <c r="AE60" s="92"/>
      <c r="AF60" s="92"/>
      <c r="AG60" s="92">
        <v>140.03800000000001</v>
      </c>
      <c r="AH60" s="92">
        <v>22</v>
      </c>
      <c r="AI60" s="92">
        <v>4</v>
      </c>
      <c r="AJ60" s="92">
        <v>10</v>
      </c>
      <c r="AK60" s="92">
        <v>20</v>
      </c>
      <c r="AL60" s="92">
        <v>56.232999999999997</v>
      </c>
      <c r="AM60" s="96"/>
      <c r="AN60" s="96"/>
      <c r="AO60" s="96"/>
      <c r="AP60" s="96"/>
      <c r="AQ60" s="220">
        <v>50</v>
      </c>
      <c r="AR60" s="142"/>
      <c r="AS60" s="142"/>
      <c r="AT60" s="142"/>
      <c r="AU60" s="142"/>
      <c r="AV60" s="220">
        <v>50</v>
      </c>
      <c r="AW60" s="142"/>
      <c r="AX60" s="142"/>
      <c r="AY60" s="142"/>
      <c r="AZ60" s="142"/>
      <c r="BA60" s="220">
        <v>20</v>
      </c>
      <c r="BB60" s="191"/>
      <c r="BC60" s="198">
        <v>0</v>
      </c>
      <c r="BD60" s="38" t="s">
        <v>293</v>
      </c>
    </row>
    <row r="61" spans="1:65" s="97" customFormat="1" ht="15" customHeight="1" x14ac:dyDescent="0.25">
      <c r="A61" s="94"/>
      <c r="B61" s="219" t="s">
        <v>31</v>
      </c>
      <c r="C61" s="73"/>
      <c r="D61" s="95"/>
      <c r="E61" s="95"/>
      <c r="F61" s="95"/>
      <c r="G61" s="95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73">
        <f>W60/W51</f>
        <v>5.8761682242990651E-2</v>
      </c>
      <c r="X61" s="73">
        <f t="shared" ref="X61:BA61" si="326">X60/X51</f>
        <v>0</v>
      </c>
      <c r="Y61" s="73">
        <f t="shared" si="326"/>
        <v>0</v>
      </c>
      <c r="Z61" s="73">
        <f t="shared" si="326"/>
        <v>0</v>
      </c>
      <c r="AA61" s="73">
        <f t="shared" si="326"/>
        <v>0</v>
      </c>
      <c r="AB61" s="73">
        <f t="shared" si="326"/>
        <v>2.4354954954954953E-2</v>
      </c>
      <c r="AC61" s="73">
        <f t="shared" si="326"/>
        <v>0</v>
      </c>
      <c r="AD61" s="73">
        <f t="shared" si="326"/>
        <v>0</v>
      </c>
      <c r="AE61" s="73">
        <f t="shared" si="326"/>
        <v>0</v>
      </c>
      <c r="AF61" s="73">
        <f t="shared" si="326"/>
        <v>0</v>
      </c>
      <c r="AG61" s="73">
        <f t="shared" si="326"/>
        <v>0.11910089616114403</v>
      </c>
      <c r="AH61" s="73">
        <f t="shared" si="326"/>
        <v>0.25882352941176473</v>
      </c>
      <c r="AI61" s="73">
        <f t="shared" si="326"/>
        <v>1.0362694300518135E-2</v>
      </c>
      <c r="AJ61" s="73">
        <f t="shared" si="326"/>
        <v>1.7391304347826087E-2</v>
      </c>
      <c r="AK61" s="73">
        <f t="shared" si="326"/>
        <v>9.1324200913242004E-2</v>
      </c>
      <c r="AL61" s="73">
        <f t="shared" si="326"/>
        <v>4.4490315189510875E-2</v>
      </c>
      <c r="AM61" s="73" t="e">
        <f t="shared" si="326"/>
        <v>#DIV/0!</v>
      </c>
      <c r="AN61" s="73" t="e">
        <f t="shared" si="326"/>
        <v>#DIV/0!</v>
      </c>
      <c r="AO61" s="73" t="e">
        <f t="shared" si="326"/>
        <v>#DIV/0!</v>
      </c>
      <c r="AP61" s="73" t="e">
        <f t="shared" si="326"/>
        <v>#DIV/0!</v>
      </c>
      <c r="AQ61" s="73">
        <f t="shared" si="326"/>
        <v>3.7277273880157141E-2</v>
      </c>
      <c r="AR61" s="73" t="e">
        <f t="shared" si="326"/>
        <v>#DIV/0!</v>
      </c>
      <c r="AS61" s="73" t="e">
        <f t="shared" si="326"/>
        <v>#DIV/0!</v>
      </c>
      <c r="AT61" s="73" t="e">
        <f t="shared" si="326"/>
        <v>#DIV/0!</v>
      </c>
      <c r="AU61" s="73" t="e">
        <f t="shared" si="326"/>
        <v>#DIV/0!</v>
      </c>
      <c r="AV61" s="73">
        <f t="shared" si="326"/>
        <v>3.5756538418875293E-2</v>
      </c>
      <c r="AW61" s="73" t="e">
        <f t="shared" si="326"/>
        <v>#DIV/0!</v>
      </c>
      <c r="AX61" s="73" t="e">
        <f t="shared" si="326"/>
        <v>#DIV/0!</v>
      </c>
      <c r="AY61" s="73" t="e">
        <f t="shared" si="326"/>
        <v>#DIV/0!</v>
      </c>
      <c r="AZ61" s="73" t="e">
        <f t="shared" si="326"/>
        <v>#DIV/0!</v>
      </c>
      <c r="BA61" s="73">
        <f t="shared" si="326"/>
        <v>1.3967794291329386E-2</v>
      </c>
      <c r="BB61" s="191"/>
      <c r="BC61" s="198"/>
      <c r="BD61" s="38"/>
    </row>
    <row r="62" spans="1:65" s="42" customFormat="1" ht="15" customHeight="1" x14ac:dyDescent="0.25">
      <c r="A62" s="38"/>
      <c r="B62" s="110" t="s">
        <v>34</v>
      </c>
      <c r="C62" s="83">
        <v>71</v>
      </c>
      <c r="D62" s="83">
        <v>82</v>
      </c>
      <c r="E62" s="83">
        <v>78</v>
      </c>
      <c r="F62" s="83">
        <v>80</v>
      </c>
      <c r="G62" s="83">
        <v>85</v>
      </c>
      <c r="H62" s="83">
        <v>75</v>
      </c>
      <c r="I62" s="83"/>
      <c r="J62" s="83"/>
      <c r="K62" s="83"/>
      <c r="L62" s="83"/>
      <c r="M62" s="83">
        <v>79</v>
      </c>
      <c r="N62" s="83"/>
      <c r="O62" s="83"/>
      <c r="P62" s="83"/>
      <c r="Q62" s="83"/>
      <c r="R62" s="83">
        <v>77</v>
      </c>
      <c r="S62" s="83"/>
      <c r="T62" s="83"/>
      <c r="U62" s="83"/>
      <c r="V62" s="83"/>
      <c r="W62" s="83">
        <v>80</v>
      </c>
      <c r="X62" s="92"/>
      <c r="Y62" s="92"/>
      <c r="Z62" s="92"/>
      <c r="AA62" s="92"/>
      <c r="AB62" s="92">
        <v>87</v>
      </c>
      <c r="AC62" s="92"/>
      <c r="AD62" s="92"/>
      <c r="AE62" s="92"/>
      <c r="AF62" s="92"/>
      <c r="AG62" s="92">
        <v>91</v>
      </c>
      <c r="AH62" s="92">
        <v>7</v>
      </c>
      <c r="AI62" s="92">
        <v>34</v>
      </c>
      <c r="AJ62" s="92">
        <v>43</v>
      </c>
      <c r="AK62" s="92">
        <v>16</v>
      </c>
      <c r="AL62" s="92">
        <v>100.7</v>
      </c>
      <c r="AM62" s="92"/>
      <c r="AN62" s="92"/>
      <c r="AO62" s="92"/>
      <c r="AP62" s="92"/>
      <c r="AQ62" s="92">
        <f>(1-AQ63)*AQ48</f>
        <v>108.69128699999999</v>
      </c>
      <c r="AR62" s="92" t="e">
        <f t="shared" ref="AR62:BA62" si="327">(1-AR63)*AR48</f>
        <v>#DIV/0!</v>
      </c>
      <c r="AS62" s="92" t="e">
        <f t="shared" si="327"/>
        <v>#DIV/0!</v>
      </c>
      <c r="AT62" s="92" t="e">
        <f t="shared" si="327"/>
        <v>#DIV/0!</v>
      </c>
      <c r="AU62" s="92" t="e">
        <f t="shared" si="327"/>
        <v>#DIV/0!</v>
      </c>
      <c r="AV62" s="92">
        <f t="shared" si="327"/>
        <v>113.03893848</v>
      </c>
      <c r="AW62" s="92" t="e">
        <f t="shared" si="327"/>
        <v>#DIV/0!</v>
      </c>
      <c r="AX62" s="92" t="e">
        <f t="shared" si="327"/>
        <v>#DIV/0!</v>
      </c>
      <c r="AY62" s="92" t="e">
        <f t="shared" si="327"/>
        <v>#DIV/0!</v>
      </c>
      <c r="AZ62" s="92" t="e">
        <f t="shared" si="327"/>
        <v>#DIV/0!</v>
      </c>
      <c r="BA62" s="92">
        <f t="shared" si="327"/>
        <v>115.29971724959999</v>
      </c>
      <c r="BB62" s="189"/>
      <c r="BC62" s="198">
        <v>0</v>
      </c>
      <c r="BD62" s="202"/>
      <c r="BE62" s="93"/>
      <c r="BF62" s="93"/>
      <c r="BG62" s="93"/>
      <c r="BH62" s="93"/>
      <c r="BI62" s="93"/>
      <c r="BJ62" s="93"/>
      <c r="BK62" s="93"/>
      <c r="BL62" s="93"/>
    </row>
    <row r="63" spans="1:65" s="97" customFormat="1" ht="15" customHeight="1" x14ac:dyDescent="0.25">
      <c r="A63" s="94"/>
      <c r="B63" s="219" t="s">
        <v>298</v>
      </c>
      <c r="C63" s="73">
        <f t="shared" ref="C63:G63" si="328">C62/C48</f>
        <v>0.19398907103825136</v>
      </c>
      <c r="D63" s="95">
        <f t="shared" si="328"/>
        <v>0.20603015075376885</v>
      </c>
      <c r="E63" s="95">
        <f t="shared" si="328"/>
        <v>0.20155038759689922</v>
      </c>
      <c r="F63" s="95">
        <f t="shared" si="328"/>
        <v>0.19950124688279303</v>
      </c>
      <c r="G63" s="95">
        <f t="shared" si="328"/>
        <v>0.20190023752969122</v>
      </c>
      <c r="H63" s="95">
        <f>1-(H62/H48)</f>
        <v>0.8</v>
      </c>
      <c r="I63" s="95" t="e">
        <f t="shared" ref="I63:AP63" si="329">1-(I62/I48)</f>
        <v>#DIV/0!</v>
      </c>
      <c r="J63" s="95" t="e">
        <f t="shared" si="329"/>
        <v>#DIV/0!</v>
      </c>
      <c r="K63" s="95" t="e">
        <f t="shared" si="329"/>
        <v>#DIV/0!</v>
      </c>
      <c r="L63" s="95" t="e">
        <f t="shared" si="329"/>
        <v>#DIV/0!</v>
      </c>
      <c r="M63" s="95">
        <f t="shared" si="329"/>
        <v>0.80299251870324184</v>
      </c>
      <c r="N63" s="95" t="e">
        <f t="shared" si="329"/>
        <v>#DIV/0!</v>
      </c>
      <c r="O63" s="95" t="e">
        <f t="shared" si="329"/>
        <v>#DIV/0!</v>
      </c>
      <c r="P63" s="95" t="e">
        <f t="shared" si="329"/>
        <v>#DIV/0!</v>
      </c>
      <c r="Q63" s="95" t="e">
        <f t="shared" si="329"/>
        <v>#DIV/0!</v>
      </c>
      <c r="R63" s="95">
        <f t="shared" si="329"/>
        <v>0.81400966183574885</v>
      </c>
      <c r="S63" s="95" t="e">
        <f t="shared" si="329"/>
        <v>#DIV/0!</v>
      </c>
      <c r="T63" s="95" t="e">
        <f t="shared" si="329"/>
        <v>#DIV/0!</v>
      </c>
      <c r="U63" s="95" t="e">
        <f t="shared" si="329"/>
        <v>#DIV/0!</v>
      </c>
      <c r="V63" s="95" t="e">
        <f t="shared" si="329"/>
        <v>#DIV/0!</v>
      </c>
      <c r="W63" s="95">
        <f t="shared" si="329"/>
        <v>0.81693363844393596</v>
      </c>
      <c r="X63" s="95">
        <f t="shared" si="329"/>
        <v>1</v>
      </c>
      <c r="Y63" s="95">
        <f t="shared" si="329"/>
        <v>1</v>
      </c>
      <c r="Z63" s="95">
        <f t="shared" si="329"/>
        <v>1</v>
      </c>
      <c r="AA63" s="95">
        <f t="shared" si="329"/>
        <v>1</v>
      </c>
      <c r="AB63" s="95">
        <f t="shared" si="329"/>
        <v>0.80623608017817372</v>
      </c>
      <c r="AC63" s="95">
        <f t="shared" si="329"/>
        <v>1</v>
      </c>
      <c r="AD63" s="95">
        <f t="shared" si="329"/>
        <v>1</v>
      </c>
      <c r="AE63" s="95">
        <f t="shared" si="329"/>
        <v>1</v>
      </c>
      <c r="AF63" s="95">
        <f t="shared" si="329"/>
        <v>1</v>
      </c>
      <c r="AG63" s="95">
        <f t="shared" si="329"/>
        <v>0.80223023443323749</v>
      </c>
      <c r="AH63" s="95">
        <f t="shared" si="329"/>
        <v>0.75</v>
      </c>
      <c r="AI63" s="95">
        <f t="shared" si="329"/>
        <v>0.78881987577639756</v>
      </c>
      <c r="AJ63" s="95">
        <f t="shared" si="329"/>
        <v>0.81140350877192979</v>
      </c>
      <c r="AK63" s="95">
        <f t="shared" si="329"/>
        <v>0.80722891566265065</v>
      </c>
      <c r="AL63" s="95">
        <f t="shared" si="329"/>
        <v>0.79867650292888703</v>
      </c>
      <c r="AM63" s="95" t="e">
        <f t="shared" si="329"/>
        <v>#DIV/0!</v>
      </c>
      <c r="AN63" s="95" t="e">
        <f t="shared" si="329"/>
        <v>#DIV/0!</v>
      </c>
      <c r="AO63" s="95" t="e">
        <f t="shared" si="329"/>
        <v>#DIV/0!</v>
      </c>
      <c r="AP63" s="95" t="e">
        <f t="shared" si="329"/>
        <v>#DIV/0!</v>
      </c>
      <c r="AQ63" s="299">
        <f>Drivers!J30</f>
        <v>0.79500000000000004</v>
      </c>
      <c r="AR63" s="299" t="e">
        <f t="shared" ref="AR63:AZ63" si="330">AR60/AR58</f>
        <v>#DIV/0!</v>
      </c>
      <c r="AS63" s="299" t="e">
        <f t="shared" si="330"/>
        <v>#DIV/0!</v>
      </c>
      <c r="AT63" s="299" t="e">
        <f t="shared" si="330"/>
        <v>#DIV/0!</v>
      </c>
      <c r="AU63" s="299" t="e">
        <f t="shared" si="330"/>
        <v>#DIV/0!</v>
      </c>
      <c r="AV63" s="299">
        <f>Drivers!O30</f>
        <v>0.79500000000000004</v>
      </c>
      <c r="AW63" s="299" t="e">
        <f t="shared" si="330"/>
        <v>#DIV/0!</v>
      </c>
      <c r="AX63" s="299" t="e">
        <f t="shared" si="330"/>
        <v>#DIV/0!</v>
      </c>
      <c r="AY63" s="299" t="e">
        <f t="shared" si="330"/>
        <v>#DIV/0!</v>
      </c>
      <c r="AZ63" s="299" t="e">
        <f t="shared" si="330"/>
        <v>#DIV/0!</v>
      </c>
      <c r="BA63" s="299">
        <f>Drivers!T30</f>
        <v>0.79500000000000004</v>
      </c>
      <c r="BB63" s="191"/>
      <c r="BC63" s="198">
        <v>0</v>
      </c>
      <c r="BD63" s="94"/>
    </row>
    <row r="64" spans="1:65" s="42" customFormat="1" ht="15" customHeight="1" x14ac:dyDescent="0.25">
      <c r="A64" s="38"/>
      <c r="B64" s="135" t="s">
        <v>32</v>
      </c>
      <c r="C64" s="83">
        <f t="shared" ref="C64:V64" si="331">C62+C58+C53</f>
        <v>597</v>
      </c>
      <c r="D64" s="83">
        <f t="shared" si="331"/>
        <v>652</v>
      </c>
      <c r="E64" s="83">
        <f t="shared" si="331"/>
        <v>714</v>
      </c>
      <c r="F64" s="83">
        <f t="shared" si="331"/>
        <v>733</v>
      </c>
      <c r="G64" s="83">
        <f t="shared" si="331"/>
        <v>706</v>
      </c>
      <c r="H64" s="83">
        <f t="shared" si="331"/>
        <v>682</v>
      </c>
      <c r="I64" s="83">
        <f t="shared" si="331"/>
        <v>0</v>
      </c>
      <c r="J64" s="83">
        <f t="shared" si="331"/>
        <v>0</v>
      </c>
      <c r="K64" s="83">
        <f t="shared" si="331"/>
        <v>0</v>
      </c>
      <c r="L64" s="83">
        <f t="shared" si="331"/>
        <v>0</v>
      </c>
      <c r="M64" s="83">
        <f t="shared" si="331"/>
        <v>677</v>
      </c>
      <c r="N64" s="83">
        <f t="shared" si="331"/>
        <v>0</v>
      </c>
      <c r="O64" s="83">
        <f t="shared" si="331"/>
        <v>0</v>
      </c>
      <c r="P64" s="83">
        <f t="shared" si="331"/>
        <v>0</v>
      </c>
      <c r="Q64" s="83">
        <f t="shared" si="331"/>
        <v>0</v>
      </c>
      <c r="R64" s="83">
        <f t="shared" si="331"/>
        <v>690</v>
      </c>
      <c r="S64" s="83">
        <f t="shared" si="331"/>
        <v>0</v>
      </c>
      <c r="T64" s="83">
        <f t="shared" si="331"/>
        <v>0</v>
      </c>
      <c r="U64" s="83">
        <f t="shared" si="331"/>
        <v>0</v>
      </c>
      <c r="V64" s="83">
        <f t="shared" si="331"/>
        <v>0</v>
      </c>
      <c r="W64" s="83">
        <f>W62+W58+W53+W60</f>
        <v>717.97500000000002</v>
      </c>
      <c r="X64" s="92">
        <f t="shared" ref="X64:BA64" si="332">X62+X58+X53+X60</f>
        <v>0</v>
      </c>
      <c r="Y64" s="92">
        <f t="shared" si="332"/>
        <v>0</v>
      </c>
      <c r="Z64" s="92">
        <f t="shared" si="332"/>
        <v>0</v>
      </c>
      <c r="AA64" s="92">
        <f t="shared" si="332"/>
        <v>0</v>
      </c>
      <c r="AB64" s="92">
        <f t="shared" si="332"/>
        <v>693.03399999999999</v>
      </c>
      <c r="AC64" s="92">
        <f t="shared" si="332"/>
        <v>0</v>
      </c>
      <c r="AD64" s="92">
        <f t="shared" si="332"/>
        <v>0</v>
      </c>
      <c r="AE64" s="92">
        <f t="shared" si="332"/>
        <v>0</v>
      </c>
      <c r="AF64" s="92">
        <f t="shared" si="332"/>
        <v>0</v>
      </c>
      <c r="AG64" s="151">
        <f t="shared" si="332"/>
        <v>839.46900000000005</v>
      </c>
      <c r="AH64" s="92">
        <f t="shared" si="332"/>
        <v>144</v>
      </c>
      <c r="AI64" s="92">
        <f t="shared" si="332"/>
        <v>222</v>
      </c>
      <c r="AJ64" s="92">
        <f t="shared" si="332"/>
        <v>258</v>
      </c>
      <c r="AK64" s="92">
        <f t="shared" si="332"/>
        <v>175</v>
      </c>
      <c r="AL64" s="151">
        <f t="shared" si="332"/>
        <v>800.75199999999995</v>
      </c>
      <c r="AM64" s="92">
        <f t="shared" si="332"/>
        <v>0</v>
      </c>
      <c r="AN64" s="92">
        <f t="shared" si="332"/>
        <v>0</v>
      </c>
      <c r="AO64" s="92">
        <f t="shared" si="332"/>
        <v>0</v>
      </c>
      <c r="AP64" s="92">
        <f t="shared" si="332"/>
        <v>0</v>
      </c>
      <c r="AQ64" s="151">
        <f t="shared" si="332"/>
        <v>840.0715854</v>
      </c>
      <c r="AR64" s="92" t="e">
        <f t="shared" si="332"/>
        <v>#DIV/0!</v>
      </c>
      <c r="AS64" s="92" t="e">
        <f t="shared" si="332"/>
        <v>#DIV/0!</v>
      </c>
      <c r="AT64" s="92" t="e">
        <f t="shared" si="332"/>
        <v>#DIV/0!</v>
      </c>
      <c r="AU64" s="92" t="e">
        <f t="shared" si="332"/>
        <v>#DIV/0!</v>
      </c>
      <c r="AV64" s="151">
        <f t="shared" si="332"/>
        <v>870.60183798720016</v>
      </c>
      <c r="AW64" s="92" t="e">
        <f t="shared" si="332"/>
        <v>#DIV/0!</v>
      </c>
      <c r="AX64" s="92" t="e">
        <f t="shared" si="332"/>
        <v>#DIV/0!</v>
      </c>
      <c r="AY64" s="92" t="e">
        <f t="shared" si="332"/>
        <v>#DIV/0!</v>
      </c>
      <c r="AZ64" s="92" t="e">
        <f t="shared" si="332"/>
        <v>#DIV/0!</v>
      </c>
      <c r="BA64" s="151">
        <f t="shared" si="332"/>
        <v>858.39169507674001</v>
      </c>
      <c r="BB64" s="189"/>
      <c r="BC64" s="198">
        <v>0</v>
      </c>
      <c r="BD64" s="202"/>
      <c r="BE64" s="93"/>
      <c r="BF64" s="93"/>
      <c r="BG64" s="93"/>
      <c r="BH64" s="93"/>
      <c r="BI64" s="93"/>
      <c r="BJ64" s="93"/>
      <c r="BK64" s="93"/>
      <c r="BL64" s="93"/>
      <c r="BM64" s="93"/>
    </row>
    <row r="65" spans="1:65" s="42" customFormat="1" ht="15" customHeight="1" x14ac:dyDescent="0.25">
      <c r="A65" s="38"/>
      <c r="B65" s="219" t="s">
        <v>31</v>
      </c>
      <c r="C65" s="73">
        <f t="shared" ref="C65:AH65" si="333">C64/C51</f>
        <v>0.69337979094076652</v>
      </c>
      <c r="D65" s="155">
        <f t="shared" si="333"/>
        <v>0.69214437367303605</v>
      </c>
      <c r="E65" s="155">
        <f t="shared" si="333"/>
        <v>0.77189189189189189</v>
      </c>
      <c r="F65" s="155">
        <f t="shared" si="333"/>
        <v>0.76834381551362685</v>
      </c>
      <c r="G65" s="155">
        <f t="shared" si="333"/>
        <v>0.77924944812362029</v>
      </c>
      <c r="H65" s="73">
        <f t="shared" si="333"/>
        <v>0.75777777777777777</v>
      </c>
      <c r="I65" s="73" t="e">
        <f t="shared" si="333"/>
        <v>#DIV/0!</v>
      </c>
      <c r="J65" s="73" t="e">
        <f t="shared" si="333"/>
        <v>#DIV/0!</v>
      </c>
      <c r="K65" s="73" t="e">
        <f t="shared" si="333"/>
        <v>#DIV/0!</v>
      </c>
      <c r="L65" s="73" t="e">
        <f t="shared" si="333"/>
        <v>#DIV/0!</v>
      </c>
      <c r="M65" s="73">
        <f t="shared" si="333"/>
        <v>0.69364754098360659</v>
      </c>
      <c r="N65" s="73" t="e">
        <f t="shared" si="333"/>
        <v>#DIV/0!</v>
      </c>
      <c r="O65" s="73" t="e">
        <f t="shared" si="333"/>
        <v>#DIV/0!</v>
      </c>
      <c r="P65" s="73" t="e">
        <f t="shared" si="333"/>
        <v>#DIV/0!</v>
      </c>
      <c r="Q65" s="73" t="e">
        <f t="shared" si="333"/>
        <v>#DIV/0!</v>
      </c>
      <c r="R65" s="73">
        <f t="shared" si="333"/>
        <v>0.68114511352418561</v>
      </c>
      <c r="S65" s="73" t="e">
        <f t="shared" si="333"/>
        <v>#DIV/0!</v>
      </c>
      <c r="T65" s="73" t="e">
        <f t="shared" si="333"/>
        <v>#DIV/0!</v>
      </c>
      <c r="U65" s="73" t="e">
        <f t="shared" si="333"/>
        <v>#DIV/0!</v>
      </c>
      <c r="V65" s="73" t="e">
        <f t="shared" si="333"/>
        <v>#DIV/0!</v>
      </c>
      <c r="W65" s="73">
        <f t="shared" si="333"/>
        <v>0.67100467289719623</v>
      </c>
      <c r="X65" s="85">
        <f t="shared" si="333"/>
        <v>0</v>
      </c>
      <c r="Y65" s="85">
        <f t="shared" si="333"/>
        <v>0</v>
      </c>
      <c r="Z65" s="85">
        <f t="shared" si="333"/>
        <v>0</v>
      </c>
      <c r="AA65" s="85">
        <f t="shared" si="333"/>
        <v>0</v>
      </c>
      <c r="AB65" s="85">
        <f t="shared" si="333"/>
        <v>0.62435495495495497</v>
      </c>
      <c r="AC65" s="85">
        <f t="shared" si="333"/>
        <v>0</v>
      </c>
      <c r="AD65" s="85">
        <f t="shared" si="333"/>
        <v>0</v>
      </c>
      <c r="AE65" s="85">
        <f t="shared" si="333"/>
        <v>0</v>
      </c>
      <c r="AF65" s="85">
        <f t="shared" si="333"/>
        <v>0</v>
      </c>
      <c r="AG65" s="221">
        <f t="shared" si="333"/>
        <v>0.71395985517859017</v>
      </c>
      <c r="AH65" s="85">
        <f t="shared" si="333"/>
        <v>1.6941176470588235</v>
      </c>
      <c r="AI65" s="85">
        <f t="shared" ref="AI65:BA65" si="334">AI64/AI51</f>
        <v>0.57512953367875652</v>
      </c>
      <c r="AJ65" s="85">
        <f t="shared" si="334"/>
        <v>0.44869565217391305</v>
      </c>
      <c r="AK65" s="85">
        <f t="shared" si="334"/>
        <v>0.79908675799086759</v>
      </c>
      <c r="AL65" s="221">
        <f t="shared" si="334"/>
        <v>0.63353740452458895</v>
      </c>
      <c r="AM65" s="85" t="e">
        <f t="shared" si="334"/>
        <v>#DIV/0!</v>
      </c>
      <c r="AN65" s="85" t="e">
        <f t="shared" si="334"/>
        <v>#DIV/0!</v>
      </c>
      <c r="AO65" s="85" t="e">
        <f t="shared" si="334"/>
        <v>#DIV/0!</v>
      </c>
      <c r="AP65" s="85" t="e">
        <f t="shared" si="334"/>
        <v>#DIV/0!</v>
      </c>
      <c r="AQ65" s="221">
        <f t="shared" si="334"/>
        <v>0.62631157135787241</v>
      </c>
      <c r="AR65" s="85" t="e">
        <f t="shared" si="334"/>
        <v>#DIV/0!</v>
      </c>
      <c r="AS65" s="85" t="e">
        <f t="shared" si="334"/>
        <v>#DIV/0!</v>
      </c>
      <c r="AT65" s="85" t="e">
        <f t="shared" si="334"/>
        <v>#DIV/0!</v>
      </c>
      <c r="AU65" s="85" t="e">
        <f t="shared" si="334"/>
        <v>#DIV/0!</v>
      </c>
      <c r="AV65" s="221">
        <f t="shared" si="334"/>
        <v>0.62259416135065537</v>
      </c>
      <c r="AW65" s="85" t="e">
        <f t="shared" si="334"/>
        <v>#DIV/0!</v>
      </c>
      <c r="AX65" s="85" t="e">
        <f t="shared" si="334"/>
        <v>#DIV/0!</v>
      </c>
      <c r="AY65" s="85" t="e">
        <f t="shared" si="334"/>
        <v>#DIV/0!</v>
      </c>
      <c r="AZ65" s="85" t="e">
        <f t="shared" si="334"/>
        <v>#DIV/0!</v>
      </c>
      <c r="BA65" s="221">
        <f t="shared" si="334"/>
        <v>0.59949193091087216</v>
      </c>
      <c r="BB65" s="192"/>
      <c r="BC65" s="198">
        <v>0</v>
      </c>
      <c r="BD65" s="202"/>
      <c r="BE65" s="93"/>
      <c r="BF65" s="93"/>
      <c r="BG65" s="93"/>
      <c r="BH65" s="93"/>
      <c r="BI65" s="93"/>
      <c r="BJ65" s="93"/>
      <c r="BK65" s="93"/>
      <c r="BL65" s="93"/>
      <c r="BM65" s="93"/>
    </row>
    <row r="66" spans="1:65" s="10" customFormat="1" ht="15" customHeight="1" x14ac:dyDescent="0.25">
      <c r="A66" s="9"/>
      <c r="B66" s="77" t="s">
        <v>1</v>
      </c>
      <c r="C66" s="143">
        <v>265</v>
      </c>
      <c r="D66" s="143">
        <v>291</v>
      </c>
      <c r="E66" s="143">
        <v>211</v>
      </c>
      <c r="F66" s="143">
        <v>220</v>
      </c>
      <c r="G66" s="143">
        <v>201</v>
      </c>
      <c r="H66" s="143">
        <v>217</v>
      </c>
      <c r="I66" s="143"/>
      <c r="J66" s="143"/>
      <c r="K66" s="143"/>
      <c r="L66" s="143"/>
      <c r="M66" s="143">
        <v>299</v>
      </c>
      <c r="N66" s="143"/>
      <c r="O66" s="143"/>
      <c r="P66" s="143"/>
      <c r="Q66" s="143"/>
      <c r="R66" s="143">
        <f>R51-R64</f>
        <v>323</v>
      </c>
      <c r="S66" s="143"/>
      <c r="T66" s="143"/>
      <c r="U66" s="143"/>
      <c r="V66" s="143"/>
      <c r="W66" s="143">
        <f>W51-W64</f>
        <v>352.02499999999998</v>
      </c>
      <c r="X66" s="144"/>
      <c r="Y66" s="145"/>
      <c r="Z66" s="145"/>
      <c r="AA66" s="145"/>
      <c r="AB66" s="145">
        <f>AB51-AB64</f>
        <v>416.96600000000001</v>
      </c>
      <c r="AC66" s="143"/>
      <c r="AD66" s="143"/>
      <c r="AE66" s="143"/>
      <c r="AF66" s="143"/>
      <c r="AG66" s="143">
        <f>AG51-AG64</f>
        <v>336.32399999999984</v>
      </c>
      <c r="AH66" s="143">
        <f t="shared" ref="AH66:AK66" si="335">AH51-AH64</f>
        <v>-59</v>
      </c>
      <c r="AI66" s="143">
        <f t="shared" si="335"/>
        <v>164</v>
      </c>
      <c r="AJ66" s="143">
        <f t="shared" si="335"/>
        <v>317</v>
      </c>
      <c r="AK66" s="143">
        <f t="shared" si="335"/>
        <v>44</v>
      </c>
      <c r="AL66" s="143">
        <f>AL51-AL64</f>
        <v>463.18600000000015</v>
      </c>
      <c r="AM66" s="143"/>
      <c r="AN66" s="143"/>
      <c r="AO66" s="143"/>
      <c r="AP66" s="143"/>
      <c r="AQ66" s="143">
        <f>AQ51-AQ64</f>
        <v>501.2282146</v>
      </c>
      <c r="AR66" s="143"/>
      <c r="AS66" s="143"/>
      <c r="AT66" s="143"/>
      <c r="AU66" s="143"/>
      <c r="AV66" s="143">
        <f>AV51-AV64</f>
        <v>527.74381321280009</v>
      </c>
      <c r="AW66" s="143"/>
      <c r="AX66" s="143"/>
      <c r="AY66" s="143"/>
      <c r="AZ66" s="143"/>
      <c r="BA66" s="223">
        <f>BA51-BA64</f>
        <v>573.47360755125987</v>
      </c>
      <c r="BB66" s="188"/>
      <c r="BC66" s="198">
        <v>0</v>
      </c>
      <c r="BD66" s="9"/>
    </row>
    <row r="67" spans="1:65" s="42" customFormat="1" ht="15" customHeight="1" collapsed="1" x14ac:dyDescent="0.25">
      <c r="A67" s="38"/>
      <c r="B67" s="219" t="s">
        <v>15</v>
      </c>
      <c r="C67" s="73">
        <f>C66/C51</f>
        <v>0.3077816492450639</v>
      </c>
      <c r="D67" s="73">
        <f>D66/D51</f>
        <v>0.30891719745222929</v>
      </c>
      <c r="E67" s="73">
        <f>E66/E51</f>
        <v>0.22810810810810811</v>
      </c>
      <c r="F67" s="73">
        <f>F66/F51</f>
        <v>0.23060796645702306</v>
      </c>
      <c r="G67" s="73">
        <f>G66/G51</f>
        <v>0.22185430463576158</v>
      </c>
      <c r="H67" s="73">
        <f>H66/H$51</f>
        <v>0.24111111111111111</v>
      </c>
      <c r="I67" s="73" t="e">
        <f t="shared" ref="I67:BA67" si="336">I66/I51</f>
        <v>#DIV/0!</v>
      </c>
      <c r="J67" s="73" t="e">
        <f t="shared" si="336"/>
        <v>#DIV/0!</v>
      </c>
      <c r="K67" s="73" t="e">
        <f t="shared" si="336"/>
        <v>#DIV/0!</v>
      </c>
      <c r="L67" s="73" t="e">
        <f t="shared" si="336"/>
        <v>#DIV/0!</v>
      </c>
      <c r="M67" s="73">
        <f t="shared" si="336"/>
        <v>0.30635245901639346</v>
      </c>
      <c r="N67" s="73" t="e">
        <f t="shared" si="336"/>
        <v>#DIV/0!</v>
      </c>
      <c r="O67" s="73" t="e">
        <f t="shared" si="336"/>
        <v>#DIV/0!</v>
      </c>
      <c r="P67" s="73" t="e">
        <f t="shared" si="336"/>
        <v>#DIV/0!</v>
      </c>
      <c r="Q67" s="73" t="e">
        <f t="shared" si="336"/>
        <v>#DIV/0!</v>
      </c>
      <c r="R67" s="73">
        <f t="shared" si="336"/>
        <v>0.31885488647581439</v>
      </c>
      <c r="S67" s="73" t="e">
        <f t="shared" si="336"/>
        <v>#DIV/0!</v>
      </c>
      <c r="T67" s="73" t="e">
        <f t="shared" si="336"/>
        <v>#DIV/0!</v>
      </c>
      <c r="U67" s="73" t="e">
        <f t="shared" si="336"/>
        <v>#DIV/0!</v>
      </c>
      <c r="V67" s="73" t="e">
        <f t="shared" si="336"/>
        <v>#DIV/0!</v>
      </c>
      <c r="W67" s="73">
        <f t="shared" si="336"/>
        <v>0.32899532710280371</v>
      </c>
      <c r="X67" s="85">
        <f t="shared" si="336"/>
        <v>0</v>
      </c>
      <c r="Y67" s="85">
        <f t="shared" si="336"/>
        <v>0</v>
      </c>
      <c r="Z67" s="85">
        <f t="shared" si="336"/>
        <v>0</v>
      </c>
      <c r="AA67" s="85">
        <f t="shared" si="336"/>
        <v>0</v>
      </c>
      <c r="AB67" s="85">
        <f t="shared" si="336"/>
        <v>0.37564504504504503</v>
      </c>
      <c r="AC67" s="73">
        <f t="shared" si="336"/>
        <v>0</v>
      </c>
      <c r="AD67" s="73">
        <f t="shared" si="336"/>
        <v>0</v>
      </c>
      <c r="AE67" s="73">
        <f t="shared" si="336"/>
        <v>0</v>
      </c>
      <c r="AF67" s="73">
        <f t="shared" si="336"/>
        <v>0</v>
      </c>
      <c r="AG67" s="73">
        <f t="shared" si="336"/>
        <v>0.28604014482140977</v>
      </c>
      <c r="AH67" s="73">
        <f t="shared" si="336"/>
        <v>-0.69411764705882351</v>
      </c>
      <c r="AI67" s="73">
        <f t="shared" si="336"/>
        <v>0.42487046632124353</v>
      </c>
      <c r="AJ67" s="73">
        <f t="shared" si="336"/>
        <v>0.55130434782608695</v>
      </c>
      <c r="AK67" s="73">
        <f t="shared" si="336"/>
        <v>0.20091324200913241</v>
      </c>
      <c r="AL67" s="73">
        <f t="shared" si="336"/>
        <v>0.36646259547541105</v>
      </c>
      <c r="AM67" s="73" t="e">
        <f t="shared" si="336"/>
        <v>#DIV/0!</v>
      </c>
      <c r="AN67" s="73" t="e">
        <f t="shared" si="336"/>
        <v>#DIV/0!</v>
      </c>
      <c r="AO67" s="73" t="e">
        <f t="shared" si="336"/>
        <v>#DIV/0!</v>
      </c>
      <c r="AP67" s="73" t="e">
        <f t="shared" si="336"/>
        <v>#DIV/0!</v>
      </c>
      <c r="AQ67" s="73">
        <f t="shared" si="336"/>
        <v>0.37368842864212759</v>
      </c>
      <c r="AR67" s="73" t="e">
        <f t="shared" si="336"/>
        <v>#DIV/0!</v>
      </c>
      <c r="AS67" s="73" t="e">
        <f t="shared" si="336"/>
        <v>#DIV/0!</v>
      </c>
      <c r="AT67" s="73" t="e">
        <f t="shared" si="336"/>
        <v>#DIV/0!</v>
      </c>
      <c r="AU67" s="73" t="e">
        <f t="shared" si="336"/>
        <v>#DIV/0!</v>
      </c>
      <c r="AV67" s="73">
        <f t="shared" si="336"/>
        <v>0.37740583864934468</v>
      </c>
      <c r="AW67" s="73" t="e">
        <f t="shared" si="336"/>
        <v>#DIV/0!</v>
      </c>
      <c r="AX67" s="73" t="e">
        <f t="shared" si="336"/>
        <v>#DIV/0!</v>
      </c>
      <c r="AY67" s="73" t="e">
        <f t="shared" si="336"/>
        <v>#DIV/0!</v>
      </c>
      <c r="AZ67" s="73" t="e">
        <f t="shared" si="336"/>
        <v>#DIV/0!</v>
      </c>
      <c r="BA67" s="73">
        <f t="shared" si="336"/>
        <v>0.40050806908912778</v>
      </c>
      <c r="BB67" s="183"/>
      <c r="BC67" s="198">
        <v>0</v>
      </c>
      <c r="BD67" s="38"/>
    </row>
    <row r="68" spans="1:65" s="42" customFormat="1" ht="15" customHeight="1" x14ac:dyDescent="0.25">
      <c r="A68" s="38"/>
      <c r="B68" s="219" t="s">
        <v>21</v>
      </c>
      <c r="C68" s="73"/>
      <c r="D68" s="73">
        <f t="shared" ref="D68" si="337">D67/C67-1</f>
        <v>3.6894604013939514E-3</v>
      </c>
      <c r="E68" s="73">
        <f t="shared" ref="E68" si="338">E67/D67-1</f>
        <v>-0.2615881861242686</v>
      </c>
      <c r="F68" s="73">
        <f t="shared" ref="F68" si="339">F67/E67-1</f>
        <v>1.0959094657565505E-2</v>
      </c>
      <c r="G68" s="73">
        <f t="shared" ref="G68" si="340">G67/F67-1</f>
        <v>-3.7959060806742939E-2</v>
      </c>
      <c r="H68" s="73">
        <f>H67/G67-1</f>
        <v>8.6799336650082992E-2</v>
      </c>
      <c r="I68" s="73"/>
      <c r="J68" s="73"/>
      <c r="K68" s="73"/>
      <c r="L68" s="73"/>
      <c r="M68" s="73">
        <f>M67/H67-1</f>
        <v>0.27058623555186223</v>
      </c>
      <c r="N68" s="73" t="e">
        <f t="shared" ref="N68" si="341">N67/I67-1</f>
        <v>#DIV/0!</v>
      </c>
      <c r="O68" s="73" t="e">
        <f t="shared" ref="O68" si="342">O67/J67-1</f>
        <v>#DIV/0!</v>
      </c>
      <c r="P68" s="73" t="e">
        <f t="shared" ref="P68" si="343">P67/K67-1</f>
        <v>#DIV/0!</v>
      </c>
      <c r="Q68" s="73" t="e">
        <f t="shared" ref="Q68" si="344">Q67/L67-1</f>
        <v>#DIV/0!</v>
      </c>
      <c r="R68" s="73">
        <f t="shared" ref="R68" si="345">R67/M67-1</f>
        <v>4.0810599332424147E-2</v>
      </c>
      <c r="S68" s="73" t="e">
        <f t="shared" ref="S68" si="346">S67/N67-1</f>
        <v>#DIV/0!</v>
      </c>
      <c r="T68" s="73" t="e">
        <f t="shared" ref="T68" si="347">T67/O67-1</f>
        <v>#DIV/0!</v>
      </c>
      <c r="U68" s="73" t="e">
        <f t="shared" ref="U68" si="348">U67/P67-1</f>
        <v>#DIV/0!</v>
      </c>
      <c r="V68" s="73" t="e">
        <f t="shared" ref="V68" si="349">V67/Q67-1</f>
        <v>#DIV/0!</v>
      </c>
      <c r="W68" s="73">
        <f t="shared" ref="W68" si="350">W67/R67-1</f>
        <v>3.1802682214056244E-2</v>
      </c>
      <c r="X68" s="85" t="e">
        <f t="shared" ref="X68" si="351">X67/S67-1</f>
        <v>#DIV/0!</v>
      </c>
      <c r="Y68" s="85" t="e">
        <f t="shared" ref="Y68" si="352">Y67/T67-1</f>
        <v>#DIV/0!</v>
      </c>
      <c r="Z68" s="85" t="e">
        <f t="shared" ref="Z68" si="353">Z67/U67-1</f>
        <v>#DIV/0!</v>
      </c>
      <c r="AA68" s="85" t="e">
        <f t="shared" ref="AA68" si="354">AA67/V67-1</f>
        <v>#DIV/0!</v>
      </c>
      <c r="AB68" s="85">
        <f t="shared" ref="AB68" si="355">AB67/W67-1</f>
        <v>0.14179446970583975</v>
      </c>
      <c r="AC68" s="85" t="e">
        <f t="shared" ref="AC68" si="356">AC67/X67-1</f>
        <v>#DIV/0!</v>
      </c>
      <c r="AD68" s="85" t="e">
        <f t="shared" ref="AD68" si="357">AD67/Y67-1</f>
        <v>#DIV/0!</v>
      </c>
      <c r="AE68" s="85" t="e">
        <f t="shared" ref="AE68" si="358">AE67/Z67-1</f>
        <v>#DIV/0!</v>
      </c>
      <c r="AF68" s="85" t="e">
        <f t="shared" ref="AF68" si="359">AF67/AA67-1</f>
        <v>#DIV/0!</v>
      </c>
      <c r="AG68" s="85">
        <f t="shared" ref="AG68" si="360">AG67/AB67-1</f>
        <v>-0.23853608986880259</v>
      </c>
      <c r="AH68" s="85" t="e">
        <f t="shared" ref="AH68" si="361">AH67/AC67-1</f>
        <v>#DIV/0!</v>
      </c>
      <c r="AI68" s="85" t="e">
        <f t="shared" ref="AI68" si="362">AI67/AD67-1</f>
        <v>#DIV/0!</v>
      </c>
      <c r="AJ68" s="85" t="e">
        <f t="shared" ref="AJ68" si="363">AJ67/AE67-1</f>
        <v>#DIV/0!</v>
      </c>
      <c r="AK68" s="85" t="e">
        <f t="shared" ref="AK68" si="364">AK67/AF67-1</f>
        <v>#DIV/0!</v>
      </c>
      <c r="AL68" s="85">
        <f t="shared" ref="AL68" si="365">AL67/AG67-1</f>
        <v>0.28115791475428509</v>
      </c>
      <c r="AM68" s="85" t="e">
        <f t="shared" ref="AM68" si="366">AM67/AH67-1</f>
        <v>#DIV/0!</v>
      </c>
      <c r="AN68" s="85" t="e">
        <f t="shared" ref="AN68" si="367">AN67/AI67-1</f>
        <v>#DIV/0!</v>
      </c>
      <c r="AO68" s="85" t="e">
        <f t="shared" ref="AO68" si="368">AO67/AJ67-1</f>
        <v>#DIV/0!</v>
      </c>
      <c r="AP68" s="85" t="e">
        <f t="shared" ref="AP68" si="369">AP67/AK67-1</f>
        <v>#DIV/0!</v>
      </c>
      <c r="AQ68" s="85">
        <f t="shared" ref="AQ68" si="370">AQ67/AL67-1</f>
        <v>1.9717791818132158E-2</v>
      </c>
      <c r="AR68" s="85" t="e">
        <f t="shared" ref="AR68" si="371">AR67/AM67-1</f>
        <v>#DIV/0!</v>
      </c>
      <c r="AS68" s="85" t="e">
        <f t="shared" ref="AS68" si="372">AS67/AN67-1</f>
        <v>#DIV/0!</v>
      </c>
      <c r="AT68" s="85" t="e">
        <f t="shared" ref="AT68" si="373">AT67/AO67-1</f>
        <v>#DIV/0!</v>
      </c>
      <c r="AU68" s="85" t="e">
        <f t="shared" ref="AU68" si="374">AU67/AP67-1</f>
        <v>#DIV/0!</v>
      </c>
      <c r="AV68" s="85">
        <f t="shared" ref="AV68" si="375">AV67/AQ67-1</f>
        <v>9.9478863199620182E-3</v>
      </c>
      <c r="AW68" s="85" t="e">
        <f t="shared" ref="AW68" si="376">AW67/AR67-1</f>
        <v>#DIV/0!</v>
      </c>
      <c r="AX68" s="85" t="e">
        <f t="shared" ref="AX68" si="377">AX67/AS67-1</f>
        <v>#DIV/0!</v>
      </c>
      <c r="AY68" s="85" t="e">
        <f t="shared" ref="AY68" si="378">AY67/AT67-1</f>
        <v>#DIV/0!</v>
      </c>
      <c r="AZ68" s="85" t="e">
        <f t="shared" ref="AZ68" si="379">AZ67/AU67-1</f>
        <v>#DIV/0!</v>
      </c>
      <c r="BA68" s="85">
        <f t="shared" ref="BA68" si="380">BA67/AV67-1</f>
        <v>6.1213230093262627E-2</v>
      </c>
      <c r="BB68" s="183"/>
      <c r="BC68" s="198">
        <v>0</v>
      </c>
      <c r="BD68" s="38"/>
    </row>
    <row r="69" spans="1:65" s="10" customFormat="1" ht="15" customHeight="1" x14ac:dyDescent="0.25">
      <c r="A69" s="9"/>
      <c r="B69" s="110" t="s">
        <v>35</v>
      </c>
      <c r="C69" s="11"/>
      <c r="D69" s="11"/>
      <c r="E69" s="11"/>
      <c r="F69" s="11"/>
      <c r="G69" s="11"/>
      <c r="H69" s="83"/>
      <c r="I69" s="89"/>
      <c r="J69" s="89"/>
      <c r="K69" s="89"/>
      <c r="L69" s="89"/>
      <c r="M69" s="83"/>
      <c r="N69" s="83"/>
      <c r="O69" s="83"/>
      <c r="P69" s="83"/>
      <c r="Q69" s="83"/>
      <c r="R69" s="83">
        <v>169</v>
      </c>
      <c r="S69" s="83"/>
      <c r="T69" s="83"/>
      <c r="U69" s="83"/>
      <c r="V69" s="83"/>
      <c r="W69" s="83">
        <v>148</v>
      </c>
      <c r="X69" s="90"/>
      <c r="Y69" s="90"/>
      <c r="Z69" s="90"/>
      <c r="AA69" s="90"/>
      <c r="AB69" s="92">
        <v>128</v>
      </c>
      <c r="AC69" s="83"/>
      <c r="AD69" s="83"/>
      <c r="AE69" s="83"/>
      <c r="AF69" s="83"/>
      <c r="AG69" s="83">
        <v>108</v>
      </c>
      <c r="AH69" s="89">
        <v>27</v>
      </c>
      <c r="AI69" s="89">
        <v>26</v>
      </c>
      <c r="AJ69" s="89">
        <v>27</v>
      </c>
      <c r="AK69" s="289">
        <v>29</v>
      </c>
      <c r="AL69" s="83">
        <f>104.788+2.623</f>
        <v>107.411</v>
      </c>
      <c r="AM69" s="98"/>
      <c r="AN69" s="98"/>
      <c r="AO69" s="98"/>
      <c r="AP69" s="98"/>
      <c r="AQ69" s="83">
        <f>AQ70*AQ51</f>
        <v>114.01048300000001</v>
      </c>
      <c r="AR69" s="83"/>
      <c r="AS69" s="83"/>
      <c r="AT69" s="83"/>
      <c r="AU69" s="83"/>
      <c r="AV69" s="83">
        <f>AV70*AV51</f>
        <v>118.85938035200003</v>
      </c>
      <c r="AW69" s="83"/>
      <c r="AX69" s="83"/>
      <c r="AY69" s="83"/>
      <c r="AZ69" s="83"/>
      <c r="BA69" s="83">
        <f>BA70*BA51</f>
        <v>121.70855072338</v>
      </c>
      <c r="BB69" s="190"/>
      <c r="BC69" s="198">
        <v>0</v>
      </c>
      <c r="BD69" s="201"/>
      <c r="BE69" s="91"/>
    </row>
    <row r="70" spans="1:65" s="42" customFormat="1" ht="15" customHeight="1" collapsed="1" x14ac:dyDescent="0.25">
      <c r="A70" s="38"/>
      <c r="B70" s="219" t="s">
        <v>31</v>
      </c>
      <c r="C70" s="40"/>
      <c r="D70" s="40"/>
      <c r="E70" s="40"/>
      <c r="F70" s="40"/>
      <c r="G70" s="40"/>
      <c r="H70" s="73"/>
      <c r="I70" s="95"/>
      <c r="J70" s="95"/>
      <c r="K70" s="95"/>
      <c r="L70" s="95"/>
      <c r="M70" s="95"/>
      <c r="N70" s="95" t="e">
        <f t="shared" ref="N70:AP70" si="381">N69/N51</f>
        <v>#DIV/0!</v>
      </c>
      <c r="O70" s="95" t="e">
        <f t="shared" si="381"/>
        <v>#DIV/0!</v>
      </c>
      <c r="P70" s="95" t="e">
        <f t="shared" si="381"/>
        <v>#DIV/0!</v>
      </c>
      <c r="Q70" s="95" t="e">
        <f t="shared" si="381"/>
        <v>#DIV/0!</v>
      </c>
      <c r="R70" s="95">
        <f t="shared" si="381"/>
        <v>0.16683119447186576</v>
      </c>
      <c r="S70" s="95" t="e">
        <f t="shared" si="381"/>
        <v>#DIV/0!</v>
      </c>
      <c r="T70" s="95" t="e">
        <f t="shared" si="381"/>
        <v>#DIV/0!</v>
      </c>
      <c r="U70" s="95" t="e">
        <f t="shared" si="381"/>
        <v>#DIV/0!</v>
      </c>
      <c r="V70" s="95" t="e">
        <f t="shared" si="381"/>
        <v>#DIV/0!</v>
      </c>
      <c r="W70" s="95">
        <f t="shared" si="381"/>
        <v>0.13831775700934579</v>
      </c>
      <c r="X70" s="96">
        <f t="shared" si="381"/>
        <v>0</v>
      </c>
      <c r="Y70" s="96">
        <f t="shared" si="381"/>
        <v>0</v>
      </c>
      <c r="Z70" s="96">
        <f t="shared" si="381"/>
        <v>0</v>
      </c>
      <c r="AA70" s="96">
        <f t="shared" si="381"/>
        <v>0</v>
      </c>
      <c r="AB70" s="96">
        <f t="shared" si="381"/>
        <v>0.11531531531531532</v>
      </c>
      <c r="AC70" s="96">
        <f t="shared" si="381"/>
        <v>0</v>
      </c>
      <c r="AD70" s="96">
        <f t="shared" si="381"/>
        <v>0</v>
      </c>
      <c r="AE70" s="96">
        <f t="shared" si="381"/>
        <v>0</v>
      </c>
      <c r="AF70" s="96">
        <f t="shared" si="381"/>
        <v>0</v>
      </c>
      <c r="AG70" s="222">
        <f t="shared" si="381"/>
        <v>9.1852902679298146E-2</v>
      </c>
      <c r="AH70" s="96">
        <f t="shared" si="381"/>
        <v>0.31764705882352939</v>
      </c>
      <c r="AI70" s="96">
        <f t="shared" si="381"/>
        <v>6.7357512953367879E-2</v>
      </c>
      <c r="AJ70" s="96">
        <f t="shared" si="381"/>
        <v>4.6956521739130432E-2</v>
      </c>
      <c r="AK70" s="95">
        <f t="shared" si="381"/>
        <v>0.13242009132420091</v>
      </c>
      <c r="AL70" s="95">
        <f t="shared" si="381"/>
        <v>8.4981225344914063E-2</v>
      </c>
      <c r="AM70" s="95" t="e">
        <f t="shared" si="381"/>
        <v>#DIV/0!</v>
      </c>
      <c r="AN70" s="95" t="e">
        <f t="shared" si="381"/>
        <v>#DIV/0!</v>
      </c>
      <c r="AO70" s="95" t="e">
        <f t="shared" si="381"/>
        <v>#DIV/0!</v>
      </c>
      <c r="AP70" s="95" t="e">
        <f t="shared" si="381"/>
        <v>#DIV/0!</v>
      </c>
      <c r="AQ70" s="142">
        <v>8.5000000000000006E-2</v>
      </c>
      <c r="AR70" s="142" t="e">
        <f t="shared" ref="AR70:AZ70" si="382">AR68/AR66</f>
        <v>#DIV/0!</v>
      </c>
      <c r="AS70" s="142" t="e">
        <f t="shared" si="382"/>
        <v>#DIV/0!</v>
      </c>
      <c r="AT70" s="142" t="e">
        <f t="shared" si="382"/>
        <v>#DIV/0!</v>
      </c>
      <c r="AU70" s="142" t="e">
        <f t="shared" si="382"/>
        <v>#DIV/0!</v>
      </c>
      <c r="AV70" s="142">
        <v>8.5000000000000006E-2</v>
      </c>
      <c r="AW70" s="142" t="e">
        <f t="shared" si="382"/>
        <v>#DIV/0!</v>
      </c>
      <c r="AX70" s="142" t="e">
        <f t="shared" si="382"/>
        <v>#DIV/0!</v>
      </c>
      <c r="AY70" s="142" t="e">
        <f t="shared" si="382"/>
        <v>#DIV/0!</v>
      </c>
      <c r="AZ70" s="142" t="e">
        <f t="shared" si="382"/>
        <v>#DIV/0!</v>
      </c>
      <c r="BA70" s="142">
        <v>8.5000000000000006E-2</v>
      </c>
      <c r="BB70" s="191"/>
      <c r="BC70" s="198">
        <v>0</v>
      </c>
      <c r="BD70" s="38"/>
    </row>
    <row r="71" spans="1:65" s="10" customFormat="1" ht="15" customHeight="1" x14ac:dyDescent="0.25">
      <c r="A71" s="9"/>
      <c r="B71" s="135" t="s">
        <v>16</v>
      </c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>
        <f t="shared" ref="N71:BA71" si="383">N66-N69</f>
        <v>0</v>
      </c>
      <c r="O71" s="11">
        <f t="shared" si="383"/>
        <v>0</v>
      </c>
      <c r="P71" s="11">
        <f t="shared" si="383"/>
        <v>0</v>
      </c>
      <c r="Q71" s="11">
        <f t="shared" si="383"/>
        <v>0</v>
      </c>
      <c r="R71" s="81">
        <f t="shared" si="383"/>
        <v>154</v>
      </c>
      <c r="S71" s="81">
        <f t="shared" si="383"/>
        <v>0</v>
      </c>
      <c r="T71" s="81">
        <f t="shared" si="383"/>
        <v>0</v>
      </c>
      <c r="U71" s="81">
        <f t="shared" si="383"/>
        <v>0</v>
      </c>
      <c r="V71" s="81">
        <f t="shared" si="383"/>
        <v>0</v>
      </c>
      <c r="W71" s="81">
        <f t="shared" si="383"/>
        <v>204.02499999999998</v>
      </c>
      <c r="X71" s="108">
        <f t="shared" si="383"/>
        <v>0</v>
      </c>
      <c r="Y71" s="109">
        <f t="shared" si="383"/>
        <v>0</v>
      </c>
      <c r="Z71" s="109">
        <f t="shared" si="383"/>
        <v>0</v>
      </c>
      <c r="AA71" s="109">
        <f t="shared" si="383"/>
        <v>0</v>
      </c>
      <c r="AB71" s="109">
        <f t="shared" si="383"/>
        <v>288.96600000000001</v>
      </c>
      <c r="AC71" s="81">
        <f t="shared" si="383"/>
        <v>0</v>
      </c>
      <c r="AD71" s="81">
        <f t="shared" si="383"/>
        <v>0</v>
      </c>
      <c r="AE71" s="81">
        <f t="shared" si="383"/>
        <v>0</v>
      </c>
      <c r="AF71" s="81">
        <f t="shared" si="383"/>
        <v>0</v>
      </c>
      <c r="AG71" s="81">
        <f t="shared" si="383"/>
        <v>228.32399999999984</v>
      </c>
      <c r="AH71" s="81">
        <f t="shared" si="383"/>
        <v>-86</v>
      </c>
      <c r="AI71" s="81">
        <f t="shared" si="383"/>
        <v>138</v>
      </c>
      <c r="AJ71" s="81">
        <f t="shared" si="383"/>
        <v>290</v>
      </c>
      <c r="AK71" s="81">
        <f t="shared" si="383"/>
        <v>15</v>
      </c>
      <c r="AL71" s="81">
        <f t="shared" si="383"/>
        <v>355.77500000000015</v>
      </c>
      <c r="AM71" s="81">
        <f t="shared" si="383"/>
        <v>0</v>
      </c>
      <c r="AN71" s="81">
        <f t="shared" si="383"/>
        <v>0</v>
      </c>
      <c r="AO71" s="81">
        <f t="shared" si="383"/>
        <v>0</v>
      </c>
      <c r="AP71" s="81">
        <f t="shared" si="383"/>
        <v>0</v>
      </c>
      <c r="AQ71" s="81">
        <f t="shared" si="383"/>
        <v>387.21773159999998</v>
      </c>
      <c r="AR71" s="81">
        <f t="shared" si="383"/>
        <v>0</v>
      </c>
      <c r="AS71" s="81">
        <f t="shared" si="383"/>
        <v>0</v>
      </c>
      <c r="AT71" s="81">
        <f t="shared" si="383"/>
        <v>0</v>
      </c>
      <c r="AU71" s="81">
        <f t="shared" si="383"/>
        <v>0</v>
      </c>
      <c r="AV71" s="81">
        <f t="shared" si="383"/>
        <v>408.88443286080008</v>
      </c>
      <c r="AW71" s="81">
        <f t="shared" si="383"/>
        <v>0</v>
      </c>
      <c r="AX71" s="81">
        <f t="shared" si="383"/>
        <v>0</v>
      </c>
      <c r="AY71" s="81">
        <f t="shared" si="383"/>
        <v>0</v>
      </c>
      <c r="AZ71" s="81">
        <f t="shared" si="383"/>
        <v>0</v>
      </c>
      <c r="BA71" s="81">
        <f t="shared" si="383"/>
        <v>451.7650568278799</v>
      </c>
      <c r="BB71" s="190"/>
      <c r="BC71" s="198">
        <v>0</v>
      </c>
      <c r="BD71" s="201"/>
      <c r="BE71" s="91"/>
      <c r="BF71" s="91"/>
      <c r="BG71" s="91"/>
      <c r="BH71" s="91"/>
    </row>
    <row r="72" spans="1:65" s="42" customFormat="1" ht="15" customHeight="1" collapsed="1" x14ac:dyDescent="0.25">
      <c r="A72" s="38"/>
      <c r="B72" s="219" t="s">
        <v>15</v>
      </c>
      <c r="C72" s="40"/>
      <c r="D72" s="40"/>
      <c r="E72" s="40"/>
      <c r="F72" s="40"/>
      <c r="G72" s="40"/>
      <c r="H72" s="73">
        <f>H71/H$51</f>
        <v>0</v>
      </c>
      <c r="I72" s="73" t="e">
        <f t="shared" ref="I72:BA72" si="384">I71/I$51</f>
        <v>#DIV/0!</v>
      </c>
      <c r="J72" s="73" t="e">
        <f t="shared" si="384"/>
        <v>#DIV/0!</v>
      </c>
      <c r="K72" s="73" t="e">
        <f t="shared" si="384"/>
        <v>#DIV/0!</v>
      </c>
      <c r="L72" s="73" t="e">
        <f t="shared" si="384"/>
        <v>#DIV/0!</v>
      </c>
      <c r="M72" s="73">
        <f t="shared" si="384"/>
        <v>0</v>
      </c>
      <c r="N72" s="73" t="e">
        <f t="shared" si="384"/>
        <v>#DIV/0!</v>
      </c>
      <c r="O72" s="73" t="e">
        <f t="shared" si="384"/>
        <v>#DIV/0!</v>
      </c>
      <c r="P72" s="73" t="e">
        <f t="shared" si="384"/>
        <v>#DIV/0!</v>
      </c>
      <c r="Q72" s="73" t="e">
        <f t="shared" si="384"/>
        <v>#DIV/0!</v>
      </c>
      <c r="R72" s="73">
        <f t="shared" si="384"/>
        <v>0.15202369200394866</v>
      </c>
      <c r="S72" s="73" t="e">
        <f t="shared" si="384"/>
        <v>#DIV/0!</v>
      </c>
      <c r="T72" s="73" t="e">
        <f t="shared" si="384"/>
        <v>#DIV/0!</v>
      </c>
      <c r="U72" s="73" t="e">
        <f t="shared" si="384"/>
        <v>#DIV/0!</v>
      </c>
      <c r="V72" s="73" t="e">
        <f t="shared" si="384"/>
        <v>#DIV/0!</v>
      </c>
      <c r="W72" s="73">
        <f t="shared" si="384"/>
        <v>0.19067757009345793</v>
      </c>
      <c r="X72" s="85">
        <f t="shared" si="384"/>
        <v>0</v>
      </c>
      <c r="Y72" s="85">
        <f t="shared" si="384"/>
        <v>0</v>
      </c>
      <c r="Z72" s="85">
        <f t="shared" si="384"/>
        <v>0</v>
      </c>
      <c r="AA72" s="85">
        <f t="shared" si="384"/>
        <v>0</v>
      </c>
      <c r="AB72" s="85">
        <f t="shared" si="384"/>
        <v>0.26032972972972973</v>
      </c>
      <c r="AC72" s="85">
        <f t="shared" si="384"/>
        <v>0</v>
      </c>
      <c r="AD72" s="85">
        <f t="shared" si="384"/>
        <v>0</v>
      </c>
      <c r="AE72" s="85">
        <f t="shared" si="384"/>
        <v>0</v>
      </c>
      <c r="AF72" s="85">
        <f t="shared" si="384"/>
        <v>0</v>
      </c>
      <c r="AG72" s="221">
        <f t="shared" si="384"/>
        <v>0.19418724214211164</v>
      </c>
      <c r="AH72" s="85">
        <f t="shared" si="384"/>
        <v>-1.0117647058823529</v>
      </c>
      <c r="AI72" s="85">
        <f t="shared" si="384"/>
        <v>0.35751295336787564</v>
      </c>
      <c r="AJ72" s="85">
        <f t="shared" si="384"/>
        <v>0.5043478260869565</v>
      </c>
      <c r="AK72" s="85">
        <f t="shared" si="384"/>
        <v>6.8493150684931503E-2</v>
      </c>
      <c r="AL72" s="221">
        <f t="shared" si="384"/>
        <v>0.28148137013049701</v>
      </c>
      <c r="AM72" s="85" t="e">
        <f t="shared" si="384"/>
        <v>#DIV/0!</v>
      </c>
      <c r="AN72" s="85" t="e">
        <f t="shared" si="384"/>
        <v>#DIV/0!</v>
      </c>
      <c r="AO72" s="85" t="e">
        <f t="shared" si="384"/>
        <v>#DIV/0!</v>
      </c>
      <c r="AP72" s="85" t="e">
        <f t="shared" si="384"/>
        <v>#DIV/0!</v>
      </c>
      <c r="AQ72" s="221">
        <f t="shared" si="384"/>
        <v>0.28868842864212757</v>
      </c>
      <c r="AR72" s="85" t="e">
        <f t="shared" si="384"/>
        <v>#DIV/0!</v>
      </c>
      <c r="AS72" s="85" t="e">
        <f t="shared" si="384"/>
        <v>#DIV/0!</v>
      </c>
      <c r="AT72" s="85" t="e">
        <f t="shared" si="384"/>
        <v>#DIV/0!</v>
      </c>
      <c r="AU72" s="85" t="e">
        <f t="shared" si="384"/>
        <v>#DIV/0!</v>
      </c>
      <c r="AV72" s="221">
        <f t="shared" si="384"/>
        <v>0.29240583864934466</v>
      </c>
      <c r="AW72" s="85" t="e">
        <f t="shared" si="384"/>
        <v>#DIV/0!</v>
      </c>
      <c r="AX72" s="85" t="e">
        <f t="shared" si="384"/>
        <v>#DIV/0!</v>
      </c>
      <c r="AY72" s="85" t="e">
        <f t="shared" si="384"/>
        <v>#DIV/0!</v>
      </c>
      <c r="AZ72" s="85" t="e">
        <f t="shared" si="384"/>
        <v>#DIV/0!</v>
      </c>
      <c r="BA72" s="221">
        <f t="shared" si="384"/>
        <v>0.31550806908912782</v>
      </c>
      <c r="BB72" s="183"/>
      <c r="BC72" s="198">
        <v>0</v>
      </c>
      <c r="BD72" s="38"/>
    </row>
    <row r="73" spans="1:65" s="10" customFormat="1" ht="15" customHeight="1" x14ac:dyDescent="0.25">
      <c r="A73" s="9"/>
      <c r="B73" s="110" t="s">
        <v>36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83">
        <f>R71-R74</f>
        <v>80</v>
      </c>
      <c r="S73" s="83">
        <f t="shared" ref="S73:AG73" si="385">S71-S74</f>
        <v>0</v>
      </c>
      <c r="T73" s="83">
        <f t="shared" si="385"/>
        <v>0</v>
      </c>
      <c r="U73" s="83">
        <f t="shared" si="385"/>
        <v>0</v>
      </c>
      <c r="V73" s="83">
        <f t="shared" si="385"/>
        <v>0</v>
      </c>
      <c r="W73" s="83">
        <f t="shared" si="385"/>
        <v>-70.975000000000023</v>
      </c>
      <c r="X73" s="92">
        <f t="shared" si="385"/>
        <v>0</v>
      </c>
      <c r="Y73" s="92">
        <f t="shared" si="385"/>
        <v>0</v>
      </c>
      <c r="Z73" s="92">
        <f t="shared" si="385"/>
        <v>0</v>
      </c>
      <c r="AA73" s="92">
        <f t="shared" si="385"/>
        <v>0</v>
      </c>
      <c r="AB73" s="92">
        <f t="shared" si="385"/>
        <v>7.9660000000000082</v>
      </c>
      <c r="AC73" s="83">
        <f t="shared" si="385"/>
        <v>0</v>
      </c>
      <c r="AD73" s="83">
        <f t="shared" si="385"/>
        <v>0</v>
      </c>
      <c r="AE73" s="83">
        <f t="shared" si="385"/>
        <v>0</v>
      </c>
      <c r="AF73" s="83">
        <f t="shared" si="385"/>
        <v>0</v>
      </c>
      <c r="AG73" s="83">
        <f t="shared" si="385"/>
        <v>-5.6760000000001583</v>
      </c>
      <c r="AH73" s="11">
        <v>-1</v>
      </c>
      <c r="AI73" s="11">
        <v>0</v>
      </c>
      <c r="AJ73" s="11">
        <v>0</v>
      </c>
      <c r="AK73" s="11">
        <v>-6</v>
      </c>
      <c r="AL73" s="83">
        <f>9.882+6.557+0.223</f>
        <v>16.661999999999999</v>
      </c>
      <c r="AM73" s="11"/>
      <c r="AN73" s="11"/>
      <c r="AO73" s="11"/>
      <c r="AP73" s="11"/>
      <c r="AQ73" s="146">
        <v>0</v>
      </c>
      <c r="AR73" s="146"/>
      <c r="AS73" s="146"/>
      <c r="AT73" s="146"/>
      <c r="AU73" s="146"/>
      <c r="AV73" s="146">
        <v>0</v>
      </c>
      <c r="AW73" s="146"/>
      <c r="AX73" s="146"/>
      <c r="AY73" s="146"/>
      <c r="AZ73" s="146"/>
      <c r="BA73" s="146">
        <v>0</v>
      </c>
      <c r="BB73" s="188"/>
      <c r="BC73" s="198">
        <v>0</v>
      </c>
      <c r="BD73" s="9"/>
    </row>
    <row r="74" spans="1:65" s="10" customFormat="1" ht="15" customHeight="1" x14ac:dyDescent="0.25">
      <c r="A74" s="9"/>
      <c r="B74" s="77" t="s">
        <v>195</v>
      </c>
      <c r="C74" s="143"/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>
        <v>74</v>
      </c>
      <c r="S74" s="143"/>
      <c r="T74" s="143"/>
      <c r="U74" s="143"/>
      <c r="V74" s="143"/>
      <c r="W74" s="143">
        <v>275</v>
      </c>
      <c r="X74" s="144"/>
      <c r="Y74" s="145"/>
      <c r="Z74" s="145"/>
      <c r="AA74" s="145"/>
      <c r="AB74" s="145">
        <v>281</v>
      </c>
      <c r="AC74" s="143"/>
      <c r="AD74" s="143"/>
      <c r="AE74" s="143"/>
      <c r="AF74" s="143"/>
      <c r="AG74" s="143">
        <v>234</v>
      </c>
      <c r="AH74" s="143">
        <f t="shared" ref="AH74:AK74" si="386">AH71-AH73</f>
        <v>-85</v>
      </c>
      <c r="AI74" s="143">
        <f t="shared" si="386"/>
        <v>138</v>
      </c>
      <c r="AJ74" s="143">
        <f t="shared" si="386"/>
        <v>290</v>
      </c>
      <c r="AK74" s="143">
        <f t="shared" si="386"/>
        <v>21</v>
      </c>
      <c r="AL74" s="143">
        <f>AL71-AL73</f>
        <v>339.11300000000017</v>
      </c>
      <c r="AM74" s="143"/>
      <c r="AN74" s="143"/>
      <c r="AO74" s="143"/>
      <c r="AP74" s="143"/>
      <c r="AQ74" s="143">
        <f>AQ71-AQ73</f>
        <v>387.21773159999998</v>
      </c>
      <c r="AR74" s="143"/>
      <c r="AS74" s="143"/>
      <c r="AT74" s="143"/>
      <c r="AU74" s="143"/>
      <c r="AV74" s="143">
        <f>AV71-AV73</f>
        <v>408.88443286080008</v>
      </c>
      <c r="AW74" s="143"/>
      <c r="AX74" s="143"/>
      <c r="AY74" s="143"/>
      <c r="AZ74" s="143"/>
      <c r="BA74" s="223">
        <f>BA71-BA73</f>
        <v>451.7650568278799</v>
      </c>
      <c r="BB74" s="188"/>
      <c r="BC74" s="198">
        <v>0</v>
      </c>
      <c r="BD74" s="9"/>
    </row>
    <row r="75" spans="1:65" s="42" customFormat="1" ht="15" customHeight="1" collapsed="1" x14ac:dyDescent="0.25">
      <c r="A75" s="38"/>
      <c r="B75" s="110" t="s">
        <v>37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83">
        <v>65</v>
      </c>
      <c r="S75" s="83"/>
      <c r="T75" s="83"/>
      <c r="U75" s="83"/>
      <c r="V75" s="83"/>
      <c r="W75" s="83">
        <v>46</v>
      </c>
      <c r="X75" s="83"/>
      <c r="Y75" s="83"/>
      <c r="Z75" s="83"/>
      <c r="AA75" s="83"/>
      <c r="AB75" s="83">
        <v>74</v>
      </c>
      <c r="AC75" s="83"/>
      <c r="AD75" s="83"/>
      <c r="AE75" s="83"/>
      <c r="AF75" s="83"/>
      <c r="AG75" s="83">
        <v>73</v>
      </c>
      <c r="AH75" s="83">
        <v>19</v>
      </c>
      <c r="AI75" s="83">
        <v>19</v>
      </c>
      <c r="AJ75" s="83">
        <v>19</v>
      </c>
      <c r="AK75" s="83">
        <v>19</v>
      </c>
      <c r="AL75" s="83">
        <v>75.903000000000006</v>
      </c>
      <c r="AM75" s="83"/>
      <c r="AN75" s="83"/>
      <c r="AO75" s="83"/>
      <c r="AP75" s="83"/>
      <c r="AQ75" s="146">
        <v>77</v>
      </c>
      <c r="AR75" s="83"/>
      <c r="AS75" s="83"/>
      <c r="AT75" s="83"/>
      <c r="AU75" s="83"/>
      <c r="AV75" s="146">
        <v>78</v>
      </c>
      <c r="AW75" s="83"/>
      <c r="AX75" s="83"/>
      <c r="AY75" s="83"/>
      <c r="AZ75" s="83"/>
      <c r="BA75" s="146">
        <v>79</v>
      </c>
      <c r="BB75" s="183"/>
      <c r="BC75" s="198">
        <v>0</v>
      </c>
      <c r="BD75" s="38"/>
    </row>
    <row r="76" spans="1:65" s="227" customFormat="1" ht="15" customHeight="1" x14ac:dyDescent="0.25">
      <c r="A76" s="224" t="s">
        <v>17</v>
      </c>
      <c r="B76" s="135" t="s">
        <v>38</v>
      </c>
      <c r="C76" s="11"/>
      <c r="D76" s="11"/>
      <c r="E76" s="11"/>
      <c r="F76" s="11"/>
      <c r="G76" s="11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>
        <f>R74-R75</f>
        <v>9</v>
      </c>
      <c r="S76" s="89">
        <f t="shared" ref="S76:AG76" si="387">S74-S75</f>
        <v>0</v>
      </c>
      <c r="T76" s="89">
        <f t="shared" si="387"/>
        <v>0</v>
      </c>
      <c r="U76" s="89">
        <f t="shared" si="387"/>
        <v>0</v>
      </c>
      <c r="V76" s="89">
        <f t="shared" si="387"/>
        <v>0</v>
      </c>
      <c r="W76" s="89">
        <f t="shared" si="387"/>
        <v>229</v>
      </c>
      <c r="X76" s="89">
        <f t="shared" si="387"/>
        <v>0</v>
      </c>
      <c r="Y76" s="89">
        <f t="shared" si="387"/>
        <v>0</v>
      </c>
      <c r="Z76" s="89">
        <f t="shared" si="387"/>
        <v>0</v>
      </c>
      <c r="AA76" s="89">
        <f t="shared" si="387"/>
        <v>0</v>
      </c>
      <c r="AB76" s="89">
        <f t="shared" si="387"/>
        <v>207</v>
      </c>
      <c r="AC76" s="89">
        <f t="shared" si="387"/>
        <v>0</v>
      </c>
      <c r="AD76" s="89">
        <f t="shared" si="387"/>
        <v>0</v>
      </c>
      <c r="AE76" s="89">
        <f t="shared" si="387"/>
        <v>0</v>
      </c>
      <c r="AF76" s="89">
        <f t="shared" si="387"/>
        <v>0</v>
      </c>
      <c r="AG76" s="89">
        <f t="shared" si="387"/>
        <v>161</v>
      </c>
      <c r="AH76" s="89">
        <f t="shared" ref="AH76" si="388">AH74-AH75</f>
        <v>-104</v>
      </c>
      <c r="AI76" s="89">
        <f t="shared" ref="AI76" si="389">AI74-AI75</f>
        <v>119</v>
      </c>
      <c r="AJ76" s="89">
        <f t="shared" ref="AJ76" si="390">AJ74-AJ75</f>
        <v>271</v>
      </c>
      <c r="AK76" s="89">
        <f t="shared" ref="AK76" si="391">AK74-AK75</f>
        <v>2</v>
      </c>
      <c r="AL76" s="89">
        <f t="shared" ref="AL76" si="392">AL74-AL75</f>
        <v>263.21000000000015</v>
      </c>
      <c r="AM76" s="89">
        <f t="shared" ref="AM76" si="393">AM74-AM75</f>
        <v>0</v>
      </c>
      <c r="AN76" s="89">
        <f t="shared" ref="AN76" si="394">AN74-AN75</f>
        <v>0</v>
      </c>
      <c r="AO76" s="89">
        <f t="shared" ref="AO76" si="395">AO74-AO75</f>
        <v>0</v>
      </c>
      <c r="AP76" s="89">
        <f t="shared" ref="AP76" si="396">AP74-AP75</f>
        <v>0</v>
      </c>
      <c r="AQ76" s="89">
        <f t="shared" ref="AQ76" si="397">AQ74-AQ75</f>
        <v>310.21773159999998</v>
      </c>
      <c r="AR76" s="89">
        <f t="shared" ref="AR76" si="398">AR74-AR75</f>
        <v>0</v>
      </c>
      <c r="AS76" s="89">
        <f t="shared" ref="AS76" si="399">AS74-AS75</f>
        <v>0</v>
      </c>
      <c r="AT76" s="89">
        <f t="shared" ref="AT76" si="400">AT74-AT75</f>
        <v>0</v>
      </c>
      <c r="AU76" s="89">
        <f t="shared" ref="AU76" si="401">AU74-AU75</f>
        <v>0</v>
      </c>
      <c r="AV76" s="89">
        <f t="shared" ref="AV76" si="402">AV74-AV75</f>
        <v>330.88443286080008</v>
      </c>
      <c r="AW76" s="89">
        <f t="shared" ref="AW76" si="403">AW74-AW75</f>
        <v>0</v>
      </c>
      <c r="AX76" s="89">
        <f t="shared" ref="AX76" si="404">AX74-AX75</f>
        <v>0</v>
      </c>
      <c r="AY76" s="89">
        <f t="shared" ref="AY76" si="405">AY74-AY75</f>
        <v>0</v>
      </c>
      <c r="AZ76" s="89">
        <f t="shared" ref="AZ76" si="406">AZ74-AZ75</f>
        <v>0</v>
      </c>
      <c r="BA76" s="89">
        <f t="shared" ref="BA76" si="407">BA74-BA75</f>
        <v>372.7650568278799</v>
      </c>
      <c r="BB76" s="225"/>
      <c r="BC76" s="226">
        <v>0</v>
      </c>
      <c r="BD76" s="224"/>
    </row>
    <row r="77" spans="1:65" s="42" customFormat="1" ht="15" customHeight="1" x14ac:dyDescent="0.25">
      <c r="A77" s="38"/>
      <c r="B77" s="110" t="s">
        <v>43</v>
      </c>
      <c r="C77" s="83">
        <v>352</v>
      </c>
      <c r="D77" s="83">
        <v>381</v>
      </c>
      <c r="E77" s="83">
        <v>400</v>
      </c>
      <c r="F77" s="83">
        <v>416</v>
      </c>
      <c r="G77" s="83">
        <v>408</v>
      </c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>
        <v>-8</v>
      </c>
      <c r="S77" s="83"/>
      <c r="T77" s="83"/>
      <c r="U77" s="83"/>
      <c r="V77" s="83"/>
      <c r="W77" s="83">
        <v>-184</v>
      </c>
      <c r="X77" s="92"/>
      <c r="Y77" s="92"/>
      <c r="Z77" s="92"/>
      <c r="AA77" s="92"/>
      <c r="AB77" s="92">
        <v>48</v>
      </c>
      <c r="AC77" s="83"/>
      <c r="AD77" s="83"/>
      <c r="AE77" s="83"/>
      <c r="AF77" s="83"/>
      <c r="AG77" s="83">
        <v>47</v>
      </c>
      <c r="AH77" s="83">
        <v>-36</v>
      </c>
      <c r="AI77" s="83">
        <v>27</v>
      </c>
      <c r="AJ77" s="83">
        <v>93</v>
      </c>
      <c r="AK77" s="83">
        <v>-14</v>
      </c>
      <c r="AL77" s="83">
        <v>70.369</v>
      </c>
      <c r="AM77" s="83"/>
      <c r="AN77" s="83"/>
      <c r="AO77" s="83"/>
      <c r="AP77" s="83"/>
      <c r="AQ77" s="83">
        <f>AQ78*AQ76</f>
        <v>114.78056069199999</v>
      </c>
      <c r="AR77" s="83"/>
      <c r="AS77" s="83"/>
      <c r="AT77" s="83"/>
      <c r="AU77" s="83"/>
      <c r="AV77" s="83">
        <f>AV78*AV76</f>
        <v>122.42724015849602</v>
      </c>
      <c r="AW77" s="83"/>
      <c r="AX77" s="83"/>
      <c r="AY77" s="83"/>
      <c r="AZ77" s="83"/>
      <c r="BA77" s="83">
        <f>BA78*BA76</f>
        <v>137.92307102631557</v>
      </c>
      <c r="BB77" s="183"/>
      <c r="BC77" s="198">
        <v>0</v>
      </c>
      <c r="BD77" s="38"/>
    </row>
    <row r="78" spans="1:65" s="42" customFormat="1" ht="15" customHeight="1" x14ac:dyDescent="0.25">
      <c r="A78" s="38"/>
      <c r="B78" s="219" t="s">
        <v>39</v>
      </c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73">
        <f>R77/R76</f>
        <v>-0.88888888888888884</v>
      </c>
      <c r="S78" s="83"/>
      <c r="T78" s="83"/>
      <c r="U78" s="83"/>
      <c r="V78" s="83"/>
      <c r="W78" s="73">
        <f>W77/W76</f>
        <v>-0.80349344978165937</v>
      </c>
      <c r="X78" s="92"/>
      <c r="Y78" s="92"/>
      <c r="Z78" s="92"/>
      <c r="AA78" s="92"/>
      <c r="AB78" s="73">
        <f>AB77/AB76</f>
        <v>0.2318840579710145</v>
      </c>
      <c r="AC78" s="83"/>
      <c r="AD78" s="83"/>
      <c r="AE78" s="83"/>
      <c r="AF78" s="83"/>
      <c r="AG78" s="73">
        <f t="shared" ref="AG78:AL78" si="408">AG77/AG76</f>
        <v>0.29192546583850931</v>
      </c>
      <c r="AH78" s="73">
        <f t="shared" si="408"/>
        <v>0.34615384615384615</v>
      </c>
      <c r="AI78" s="73">
        <f t="shared" si="408"/>
        <v>0.22689075630252101</v>
      </c>
      <c r="AJ78" s="73">
        <f t="shared" si="408"/>
        <v>0.34317343173431736</v>
      </c>
      <c r="AK78" s="73">
        <f t="shared" si="408"/>
        <v>-7</v>
      </c>
      <c r="AL78" s="73">
        <f t="shared" si="408"/>
        <v>0.26734926484556043</v>
      </c>
      <c r="AM78" s="83"/>
      <c r="AN78" s="83"/>
      <c r="AO78" s="83"/>
      <c r="AP78" s="83"/>
      <c r="AQ78" s="154">
        <v>0.37</v>
      </c>
      <c r="AR78" s="83"/>
      <c r="AS78" s="83"/>
      <c r="AT78" s="83"/>
      <c r="AU78" s="83"/>
      <c r="AV78" s="154">
        <v>0.37</v>
      </c>
      <c r="AW78" s="83"/>
      <c r="AX78" s="83"/>
      <c r="AY78" s="83"/>
      <c r="AZ78" s="83"/>
      <c r="BA78" s="154">
        <v>0.37</v>
      </c>
      <c r="BB78" s="183"/>
      <c r="BC78" s="198">
        <v>0</v>
      </c>
      <c r="BD78" s="206" t="s">
        <v>189</v>
      </c>
    </row>
    <row r="79" spans="1:65" s="42" customFormat="1" ht="15" customHeight="1" x14ac:dyDescent="0.25">
      <c r="A79" s="38"/>
      <c r="B79" s="110" t="s">
        <v>40</v>
      </c>
      <c r="C79" s="83">
        <v>352</v>
      </c>
      <c r="D79" s="83">
        <v>381</v>
      </c>
      <c r="E79" s="83">
        <v>400</v>
      </c>
      <c r="F79" s="83">
        <v>416</v>
      </c>
      <c r="G79" s="83">
        <v>408</v>
      </c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>
        <v>-36</v>
      </c>
      <c r="S79" s="83"/>
      <c r="T79" s="83"/>
      <c r="U79" s="83"/>
      <c r="V79" s="83"/>
      <c r="W79" s="83">
        <v>-37</v>
      </c>
      <c r="X79" s="92"/>
      <c r="Y79" s="92"/>
      <c r="Z79" s="92"/>
      <c r="AA79" s="92"/>
      <c r="AB79" s="92">
        <v>-38</v>
      </c>
      <c r="AC79" s="83"/>
      <c r="AD79" s="83"/>
      <c r="AE79" s="83"/>
      <c r="AF79" s="83"/>
      <c r="AG79" s="83">
        <v>-38</v>
      </c>
      <c r="AH79" s="83">
        <v>0</v>
      </c>
      <c r="AI79" s="83">
        <v>-19</v>
      </c>
      <c r="AJ79" s="83">
        <v>-19</v>
      </c>
      <c r="AK79" s="83">
        <v>0</v>
      </c>
      <c r="AL79" s="83">
        <v>-38.164999999999999</v>
      </c>
      <c r="AM79" s="83"/>
      <c r="AN79" s="83"/>
      <c r="AO79" s="83"/>
      <c r="AP79" s="83"/>
      <c r="AQ79" s="83">
        <v>-38</v>
      </c>
      <c r="AR79" s="83"/>
      <c r="AS79" s="83"/>
      <c r="AT79" s="83"/>
      <c r="AU79" s="83"/>
      <c r="AV79" s="83">
        <v>-38</v>
      </c>
      <c r="AW79" s="83"/>
      <c r="AX79" s="83"/>
      <c r="AY79" s="83"/>
      <c r="AZ79" s="83"/>
      <c r="BA79" s="83">
        <v>-38</v>
      </c>
      <c r="BB79" s="183"/>
      <c r="BC79" s="198">
        <v>0</v>
      </c>
      <c r="BD79" s="38"/>
    </row>
    <row r="80" spans="1:65" s="42" customFormat="1" ht="15" customHeight="1" x14ac:dyDescent="0.25">
      <c r="A80" s="38"/>
      <c r="B80" s="135" t="s">
        <v>41</v>
      </c>
      <c r="C80" s="11"/>
      <c r="D80" s="11"/>
      <c r="E80" s="11"/>
      <c r="F80" s="11"/>
      <c r="G80" s="11"/>
      <c r="H80" s="89"/>
      <c r="I80" s="89"/>
      <c r="J80" s="89"/>
      <c r="K80" s="89"/>
      <c r="L80" s="89"/>
      <c r="M80" s="89"/>
      <c r="N80" s="89"/>
      <c r="O80" s="89"/>
      <c r="P80" s="89"/>
      <c r="Q80" s="89"/>
      <c r="R80" s="89">
        <f>R76-R77+R79</f>
        <v>-19</v>
      </c>
      <c r="S80" s="89">
        <f t="shared" ref="S80" si="409">S78-S79</f>
        <v>0</v>
      </c>
      <c r="T80" s="89">
        <f t="shared" ref="T80" si="410">T78-T79</f>
        <v>0</v>
      </c>
      <c r="U80" s="89">
        <f t="shared" ref="U80" si="411">U78-U79</f>
        <v>0</v>
      </c>
      <c r="V80" s="89">
        <f t="shared" ref="V80" si="412">V78-V79</f>
        <v>0</v>
      </c>
      <c r="W80" s="89">
        <v>365.935</v>
      </c>
      <c r="X80" s="89">
        <f t="shared" ref="X80" si="413">X78-X79</f>
        <v>0</v>
      </c>
      <c r="Y80" s="89">
        <f t="shared" ref="Y80" si="414">Y78-Y79</f>
        <v>0</v>
      </c>
      <c r="Z80" s="89">
        <f t="shared" ref="Z80" si="415">Z78-Z79</f>
        <v>0</v>
      </c>
      <c r="AA80" s="89">
        <f t="shared" ref="AA80" si="416">AA78-AA79</f>
        <v>0</v>
      </c>
      <c r="AB80" s="89">
        <v>118.55200000000001</v>
      </c>
      <c r="AC80" s="89">
        <f t="shared" ref="AC80" si="417">AC78-AC79</f>
        <v>0</v>
      </c>
      <c r="AD80" s="89">
        <f t="shared" ref="AD80" si="418">AD78-AD79</f>
        <v>0</v>
      </c>
      <c r="AE80" s="89">
        <f t="shared" ref="AE80" si="419">AE78-AE79</f>
        <v>0</v>
      </c>
      <c r="AF80" s="89">
        <f t="shared" ref="AF80" si="420">AF78-AF79</f>
        <v>0</v>
      </c>
      <c r="AG80" s="89">
        <f>AG76-AG77+AG79</f>
        <v>76</v>
      </c>
      <c r="AH80" s="89">
        <f t="shared" ref="AH80:BA80" si="421">AH76-AH77+AH79</f>
        <v>-68</v>
      </c>
      <c r="AI80" s="89">
        <f t="shared" si="421"/>
        <v>73</v>
      </c>
      <c r="AJ80" s="89">
        <f t="shared" si="421"/>
        <v>159</v>
      </c>
      <c r="AK80" s="89">
        <f t="shared" si="421"/>
        <v>16</v>
      </c>
      <c r="AL80" s="89">
        <f t="shared" si="421"/>
        <v>154.67600000000016</v>
      </c>
      <c r="AM80" s="89">
        <f t="shared" si="421"/>
        <v>0</v>
      </c>
      <c r="AN80" s="89">
        <f t="shared" si="421"/>
        <v>0</v>
      </c>
      <c r="AO80" s="89">
        <f t="shared" si="421"/>
        <v>0</v>
      </c>
      <c r="AP80" s="89">
        <f t="shared" si="421"/>
        <v>0</v>
      </c>
      <c r="AQ80" s="89">
        <f t="shared" si="421"/>
        <v>157.43717090799998</v>
      </c>
      <c r="AR80" s="89">
        <f t="shared" si="421"/>
        <v>0</v>
      </c>
      <c r="AS80" s="89">
        <f t="shared" si="421"/>
        <v>0</v>
      </c>
      <c r="AT80" s="89">
        <f t="shared" si="421"/>
        <v>0</v>
      </c>
      <c r="AU80" s="89">
        <f t="shared" si="421"/>
        <v>0</v>
      </c>
      <c r="AV80" s="89">
        <f t="shared" si="421"/>
        <v>170.45719270230404</v>
      </c>
      <c r="AW80" s="89">
        <f t="shared" si="421"/>
        <v>0</v>
      </c>
      <c r="AX80" s="89">
        <f t="shared" si="421"/>
        <v>0</v>
      </c>
      <c r="AY80" s="89">
        <f t="shared" si="421"/>
        <v>0</v>
      </c>
      <c r="AZ80" s="89">
        <f t="shared" si="421"/>
        <v>0</v>
      </c>
      <c r="BA80" s="89">
        <f t="shared" si="421"/>
        <v>196.84198580156433</v>
      </c>
      <c r="BB80" s="183"/>
      <c r="BC80" s="198">
        <v>0</v>
      </c>
      <c r="BD80" s="38"/>
    </row>
    <row r="81" spans="1:56" s="42" customFormat="1" ht="15" customHeight="1" x14ac:dyDescent="0.25">
      <c r="A81" s="38"/>
      <c r="B81" s="110" t="s">
        <v>42</v>
      </c>
      <c r="C81" s="83">
        <v>352</v>
      </c>
      <c r="D81" s="83">
        <v>381</v>
      </c>
      <c r="E81" s="83">
        <v>400</v>
      </c>
      <c r="F81" s="83">
        <v>416</v>
      </c>
      <c r="G81" s="83">
        <v>408</v>
      </c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>
        <v>151</v>
      </c>
      <c r="S81" s="83"/>
      <c r="T81" s="83"/>
      <c r="U81" s="83"/>
      <c r="V81" s="83"/>
      <c r="W81" s="83">
        <v>-25</v>
      </c>
      <c r="X81" s="92"/>
      <c r="Y81" s="92"/>
      <c r="Z81" s="92"/>
      <c r="AA81" s="92"/>
      <c r="AB81" s="92">
        <v>3</v>
      </c>
      <c r="AC81" s="83"/>
      <c r="AD81" s="83"/>
      <c r="AE81" s="83"/>
      <c r="AF81" s="83"/>
      <c r="AG81" s="83">
        <v>-3</v>
      </c>
      <c r="AH81" s="83"/>
      <c r="AI81" s="83"/>
      <c r="AJ81" s="83"/>
      <c r="AK81" s="83"/>
      <c r="AL81" s="83">
        <v>0</v>
      </c>
      <c r="AM81" s="83"/>
      <c r="AN81" s="83"/>
      <c r="AO81" s="83"/>
      <c r="AP81" s="83"/>
      <c r="AQ81" s="83">
        <v>0</v>
      </c>
      <c r="AR81" s="83"/>
      <c r="AS81" s="83"/>
      <c r="AT81" s="83"/>
      <c r="AU81" s="83"/>
      <c r="AV81" s="83">
        <v>0</v>
      </c>
      <c r="AW81" s="83"/>
      <c r="AX81" s="83"/>
      <c r="AY81" s="83"/>
      <c r="AZ81" s="83"/>
      <c r="BA81" s="83">
        <v>0</v>
      </c>
      <c r="BB81" s="183"/>
      <c r="BC81" s="198">
        <v>0</v>
      </c>
      <c r="BD81" s="38"/>
    </row>
    <row r="82" spans="1:56" s="42" customFormat="1" ht="15" customHeight="1" x14ac:dyDescent="0.25">
      <c r="A82" s="38"/>
      <c r="B82" s="77" t="s">
        <v>46</v>
      </c>
      <c r="C82" s="143"/>
      <c r="D82" s="143"/>
      <c r="E82" s="143"/>
      <c r="F82" s="143"/>
      <c r="G82" s="143"/>
      <c r="H82" s="228"/>
      <c r="I82" s="228"/>
      <c r="J82" s="228"/>
      <c r="K82" s="228"/>
      <c r="L82" s="228"/>
      <c r="M82" s="228"/>
      <c r="N82" s="228"/>
      <c r="O82" s="228"/>
      <c r="P82" s="228"/>
      <c r="Q82" s="228"/>
      <c r="R82" s="228">
        <f>R80+R81</f>
        <v>132</v>
      </c>
      <c r="S82" s="228">
        <f t="shared" ref="S82:BA82" si="422">S80+S81</f>
        <v>0</v>
      </c>
      <c r="T82" s="228">
        <f t="shared" si="422"/>
        <v>0</v>
      </c>
      <c r="U82" s="228">
        <f t="shared" si="422"/>
        <v>0</v>
      </c>
      <c r="V82" s="228">
        <f t="shared" si="422"/>
        <v>0</v>
      </c>
      <c r="W82" s="228">
        <f t="shared" si="422"/>
        <v>340.935</v>
      </c>
      <c r="X82" s="228">
        <f t="shared" si="422"/>
        <v>0</v>
      </c>
      <c r="Y82" s="228">
        <f t="shared" si="422"/>
        <v>0</v>
      </c>
      <c r="Z82" s="228">
        <f t="shared" si="422"/>
        <v>0</v>
      </c>
      <c r="AA82" s="228">
        <f t="shared" si="422"/>
        <v>0</v>
      </c>
      <c r="AB82" s="228">
        <f t="shared" si="422"/>
        <v>121.55200000000001</v>
      </c>
      <c r="AC82" s="228">
        <f t="shared" si="422"/>
        <v>0</v>
      </c>
      <c r="AD82" s="228">
        <f t="shared" si="422"/>
        <v>0</v>
      </c>
      <c r="AE82" s="228">
        <f t="shared" si="422"/>
        <v>0</v>
      </c>
      <c r="AF82" s="228">
        <f t="shared" si="422"/>
        <v>0</v>
      </c>
      <c r="AG82" s="228">
        <f t="shared" si="422"/>
        <v>73</v>
      </c>
      <c r="AH82" s="228">
        <f t="shared" si="422"/>
        <v>-68</v>
      </c>
      <c r="AI82" s="228">
        <f t="shared" si="422"/>
        <v>73</v>
      </c>
      <c r="AJ82" s="228">
        <f t="shared" si="422"/>
        <v>159</v>
      </c>
      <c r="AK82" s="228">
        <f t="shared" si="422"/>
        <v>16</v>
      </c>
      <c r="AL82" s="228">
        <f t="shared" si="422"/>
        <v>154.67600000000016</v>
      </c>
      <c r="AM82" s="228">
        <f t="shared" si="422"/>
        <v>0</v>
      </c>
      <c r="AN82" s="228">
        <f t="shared" si="422"/>
        <v>0</v>
      </c>
      <c r="AO82" s="228">
        <f t="shared" si="422"/>
        <v>0</v>
      </c>
      <c r="AP82" s="228">
        <f t="shared" si="422"/>
        <v>0</v>
      </c>
      <c r="AQ82" s="228">
        <f t="shared" si="422"/>
        <v>157.43717090799998</v>
      </c>
      <c r="AR82" s="228">
        <f t="shared" si="422"/>
        <v>0</v>
      </c>
      <c r="AS82" s="228">
        <f t="shared" si="422"/>
        <v>0</v>
      </c>
      <c r="AT82" s="228">
        <f t="shared" si="422"/>
        <v>0</v>
      </c>
      <c r="AU82" s="228">
        <f t="shared" si="422"/>
        <v>0</v>
      </c>
      <c r="AV82" s="228">
        <f t="shared" si="422"/>
        <v>170.45719270230404</v>
      </c>
      <c r="AW82" s="228">
        <f t="shared" si="422"/>
        <v>0</v>
      </c>
      <c r="AX82" s="228">
        <f t="shared" si="422"/>
        <v>0</v>
      </c>
      <c r="AY82" s="228">
        <f t="shared" si="422"/>
        <v>0</v>
      </c>
      <c r="AZ82" s="228">
        <f t="shared" si="422"/>
        <v>0</v>
      </c>
      <c r="BA82" s="229">
        <f t="shared" si="422"/>
        <v>196.84198580156433</v>
      </c>
      <c r="BB82" s="183"/>
      <c r="BC82" s="198">
        <v>0</v>
      </c>
      <c r="BD82" s="38"/>
    </row>
    <row r="83" spans="1:56" s="42" customFormat="1" ht="15" customHeight="1" x14ac:dyDescent="0.25">
      <c r="A83" s="38"/>
      <c r="B83" s="127" t="s">
        <v>216</v>
      </c>
      <c r="C83" s="83">
        <v>352</v>
      </c>
      <c r="D83" s="83">
        <v>381</v>
      </c>
      <c r="E83" s="83">
        <v>400</v>
      </c>
      <c r="F83" s="83">
        <v>416</v>
      </c>
      <c r="G83" s="83">
        <v>408</v>
      </c>
      <c r="H83" s="146">
        <v>112</v>
      </c>
      <c r="I83" s="83"/>
      <c r="J83" s="83"/>
      <c r="K83" s="83"/>
      <c r="L83" s="83"/>
      <c r="M83" s="146">
        <v>112</v>
      </c>
      <c r="N83" s="83"/>
      <c r="O83" s="83"/>
      <c r="P83" s="83"/>
      <c r="Q83" s="83"/>
      <c r="R83" s="83">
        <v>111.8</v>
      </c>
      <c r="S83" s="83"/>
      <c r="T83" s="83"/>
      <c r="U83" s="83"/>
      <c r="V83" s="83"/>
      <c r="W83" s="83">
        <v>111.8</v>
      </c>
      <c r="X83" s="92"/>
      <c r="Y83" s="92"/>
      <c r="Z83" s="92"/>
      <c r="AA83" s="92"/>
      <c r="AB83" s="92">
        <v>100.4</v>
      </c>
      <c r="AC83" s="83"/>
      <c r="AD83" s="83"/>
      <c r="AE83" s="83"/>
      <c r="AF83" s="83"/>
      <c r="AG83" s="83">
        <v>98.1</v>
      </c>
      <c r="AH83" s="83">
        <v>93.9</v>
      </c>
      <c r="AI83" s="83">
        <v>97.4</v>
      </c>
      <c r="AJ83" s="83">
        <v>96.2</v>
      </c>
      <c r="AK83" s="83">
        <v>95.6</v>
      </c>
      <c r="AL83" s="83">
        <v>97.980999999999995</v>
      </c>
      <c r="AM83" s="83"/>
      <c r="AN83" s="83"/>
      <c r="AO83" s="83"/>
      <c r="AP83" s="83"/>
      <c r="AQ83" s="287">
        <f>95.5+(AQ222/Summary!$G$7)+(AQ221/Summary!$G$7)</f>
        <v>94.811836413684631</v>
      </c>
      <c r="AR83" s="287"/>
      <c r="AS83" s="287"/>
      <c r="AT83" s="287"/>
      <c r="AU83" s="287"/>
      <c r="AV83" s="287">
        <f>AQ83+(AV222/Summary!$G$7)+(AV221/Summary!$G$7)</f>
        <v>94.615218246165952</v>
      </c>
      <c r="AW83" s="287"/>
      <c r="AX83" s="287"/>
      <c r="AY83" s="287"/>
      <c r="AZ83" s="287"/>
      <c r="BA83" s="287">
        <f>AV83+(BA222/Summary!$G$7)+(BA221/Summary!$G$7)</f>
        <v>94.910145497443978</v>
      </c>
      <c r="BB83" s="183"/>
      <c r="BC83" s="198">
        <v>0</v>
      </c>
      <c r="BD83" s="38"/>
    </row>
    <row r="84" spans="1:56" s="42" customFormat="1" ht="15" customHeight="1" x14ac:dyDescent="0.25">
      <c r="A84" s="38"/>
      <c r="B84" s="102" t="s">
        <v>44</v>
      </c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230">
        <f>R80/R83</f>
        <v>-0.16994633273703041</v>
      </c>
      <c r="S84" s="230" t="e">
        <f t="shared" ref="S84:BA84" si="423">S80/S83</f>
        <v>#DIV/0!</v>
      </c>
      <c r="T84" s="230" t="e">
        <f t="shared" si="423"/>
        <v>#DIV/0!</v>
      </c>
      <c r="U84" s="230" t="e">
        <f t="shared" si="423"/>
        <v>#DIV/0!</v>
      </c>
      <c r="V84" s="230" t="e">
        <f t="shared" si="423"/>
        <v>#DIV/0!</v>
      </c>
      <c r="W84" s="230">
        <f t="shared" si="423"/>
        <v>3.2731216457960643</v>
      </c>
      <c r="X84" s="230" t="e">
        <f t="shared" si="423"/>
        <v>#DIV/0!</v>
      </c>
      <c r="Y84" s="230" t="e">
        <f t="shared" si="423"/>
        <v>#DIV/0!</v>
      </c>
      <c r="Z84" s="230" t="e">
        <f t="shared" si="423"/>
        <v>#DIV/0!</v>
      </c>
      <c r="AA84" s="230" t="e">
        <f t="shared" si="423"/>
        <v>#DIV/0!</v>
      </c>
      <c r="AB84" s="230">
        <f t="shared" si="423"/>
        <v>1.1807968127490041</v>
      </c>
      <c r="AC84" s="230" t="e">
        <f t="shared" si="423"/>
        <v>#DIV/0!</v>
      </c>
      <c r="AD84" s="230" t="e">
        <f t="shared" si="423"/>
        <v>#DIV/0!</v>
      </c>
      <c r="AE84" s="230" t="e">
        <f t="shared" si="423"/>
        <v>#DIV/0!</v>
      </c>
      <c r="AF84" s="230" t="e">
        <f t="shared" si="423"/>
        <v>#DIV/0!</v>
      </c>
      <c r="AG84" s="230">
        <f t="shared" si="423"/>
        <v>0.7747196738022426</v>
      </c>
      <c r="AH84" s="230">
        <f t="shared" si="423"/>
        <v>-0.72417465388711388</v>
      </c>
      <c r="AI84" s="230">
        <f t="shared" si="423"/>
        <v>0.74948665297741268</v>
      </c>
      <c r="AJ84" s="230">
        <f t="shared" si="423"/>
        <v>1.6528066528066527</v>
      </c>
      <c r="AK84" s="230">
        <f t="shared" si="423"/>
        <v>0.16736401673640169</v>
      </c>
      <c r="AL84" s="230">
        <f t="shared" si="423"/>
        <v>1.578632592033151</v>
      </c>
      <c r="AM84" s="230" t="e">
        <f t="shared" si="423"/>
        <v>#DIV/0!</v>
      </c>
      <c r="AN84" s="230" t="e">
        <f t="shared" si="423"/>
        <v>#DIV/0!</v>
      </c>
      <c r="AO84" s="230" t="e">
        <f t="shared" si="423"/>
        <v>#DIV/0!</v>
      </c>
      <c r="AP84" s="230" t="e">
        <f t="shared" si="423"/>
        <v>#DIV/0!</v>
      </c>
      <c r="AQ84" s="230">
        <f t="shared" si="423"/>
        <v>1.6605223236165094</v>
      </c>
      <c r="AR84" s="230" t="e">
        <f t="shared" si="423"/>
        <v>#DIV/0!</v>
      </c>
      <c r="AS84" s="230" t="e">
        <f t="shared" si="423"/>
        <v>#DIV/0!</v>
      </c>
      <c r="AT84" s="230" t="e">
        <f t="shared" si="423"/>
        <v>#DIV/0!</v>
      </c>
      <c r="AU84" s="230" t="e">
        <f t="shared" si="423"/>
        <v>#DIV/0!</v>
      </c>
      <c r="AV84" s="230">
        <f t="shared" si="423"/>
        <v>1.8015832533283977</v>
      </c>
      <c r="AW84" s="230" t="e">
        <f t="shared" si="423"/>
        <v>#DIV/0!</v>
      </c>
      <c r="AX84" s="230" t="e">
        <f t="shared" si="423"/>
        <v>#DIV/0!</v>
      </c>
      <c r="AY84" s="230" t="e">
        <f t="shared" si="423"/>
        <v>#DIV/0!</v>
      </c>
      <c r="AZ84" s="230" t="e">
        <f t="shared" si="423"/>
        <v>#DIV/0!</v>
      </c>
      <c r="BA84" s="231">
        <f t="shared" si="423"/>
        <v>2.0739825523380477</v>
      </c>
      <c r="BB84" s="183"/>
      <c r="BC84" s="198">
        <v>0</v>
      </c>
      <c r="BD84" s="38"/>
    </row>
    <row r="85" spans="1:56" s="42" customFormat="1" ht="15" customHeight="1" x14ac:dyDescent="0.25">
      <c r="A85" s="38"/>
      <c r="B85" s="99" t="s">
        <v>45</v>
      </c>
      <c r="C85" s="100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4">
        <f>R82/R83</f>
        <v>1.1806797853309481</v>
      </c>
      <c r="S85" s="104" t="e">
        <f t="shared" ref="S85:BA85" si="424">S82/S83</f>
        <v>#DIV/0!</v>
      </c>
      <c r="T85" s="104" t="e">
        <f t="shared" si="424"/>
        <v>#DIV/0!</v>
      </c>
      <c r="U85" s="104" t="e">
        <f t="shared" si="424"/>
        <v>#DIV/0!</v>
      </c>
      <c r="V85" s="104" t="e">
        <f t="shared" si="424"/>
        <v>#DIV/0!</v>
      </c>
      <c r="W85" s="104">
        <f t="shared" si="424"/>
        <v>3.0495080500894454</v>
      </c>
      <c r="X85" s="105" t="e">
        <f t="shared" si="424"/>
        <v>#DIV/0!</v>
      </c>
      <c r="Y85" s="105" t="e">
        <f t="shared" si="424"/>
        <v>#DIV/0!</v>
      </c>
      <c r="Z85" s="105" t="e">
        <f t="shared" si="424"/>
        <v>#DIV/0!</v>
      </c>
      <c r="AA85" s="105" t="e">
        <f t="shared" si="424"/>
        <v>#DIV/0!</v>
      </c>
      <c r="AB85" s="104">
        <f t="shared" si="424"/>
        <v>1.2106772908366534</v>
      </c>
      <c r="AC85" s="104" t="e">
        <f t="shared" si="424"/>
        <v>#DIV/0!</v>
      </c>
      <c r="AD85" s="104" t="e">
        <f t="shared" si="424"/>
        <v>#DIV/0!</v>
      </c>
      <c r="AE85" s="104" t="e">
        <f t="shared" si="424"/>
        <v>#DIV/0!</v>
      </c>
      <c r="AF85" s="104" t="e">
        <f t="shared" si="424"/>
        <v>#DIV/0!</v>
      </c>
      <c r="AG85" s="104">
        <f t="shared" si="424"/>
        <v>0.74413863404689096</v>
      </c>
      <c r="AH85" s="104">
        <v>-1.1000000000000001</v>
      </c>
      <c r="AI85" s="104">
        <v>1.1100000000000001</v>
      </c>
      <c r="AJ85" s="104">
        <v>2.71</v>
      </c>
      <c r="AK85" s="104">
        <v>0.27</v>
      </c>
      <c r="AL85" s="104">
        <f t="shared" si="424"/>
        <v>1.578632592033151</v>
      </c>
      <c r="AM85" s="104" t="e">
        <f t="shared" si="424"/>
        <v>#DIV/0!</v>
      </c>
      <c r="AN85" s="104" t="e">
        <f t="shared" si="424"/>
        <v>#DIV/0!</v>
      </c>
      <c r="AO85" s="104" t="e">
        <f t="shared" si="424"/>
        <v>#DIV/0!</v>
      </c>
      <c r="AP85" s="104" t="e">
        <f t="shared" si="424"/>
        <v>#DIV/0!</v>
      </c>
      <c r="AQ85" s="104">
        <f t="shared" si="424"/>
        <v>1.6605223236165094</v>
      </c>
      <c r="AR85" s="104" t="e">
        <f t="shared" si="424"/>
        <v>#DIV/0!</v>
      </c>
      <c r="AS85" s="104" t="e">
        <f t="shared" si="424"/>
        <v>#DIV/0!</v>
      </c>
      <c r="AT85" s="104" t="e">
        <f t="shared" si="424"/>
        <v>#DIV/0!</v>
      </c>
      <c r="AU85" s="104" t="e">
        <f t="shared" si="424"/>
        <v>#DIV/0!</v>
      </c>
      <c r="AV85" s="104">
        <f t="shared" si="424"/>
        <v>1.8015832533283977</v>
      </c>
      <c r="AW85" s="104" t="e">
        <f t="shared" si="424"/>
        <v>#DIV/0!</v>
      </c>
      <c r="AX85" s="104" t="e">
        <f t="shared" si="424"/>
        <v>#DIV/0!</v>
      </c>
      <c r="AY85" s="104" t="e">
        <f t="shared" si="424"/>
        <v>#DIV/0!</v>
      </c>
      <c r="AZ85" s="104" t="e">
        <f t="shared" si="424"/>
        <v>#DIV/0!</v>
      </c>
      <c r="BA85" s="232">
        <f t="shared" si="424"/>
        <v>2.0739825523380477</v>
      </c>
      <c r="BB85" s="183"/>
      <c r="BC85" s="198">
        <v>0</v>
      </c>
      <c r="BD85" s="38"/>
    </row>
    <row r="86" spans="1:56" s="42" customFormat="1" ht="15" customHeight="1" x14ac:dyDescent="0.25">
      <c r="A86" s="38"/>
      <c r="B86" s="86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1"/>
      <c r="Y86" s="41"/>
      <c r="Z86" s="41"/>
      <c r="AA86" s="41"/>
      <c r="AB86" s="101"/>
      <c r="AC86" s="41"/>
      <c r="AD86" s="41"/>
      <c r="AE86" s="41"/>
      <c r="AF86" s="41"/>
      <c r="AG86" s="101"/>
      <c r="AH86" s="41"/>
      <c r="AI86" s="41"/>
      <c r="AJ86" s="41"/>
      <c r="AK86" s="41"/>
      <c r="AL86" s="101"/>
      <c r="AM86" s="41"/>
      <c r="AN86" s="41"/>
      <c r="AO86" s="41"/>
      <c r="AP86" s="41"/>
      <c r="AQ86" s="101"/>
      <c r="AR86" s="41"/>
      <c r="AS86" s="41"/>
      <c r="AT86" s="41"/>
      <c r="AU86" s="41"/>
      <c r="AV86" s="101"/>
      <c r="AW86" s="41"/>
      <c r="AX86" s="41"/>
      <c r="AY86" s="41"/>
      <c r="AZ86" s="41"/>
      <c r="BA86" s="101"/>
      <c r="BB86" s="183"/>
      <c r="BC86" s="198">
        <v>0</v>
      </c>
      <c r="BD86" s="38"/>
    </row>
    <row r="87" spans="1:56" s="42" customFormat="1" ht="15" customHeight="1" x14ac:dyDescent="0.25">
      <c r="A87" s="38"/>
      <c r="B87" s="77" t="s">
        <v>211</v>
      </c>
      <c r="C87" s="78">
        <v>265</v>
      </c>
      <c r="D87" s="78">
        <v>291</v>
      </c>
      <c r="E87" s="78">
        <v>211</v>
      </c>
      <c r="F87" s="78">
        <v>220</v>
      </c>
      <c r="G87" s="78">
        <v>201</v>
      </c>
      <c r="H87" s="78">
        <v>223</v>
      </c>
      <c r="I87" s="78"/>
      <c r="J87" s="78"/>
      <c r="K87" s="78"/>
      <c r="L87" s="78"/>
      <c r="M87" s="78">
        <v>323</v>
      </c>
      <c r="N87" s="78"/>
      <c r="O87" s="78"/>
      <c r="P87" s="78"/>
      <c r="Q87" s="78"/>
      <c r="R87" s="78">
        <v>379</v>
      </c>
      <c r="S87" s="78"/>
      <c r="T87" s="78"/>
      <c r="U87" s="78"/>
      <c r="V87" s="78"/>
      <c r="W87" s="78">
        <v>416</v>
      </c>
      <c r="X87" s="79"/>
      <c r="Y87" s="80"/>
      <c r="Z87" s="80"/>
      <c r="AA87" s="80"/>
      <c r="AB87" s="78">
        <v>444</v>
      </c>
      <c r="AC87" s="78"/>
      <c r="AD87" s="78"/>
      <c r="AE87" s="78"/>
      <c r="AF87" s="78"/>
      <c r="AG87" s="78">
        <v>477</v>
      </c>
      <c r="AH87" s="241">
        <v>-38</v>
      </c>
      <c r="AI87" s="241">
        <v>168</v>
      </c>
      <c r="AJ87" s="241">
        <v>327</v>
      </c>
      <c r="AK87" s="241">
        <v>62</v>
      </c>
      <c r="AL87" s="78">
        <v>520</v>
      </c>
      <c r="AM87" s="78"/>
      <c r="AN87" s="78"/>
      <c r="AO87" s="78"/>
      <c r="AP87" s="78"/>
      <c r="AQ87" s="78">
        <f>AQ82-AQ79+AQ75+AQ77+AQ69+AQ60</f>
        <v>551.2282146</v>
      </c>
      <c r="AR87" s="78"/>
      <c r="AS87" s="78"/>
      <c r="AT87" s="78"/>
      <c r="AU87" s="78"/>
      <c r="AV87" s="78">
        <f>AV82-AV79+AV75+AV77+AV69+AV60</f>
        <v>577.74381321280009</v>
      </c>
      <c r="AW87" s="78"/>
      <c r="AX87" s="78"/>
      <c r="AY87" s="78"/>
      <c r="AZ87" s="78"/>
      <c r="BA87" s="233">
        <f>BA82-BA79+BA75+BA77+BA69+BA60</f>
        <v>593.47360755125987</v>
      </c>
      <c r="BB87" s="183"/>
      <c r="BC87" s="198"/>
      <c r="BD87" s="38" t="s">
        <v>215</v>
      </c>
    </row>
    <row r="88" spans="1:56" s="42" customFormat="1" ht="15" customHeight="1" x14ac:dyDescent="0.25">
      <c r="A88" s="38"/>
      <c r="B88" s="86" t="s">
        <v>291</v>
      </c>
      <c r="C88" s="40"/>
      <c r="D88" s="40"/>
      <c r="E88" s="40"/>
      <c r="F88" s="40"/>
      <c r="G88" s="40"/>
      <c r="H88" s="151">
        <v>-266</v>
      </c>
      <c r="I88" s="151">
        <f t="shared" ref="I88:AF88" si="425">I87-I89</f>
        <v>0</v>
      </c>
      <c r="J88" s="151">
        <f t="shared" si="425"/>
        <v>0</v>
      </c>
      <c r="K88" s="151">
        <f t="shared" si="425"/>
        <v>0</v>
      </c>
      <c r="L88" s="151">
        <f t="shared" si="425"/>
        <v>0</v>
      </c>
      <c r="M88" s="151">
        <v>-28</v>
      </c>
      <c r="N88" s="151">
        <f t="shared" si="425"/>
        <v>0</v>
      </c>
      <c r="O88" s="151">
        <f t="shared" si="425"/>
        <v>0</v>
      </c>
      <c r="P88" s="151">
        <f t="shared" si="425"/>
        <v>0</v>
      </c>
      <c r="Q88" s="151">
        <f t="shared" si="425"/>
        <v>0</v>
      </c>
      <c r="R88" s="151">
        <v>-28</v>
      </c>
      <c r="S88" s="151">
        <f t="shared" si="425"/>
        <v>0</v>
      </c>
      <c r="T88" s="151">
        <f t="shared" si="425"/>
        <v>0</v>
      </c>
      <c r="U88" s="151">
        <f t="shared" si="425"/>
        <v>0</v>
      </c>
      <c r="V88" s="151">
        <f t="shared" si="425"/>
        <v>0</v>
      </c>
      <c r="W88" s="151">
        <v>-34</v>
      </c>
      <c r="X88" s="151">
        <f t="shared" si="425"/>
        <v>0</v>
      </c>
      <c r="Y88" s="151">
        <f t="shared" si="425"/>
        <v>0</v>
      </c>
      <c r="Z88" s="151">
        <f t="shared" si="425"/>
        <v>0</v>
      </c>
      <c r="AA88" s="151">
        <f t="shared" si="425"/>
        <v>0</v>
      </c>
      <c r="AB88" s="151">
        <v>-40</v>
      </c>
      <c r="AC88" s="151">
        <f t="shared" si="425"/>
        <v>0</v>
      </c>
      <c r="AD88" s="151">
        <f t="shared" si="425"/>
        <v>0</v>
      </c>
      <c r="AE88" s="151">
        <f t="shared" si="425"/>
        <v>0</v>
      </c>
      <c r="AF88" s="151">
        <f t="shared" si="425"/>
        <v>0</v>
      </c>
      <c r="AG88" s="151">
        <v>-37.700000000000003</v>
      </c>
      <c r="AH88" s="92">
        <f>AH89-AH87</f>
        <v>0</v>
      </c>
      <c r="AI88" s="92">
        <f>AI89-AI87</f>
        <v>-19</v>
      </c>
      <c r="AJ88" s="92">
        <f>AJ89-AJ87</f>
        <v>-19</v>
      </c>
      <c r="AK88" s="92">
        <f>AK89-AK87</f>
        <v>0</v>
      </c>
      <c r="AL88" s="151">
        <v>-38.6</v>
      </c>
      <c r="AM88" s="41"/>
      <c r="AN88" s="41"/>
      <c r="AO88" s="41"/>
      <c r="AP88" s="41"/>
      <c r="AQ88" s="151">
        <f>AQ79</f>
        <v>-38</v>
      </c>
      <c r="AR88" s="92"/>
      <c r="AS88" s="92"/>
      <c r="AT88" s="92"/>
      <c r="AU88" s="92"/>
      <c r="AV88" s="151">
        <f>AV79</f>
        <v>-38</v>
      </c>
      <c r="AW88" s="92"/>
      <c r="AX88" s="92"/>
      <c r="AY88" s="92"/>
      <c r="AZ88" s="92"/>
      <c r="BA88" s="151">
        <f>BA79</f>
        <v>-38</v>
      </c>
      <c r="BB88" s="183"/>
      <c r="BC88" s="198"/>
      <c r="BD88" s="38"/>
    </row>
    <row r="89" spans="1:56" s="42" customFormat="1" ht="15" customHeight="1" x14ac:dyDescent="0.25">
      <c r="A89" s="38"/>
      <c r="B89" s="77" t="s">
        <v>212</v>
      </c>
      <c r="C89" s="78">
        <v>265</v>
      </c>
      <c r="D89" s="78">
        <v>291</v>
      </c>
      <c r="E89" s="78">
        <v>211</v>
      </c>
      <c r="F89" s="78">
        <v>220</v>
      </c>
      <c r="G89" s="78">
        <v>201</v>
      </c>
      <c r="H89" s="78">
        <v>197</v>
      </c>
      <c r="I89" s="78"/>
      <c r="J89" s="78"/>
      <c r="K89" s="78"/>
      <c r="L89" s="78"/>
      <c r="M89" s="78">
        <v>295</v>
      </c>
      <c r="N89" s="78"/>
      <c r="O89" s="78"/>
      <c r="P89" s="78"/>
      <c r="Q89" s="78"/>
      <c r="R89" s="78">
        <v>350</v>
      </c>
      <c r="S89" s="78"/>
      <c r="T89" s="78"/>
      <c r="U89" s="78"/>
      <c r="V89" s="78"/>
      <c r="W89" s="78">
        <v>383</v>
      </c>
      <c r="X89" s="79"/>
      <c r="Y89" s="80"/>
      <c r="Z89" s="80"/>
      <c r="AA89" s="80"/>
      <c r="AB89" s="78">
        <v>404.11200000000002</v>
      </c>
      <c r="AC89" s="78"/>
      <c r="AD89" s="78"/>
      <c r="AE89" s="78"/>
      <c r="AF89" s="78"/>
      <c r="AG89" s="78">
        <v>439.28699999999998</v>
      </c>
      <c r="AH89" s="241">
        <v>-38</v>
      </c>
      <c r="AI89" s="241">
        <v>149</v>
      </c>
      <c r="AJ89" s="241">
        <v>308</v>
      </c>
      <c r="AK89" s="241">
        <v>62</v>
      </c>
      <c r="AL89" s="78">
        <v>481.428</v>
      </c>
      <c r="AM89" s="78"/>
      <c r="AN89" s="78"/>
      <c r="AO89" s="78"/>
      <c r="AP89" s="78"/>
      <c r="AQ89" s="78">
        <f>AQ87+AQ88</f>
        <v>513.2282146</v>
      </c>
      <c r="AR89" s="78"/>
      <c r="AS89" s="78"/>
      <c r="AT89" s="78"/>
      <c r="AU89" s="78"/>
      <c r="AV89" s="78">
        <f>AV87+AV88</f>
        <v>539.74381321280009</v>
      </c>
      <c r="AW89" s="78"/>
      <c r="AX89" s="78"/>
      <c r="AY89" s="78"/>
      <c r="AZ89" s="78"/>
      <c r="BA89" s="233">
        <f>BA87+BA88</f>
        <v>555.47360755125987</v>
      </c>
      <c r="BB89" s="183"/>
      <c r="BC89" s="198">
        <v>0</v>
      </c>
      <c r="BD89" s="38"/>
    </row>
    <row r="90" spans="1:56" s="42" customFormat="1" ht="15" customHeight="1" x14ac:dyDescent="0.25">
      <c r="A90" s="38"/>
      <c r="B90" s="127" t="s">
        <v>77</v>
      </c>
      <c r="C90" s="11"/>
      <c r="D90" s="11"/>
      <c r="E90" s="11"/>
      <c r="F90" s="11"/>
      <c r="G90" s="11"/>
      <c r="H90" s="83">
        <v>-86</v>
      </c>
      <c r="I90" s="89"/>
      <c r="J90" s="89"/>
      <c r="K90" s="89"/>
      <c r="L90" s="89"/>
      <c r="M90" s="83">
        <v>-79</v>
      </c>
      <c r="N90" s="83"/>
      <c r="O90" s="83"/>
      <c r="P90" s="83"/>
      <c r="Q90" s="83"/>
      <c r="R90" s="83">
        <v>-58</v>
      </c>
      <c r="S90" s="83"/>
      <c r="T90" s="83"/>
      <c r="U90" s="83"/>
      <c r="V90" s="83"/>
      <c r="W90" s="83">
        <v>-42</v>
      </c>
      <c r="X90" s="90"/>
      <c r="Y90" s="90"/>
      <c r="Z90" s="90"/>
      <c r="AA90" s="90"/>
      <c r="AB90" s="92">
        <v>-51.348999999999997</v>
      </c>
      <c r="AC90" s="83"/>
      <c r="AD90" s="83"/>
      <c r="AE90" s="83"/>
      <c r="AF90" s="83"/>
      <c r="AG90" s="83">
        <v>-66.677000000000007</v>
      </c>
      <c r="AH90" s="89"/>
      <c r="AI90" s="89"/>
      <c r="AJ90" s="89"/>
      <c r="AK90" s="98"/>
      <c r="AL90" s="83">
        <v>-70.516000000000005</v>
      </c>
      <c r="AM90" s="98"/>
      <c r="AN90" s="98"/>
      <c r="AO90" s="98"/>
      <c r="AP90" s="98"/>
      <c r="AQ90" s="146">
        <v>-72</v>
      </c>
      <c r="AR90" s="146"/>
      <c r="AS90" s="146"/>
      <c r="AT90" s="146"/>
      <c r="AU90" s="146"/>
      <c r="AV90" s="146">
        <v>-72</v>
      </c>
      <c r="AW90" s="146"/>
      <c r="AX90" s="146"/>
      <c r="AY90" s="146"/>
      <c r="AZ90" s="146"/>
      <c r="BA90" s="146">
        <v>-72</v>
      </c>
      <c r="BB90" s="183"/>
      <c r="BC90" s="198">
        <v>0</v>
      </c>
      <c r="BD90" s="206" t="s">
        <v>301</v>
      </c>
    </row>
    <row r="91" spans="1:56" s="42" customFormat="1" ht="15" customHeight="1" x14ac:dyDescent="0.25">
      <c r="A91" s="38"/>
      <c r="B91" s="127" t="s">
        <v>78</v>
      </c>
      <c r="C91" s="11"/>
      <c r="D91" s="11"/>
      <c r="E91" s="11"/>
      <c r="F91" s="11"/>
      <c r="G91" s="11"/>
      <c r="H91" s="83">
        <v>-98</v>
      </c>
      <c r="I91" s="89"/>
      <c r="J91" s="89"/>
      <c r="K91" s="89"/>
      <c r="L91" s="89"/>
      <c r="M91" s="83">
        <v>-79</v>
      </c>
      <c r="N91" s="83"/>
      <c r="O91" s="83"/>
      <c r="P91" s="83"/>
      <c r="Q91" s="83"/>
      <c r="R91" s="83">
        <v>-91</v>
      </c>
      <c r="S91" s="83"/>
      <c r="T91" s="83"/>
      <c r="U91" s="83"/>
      <c r="V91" s="83"/>
      <c r="W91" s="83">
        <v>-98</v>
      </c>
      <c r="X91" s="90"/>
      <c r="Y91" s="90"/>
      <c r="Z91" s="90"/>
      <c r="AA91" s="90"/>
      <c r="AB91" s="92">
        <v>-101.85299999999999</v>
      </c>
      <c r="AC91" s="83"/>
      <c r="AD91" s="83"/>
      <c r="AE91" s="83"/>
      <c r="AF91" s="83"/>
      <c r="AG91" s="83">
        <v>-107.81</v>
      </c>
      <c r="AH91" s="89"/>
      <c r="AI91" s="89"/>
      <c r="AJ91" s="89"/>
      <c r="AK91" s="98"/>
      <c r="AL91" s="83">
        <v>-114.197</v>
      </c>
      <c r="AM91" s="98"/>
      <c r="AN91" s="98"/>
      <c r="AO91" s="98"/>
      <c r="AP91" s="98"/>
      <c r="AQ91" s="83">
        <f>AQ215</f>
        <v>-138.216982</v>
      </c>
      <c r="AR91" s="83"/>
      <c r="AS91" s="83"/>
      <c r="AT91" s="83"/>
      <c r="AU91" s="83"/>
      <c r="AV91" s="83">
        <f>AV215</f>
        <v>-125.85110860800002</v>
      </c>
      <c r="AW91" s="83"/>
      <c r="AX91" s="83"/>
      <c r="AY91" s="83"/>
      <c r="AZ91" s="83"/>
      <c r="BA91" s="83">
        <f>BA215</f>
        <v>-128.86787723651997</v>
      </c>
      <c r="BB91" s="183"/>
      <c r="BC91" s="198">
        <v>0</v>
      </c>
      <c r="BD91" s="38"/>
    </row>
    <row r="92" spans="1:56" s="42" customFormat="1" ht="15" customHeight="1" x14ac:dyDescent="0.25">
      <c r="A92" s="38"/>
      <c r="B92" s="127" t="s">
        <v>79</v>
      </c>
      <c r="C92" s="11"/>
      <c r="D92" s="11"/>
      <c r="E92" s="11"/>
      <c r="F92" s="11"/>
      <c r="G92" s="11"/>
      <c r="H92" s="83">
        <v>-5</v>
      </c>
      <c r="I92" s="89"/>
      <c r="J92" s="89"/>
      <c r="K92" s="89"/>
      <c r="L92" s="89"/>
      <c r="M92" s="83">
        <v>-8</v>
      </c>
      <c r="N92" s="83"/>
      <c r="O92" s="83"/>
      <c r="P92" s="83"/>
      <c r="Q92" s="83"/>
      <c r="R92" s="83">
        <v>-8</v>
      </c>
      <c r="S92" s="83"/>
      <c r="T92" s="83"/>
      <c r="U92" s="83"/>
      <c r="V92" s="83"/>
      <c r="W92" s="83">
        <v>-9</v>
      </c>
      <c r="X92" s="90"/>
      <c r="Y92" s="90"/>
      <c r="Z92" s="90"/>
      <c r="AA92" s="90"/>
      <c r="AB92" s="92">
        <v>-13.768000000000001</v>
      </c>
      <c r="AC92" s="83"/>
      <c r="AD92" s="83"/>
      <c r="AE92" s="83"/>
      <c r="AF92" s="83"/>
      <c r="AG92" s="83">
        <v>-16.771999999999998</v>
      </c>
      <c r="AH92" s="89"/>
      <c r="AI92" s="89"/>
      <c r="AJ92" s="89"/>
      <c r="AK92" s="98"/>
      <c r="AL92" s="83">
        <v>-14.975</v>
      </c>
      <c r="AM92" s="98"/>
      <c r="AN92" s="98"/>
      <c r="AO92" s="98"/>
      <c r="AP92" s="98"/>
      <c r="AQ92" s="146">
        <v>-17.5</v>
      </c>
      <c r="AR92" s="89"/>
      <c r="AS92" s="89"/>
      <c r="AT92" s="89"/>
      <c r="AU92" s="89"/>
      <c r="AV92" s="146">
        <v>-17.5</v>
      </c>
      <c r="AW92" s="89"/>
      <c r="AX92" s="89"/>
      <c r="AY92" s="89"/>
      <c r="AZ92" s="89"/>
      <c r="BA92" s="146">
        <v>-17.5</v>
      </c>
      <c r="BB92" s="183"/>
      <c r="BC92" s="198">
        <v>0</v>
      </c>
      <c r="BD92" s="206" t="s">
        <v>299</v>
      </c>
    </row>
    <row r="93" spans="1:56" s="42" customFormat="1" ht="15" customHeight="1" x14ac:dyDescent="0.25">
      <c r="A93" s="38"/>
      <c r="B93" s="77" t="s">
        <v>208</v>
      </c>
      <c r="C93" s="78">
        <v>265</v>
      </c>
      <c r="D93" s="78">
        <v>291</v>
      </c>
      <c r="E93" s="78">
        <v>211</v>
      </c>
      <c r="F93" s="78">
        <v>220</v>
      </c>
      <c r="G93" s="78">
        <v>201</v>
      </c>
      <c r="H93" s="78">
        <v>8</v>
      </c>
      <c r="I93" s="78"/>
      <c r="J93" s="78"/>
      <c r="K93" s="78"/>
      <c r="L93" s="78"/>
      <c r="M93" s="78">
        <v>128</v>
      </c>
      <c r="N93" s="78"/>
      <c r="O93" s="78"/>
      <c r="P93" s="78"/>
      <c r="Q93" s="78"/>
      <c r="R93" s="78">
        <v>193</v>
      </c>
      <c r="S93" s="78"/>
      <c r="T93" s="78"/>
      <c r="U93" s="78"/>
      <c r="V93" s="78"/>
      <c r="W93" s="78">
        <v>233</v>
      </c>
      <c r="X93" s="79"/>
      <c r="Y93" s="80"/>
      <c r="Z93" s="80"/>
      <c r="AA93" s="80"/>
      <c r="AB93" s="78">
        <f>AB89+SUM(AB90:AB92)</f>
        <v>237.14200000000002</v>
      </c>
      <c r="AC93" s="78"/>
      <c r="AD93" s="78"/>
      <c r="AE93" s="78"/>
      <c r="AF93" s="78"/>
      <c r="AG93" s="78">
        <f>AG89+SUM(AG90:AG92)</f>
        <v>248.02799999999996</v>
      </c>
      <c r="AH93" s="241"/>
      <c r="AI93" s="241"/>
      <c r="AJ93" s="241"/>
      <c r="AK93" s="241"/>
      <c r="AL93" s="78">
        <f>AL89+SUM(AL90:AL92)</f>
        <v>281.74</v>
      </c>
      <c r="AM93" s="78"/>
      <c r="AN93" s="78"/>
      <c r="AO93" s="78"/>
      <c r="AP93" s="78"/>
      <c r="AQ93" s="78">
        <f>AQ87+SUM(AQ90:AQ92)</f>
        <v>323.51123259999997</v>
      </c>
      <c r="AR93" s="78"/>
      <c r="AS93" s="78"/>
      <c r="AT93" s="78"/>
      <c r="AU93" s="78"/>
      <c r="AV93" s="78">
        <f>AV89+SUM(AV90:AV92)</f>
        <v>324.39270460480009</v>
      </c>
      <c r="AW93" s="78"/>
      <c r="AX93" s="78"/>
      <c r="AY93" s="78"/>
      <c r="AZ93" s="78"/>
      <c r="BA93" s="233">
        <f>BA89+SUM(BA90:BA92)</f>
        <v>337.1057303147399</v>
      </c>
      <c r="BB93" s="183"/>
      <c r="BC93" s="198">
        <v>0</v>
      </c>
      <c r="BD93" s="206" t="s">
        <v>300</v>
      </c>
    </row>
    <row r="94" spans="1:56" s="42" customFormat="1" ht="15" customHeight="1" x14ac:dyDescent="0.25">
      <c r="A94" s="38"/>
      <c r="B94" s="127" t="s">
        <v>209</v>
      </c>
      <c r="C94" s="81"/>
      <c r="D94" s="81"/>
      <c r="E94" s="81"/>
      <c r="F94" s="81"/>
      <c r="G94" s="81"/>
      <c r="H94" s="81">
        <v>109.5</v>
      </c>
      <c r="I94" s="81"/>
      <c r="J94" s="81"/>
      <c r="K94" s="81"/>
      <c r="L94" s="81"/>
      <c r="M94" s="81">
        <v>110.6</v>
      </c>
      <c r="N94" s="81"/>
      <c r="O94" s="81"/>
      <c r="P94" s="81"/>
      <c r="Q94" s="81"/>
      <c r="R94" s="81">
        <v>110.15</v>
      </c>
      <c r="S94" s="81"/>
      <c r="T94" s="81"/>
      <c r="U94" s="81"/>
      <c r="V94" s="81"/>
      <c r="W94" s="81">
        <v>107.684</v>
      </c>
      <c r="X94" s="108"/>
      <c r="Y94" s="109"/>
      <c r="Z94" s="109"/>
      <c r="AA94" s="109"/>
      <c r="AB94" s="81">
        <v>96.94</v>
      </c>
      <c r="AC94" s="81"/>
      <c r="AD94" s="81"/>
      <c r="AE94" s="81"/>
      <c r="AF94" s="81"/>
      <c r="AG94" s="81">
        <v>94.477000000000004</v>
      </c>
      <c r="AH94" s="83"/>
      <c r="AI94" s="83"/>
      <c r="AJ94" s="83"/>
      <c r="AK94" s="83"/>
      <c r="AL94" s="81">
        <v>93.58</v>
      </c>
      <c r="AM94" s="81"/>
      <c r="AN94" s="81"/>
      <c r="AO94" s="81"/>
      <c r="AP94" s="81"/>
      <c r="AQ94" s="81">
        <f>91.74-(AL83-AQ83)</f>
        <v>88.570836413684631</v>
      </c>
      <c r="AR94" s="81"/>
      <c r="AS94" s="81"/>
      <c r="AT94" s="81"/>
      <c r="AU94" s="81"/>
      <c r="AV94" s="81">
        <f>91.74-(AQ83-AV83)</f>
        <v>91.543381832481316</v>
      </c>
      <c r="AW94" s="81"/>
      <c r="AX94" s="81"/>
      <c r="AY94" s="81"/>
      <c r="AZ94" s="81"/>
      <c r="BA94" s="81">
        <f>91.74-(AV83-BA83)</f>
        <v>92.03492725127802</v>
      </c>
      <c r="BB94" s="183"/>
      <c r="BC94" s="247"/>
      <c r="BD94" s="38"/>
    </row>
    <row r="95" spans="1:56" s="42" customFormat="1" ht="15" customHeight="1" x14ac:dyDescent="0.25">
      <c r="A95" s="38"/>
      <c r="B95" s="135" t="s">
        <v>210</v>
      </c>
      <c r="C95" s="81"/>
      <c r="D95" s="81"/>
      <c r="E95" s="81"/>
      <c r="F95" s="81"/>
      <c r="G95" s="81"/>
      <c r="H95" s="111">
        <f>H93/H94</f>
        <v>7.3059360730593603E-2</v>
      </c>
      <c r="I95" s="111" t="e">
        <f t="shared" ref="I95:BA95" si="426">I93/I94</f>
        <v>#DIV/0!</v>
      </c>
      <c r="J95" s="111" t="e">
        <f t="shared" si="426"/>
        <v>#DIV/0!</v>
      </c>
      <c r="K95" s="111" t="e">
        <f t="shared" si="426"/>
        <v>#DIV/0!</v>
      </c>
      <c r="L95" s="111" t="e">
        <f t="shared" si="426"/>
        <v>#DIV/0!</v>
      </c>
      <c r="M95" s="111">
        <f t="shared" si="426"/>
        <v>1.1573236889692586</v>
      </c>
      <c r="N95" s="111" t="e">
        <f t="shared" si="426"/>
        <v>#DIV/0!</v>
      </c>
      <c r="O95" s="111" t="e">
        <f t="shared" si="426"/>
        <v>#DIV/0!</v>
      </c>
      <c r="P95" s="111" t="e">
        <f t="shared" si="426"/>
        <v>#DIV/0!</v>
      </c>
      <c r="Q95" s="111" t="e">
        <f t="shared" si="426"/>
        <v>#DIV/0!</v>
      </c>
      <c r="R95" s="111">
        <f t="shared" si="426"/>
        <v>1.7521561507035859</v>
      </c>
      <c r="S95" s="111" t="e">
        <f t="shared" si="426"/>
        <v>#DIV/0!</v>
      </c>
      <c r="T95" s="111" t="e">
        <f t="shared" si="426"/>
        <v>#DIV/0!</v>
      </c>
      <c r="U95" s="111" t="e">
        <f t="shared" si="426"/>
        <v>#DIV/0!</v>
      </c>
      <c r="V95" s="111" t="e">
        <f t="shared" si="426"/>
        <v>#DIV/0!</v>
      </c>
      <c r="W95" s="111">
        <f t="shared" si="426"/>
        <v>2.1637383455295125</v>
      </c>
      <c r="X95" s="111" t="e">
        <f t="shared" si="426"/>
        <v>#DIV/0!</v>
      </c>
      <c r="Y95" s="111" t="e">
        <f t="shared" si="426"/>
        <v>#DIV/0!</v>
      </c>
      <c r="Z95" s="111" t="e">
        <f t="shared" si="426"/>
        <v>#DIV/0!</v>
      </c>
      <c r="AA95" s="111" t="e">
        <f t="shared" si="426"/>
        <v>#DIV/0!</v>
      </c>
      <c r="AB95" s="111">
        <f t="shared" si="426"/>
        <v>2.4462760470394063</v>
      </c>
      <c r="AC95" s="111" t="e">
        <f t="shared" si="426"/>
        <v>#DIV/0!</v>
      </c>
      <c r="AD95" s="111" t="e">
        <f t="shared" si="426"/>
        <v>#DIV/0!</v>
      </c>
      <c r="AE95" s="111" t="e">
        <f t="shared" si="426"/>
        <v>#DIV/0!</v>
      </c>
      <c r="AF95" s="111" t="e">
        <f t="shared" si="426"/>
        <v>#DIV/0!</v>
      </c>
      <c r="AG95" s="111">
        <f t="shared" si="426"/>
        <v>2.6252738761815042</v>
      </c>
      <c r="AH95" s="111" t="e">
        <f t="shared" si="426"/>
        <v>#DIV/0!</v>
      </c>
      <c r="AI95" s="111" t="e">
        <f t="shared" si="426"/>
        <v>#DIV/0!</v>
      </c>
      <c r="AJ95" s="111" t="e">
        <f t="shared" si="426"/>
        <v>#DIV/0!</v>
      </c>
      <c r="AK95" s="111" t="e">
        <f t="shared" si="426"/>
        <v>#DIV/0!</v>
      </c>
      <c r="AL95" s="111">
        <f t="shared" si="426"/>
        <v>3.0106860440265018</v>
      </c>
      <c r="AM95" s="111" t="e">
        <f t="shared" si="426"/>
        <v>#DIV/0!</v>
      </c>
      <c r="AN95" s="111" t="e">
        <f t="shared" si="426"/>
        <v>#DIV/0!</v>
      </c>
      <c r="AO95" s="111" t="e">
        <f t="shared" si="426"/>
        <v>#DIV/0!</v>
      </c>
      <c r="AP95" s="111" t="e">
        <f t="shared" si="426"/>
        <v>#DIV/0!</v>
      </c>
      <c r="AQ95" s="111">
        <f t="shared" si="426"/>
        <v>3.652570594331837</v>
      </c>
      <c r="AR95" s="111" t="e">
        <f t="shared" si="426"/>
        <v>#DIV/0!</v>
      </c>
      <c r="AS95" s="111" t="e">
        <f t="shared" si="426"/>
        <v>#DIV/0!</v>
      </c>
      <c r="AT95" s="111" t="e">
        <f t="shared" si="426"/>
        <v>#DIV/0!</v>
      </c>
      <c r="AU95" s="111" t="e">
        <f t="shared" si="426"/>
        <v>#DIV/0!</v>
      </c>
      <c r="AV95" s="111">
        <f t="shared" si="426"/>
        <v>3.543595376434951</v>
      </c>
      <c r="AW95" s="111" t="e">
        <f t="shared" si="426"/>
        <v>#DIV/0!</v>
      </c>
      <c r="AX95" s="111" t="e">
        <f t="shared" si="426"/>
        <v>#DIV/0!</v>
      </c>
      <c r="AY95" s="111" t="e">
        <f t="shared" si="426"/>
        <v>#DIV/0!</v>
      </c>
      <c r="AZ95" s="111" t="e">
        <f t="shared" si="426"/>
        <v>#DIV/0!</v>
      </c>
      <c r="BA95" s="111">
        <f t="shared" si="426"/>
        <v>3.6628021598187201</v>
      </c>
      <c r="BB95" s="183"/>
      <c r="BC95" s="247"/>
      <c r="BD95" s="38" t="s">
        <v>214</v>
      </c>
    </row>
    <row r="96" spans="1:56" s="42" customFormat="1" ht="15" customHeight="1" x14ac:dyDescent="0.25">
      <c r="A96" s="38"/>
      <c r="B96" s="127" t="s">
        <v>213</v>
      </c>
      <c r="C96" s="81"/>
      <c r="D96" s="81"/>
      <c r="E96" s="81"/>
      <c r="F96" s="81"/>
      <c r="G96" s="81"/>
      <c r="H96" s="83">
        <f>H83</f>
        <v>112</v>
      </c>
      <c r="I96" s="83">
        <f t="shared" ref="I96:BA96" si="427">I83</f>
        <v>0</v>
      </c>
      <c r="J96" s="83">
        <f t="shared" si="427"/>
        <v>0</v>
      </c>
      <c r="K96" s="83">
        <f t="shared" si="427"/>
        <v>0</v>
      </c>
      <c r="L96" s="83">
        <f t="shared" si="427"/>
        <v>0</v>
      </c>
      <c r="M96" s="83">
        <f t="shared" si="427"/>
        <v>112</v>
      </c>
      <c r="N96" s="83">
        <f t="shared" si="427"/>
        <v>0</v>
      </c>
      <c r="O96" s="83">
        <f t="shared" si="427"/>
        <v>0</v>
      </c>
      <c r="P96" s="83">
        <f t="shared" si="427"/>
        <v>0</v>
      </c>
      <c r="Q96" s="83">
        <f t="shared" si="427"/>
        <v>0</v>
      </c>
      <c r="R96" s="83">
        <f t="shared" si="427"/>
        <v>111.8</v>
      </c>
      <c r="S96" s="83">
        <f t="shared" si="427"/>
        <v>0</v>
      </c>
      <c r="T96" s="83">
        <f t="shared" si="427"/>
        <v>0</v>
      </c>
      <c r="U96" s="83">
        <f t="shared" si="427"/>
        <v>0</v>
      </c>
      <c r="V96" s="83">
        <f t="shared" si="427"/>
        <v>0</v>
      </c>
      <c r="W96" s="83">
        <f t="shared" si="427"/>
        <v>111.8</v>
      </c>
      <c r="X96" s="83">
        <f t="shared" si="427"/>
        <v>0</v>
      </c>
      <c r="Y96" s="83">
        <f t="shared" si="427"/>
        <v>0</v>
      </c>
      <c r="Z96" s="83">
        <f t="shared" si="427"/>
        <v>0</v>
      </c>
      <c r="AA96" s="83">
        <f t="shared" si="427"/>
        <v>0</v>
      </c>
      <c r="AB96" s="83">
        <f t="shared" si="427"/>
        <v>100.4</v>
      </c>
      <c r="AC96" s="83">
        <f t="shared" si="427"/>
        <v>0</v>
      </c>
      <c r="AD96" s="83">
        <f t="shared" si="427"/>
        <v>0</v>
      </c>
      <c r="AE96" s="83">
        <f t="shared" si="427"/>
        <v>0</v>
      </c>
      <c r="AF96" s="83">
        <f t="shared" si="427"/>
        <v>0</v>
      </c>
      <c r="AG96" s="83">
        <f t="shared" si="427"/>
        <v>98.1</v>
      </c>
      <c r="AH96" s="83">
        <f t="shared" si="427"/>
        <v>93.9</v>
      </c>
      <c r="AI96" s="83">
        <f t="shared" si="427"/>
        <v>97.4</v>
      </c>
      <c r="AJ96" s="83">
        <f t="shared" si="427"/>
        <v>96.2</v>
      </c>
      <c r="AK96" s="83">
        <f t="shared" si="427"/>
        <v>95.6</v>
      </c>
      <c r="AL96" s="83">
        <f t="shared" si="427"/>
        <v>97.980999999999995</v>
      </c>
      <c r="AM96" s="83">
        <f t="shared" si="427"/>
        <v>0</v>
      </c>
      <c r="AN96" s="83">
        <f t="shared" si="427"/>
        <v>0</v>
      </c>
      <c r="AO96" s="83">
        <f t="shared" si="427"/>
        <v>0</v>
      </c>
      <c r="AP96" s="83">
        <f t="shared" si="427"/>
        <v>0</v>
      </c>
      <c r="AQ96" s="83">
        <f t="shared" si="427"/>
        <v>94.811836413684631</v>
      </c>
      <c r="AR96" s="83">
        <f t="shared" si="427"/>
        <v>0</v>
      </c>
      <c r="AS96" s="83">
        <f t="shared" si="427"/>
        <v>0</v>
      </c>
      <c r="AT96" s="83">
        <f t="shared" si="427"/>
        <v>0</v>
      </c>
      <c r="AU96" s="83">
        <f t="shared" si="427"/>
        <v>0</v>
      </c>
      <c r="AV96" s="83">
        <f t="shared" si="427"/>
        <v>94.615218246165952</v>
      </c>
      <c r="AW96" s="83">
        <f t="shared" si="427"/>
        <v>0</v>
      </c>
      <c r="AX96" s="83">
        <f t="shared" si="427"/>
        <v>0</v>
      </c>
      <c r="AY96" s="83">
        <f t="shared" si="427"/>
        <v>0</v>
      </c>
      <c r="AZ96" s="83">
        <f t="shared" si="427"/>
        <v>0</v>
      </c>
      <c r="BA96" s="83">
        <f t="shared" si="427"/>
        <v>94.910145497443978</v>
      </c>
      <c r="BB96" s="183"/>
      <c r="BC96" s="247"/>
      <c r="BD96" s="38"/>
    </row>
    <row r="97" spans="1:56" s="42" customFormat="1" ht="15" customHeight="1" x14ac:dyDescent="0.25">
      <c r="A97" s="38"/>
      <c r="B97" s="135" t="s">
        <v>191</v>
      </c>
      <c r="C97" s="81"/>
      <c r="D97" s="81"/>
      <c r="E97" s="81"/>
      <c r="F97" s="81"/>
      <c r="G97" s="81"/>
      <c r="H97" s="111">
        <f t="shared" ref="H97:W97" si="428">H93/H83</f>
        <v>7.1428571428571425E-2</v>
      </c>
      <c r="I97" s="111" t="e">
        <f t="shared" si="428"/>
        <v>#DIV/0!</v>
      </c>
      <c r="J97" s="111" t="e">
        <f t="shared" si="428"/>
        <v>#DIV/0!</v>
      </c>
      <c r="K97" s="111" t="e">
        <f t="shared" si="428"/>
        <v>#DIV/0!</v>
      </c>
      <c r="L97" s="111" t="e">
        <f t="shared" si="428"/>
        <v>#DIV/0!</v>
      </c>
      <c r="M97" s="111">
        <f t="shared" si="428"/>
        <v>1.1428571428571428</v>
      </c>
      <c r="N97" s="111" t="e">
        <f t="shared" si="428"/>
        <v>#DIV/0!</v>
      </c>
      <c r="O97" s="111" t="e">
        <f t="shared" si="428"/>
        <v>#DIV/0!</v>
      </c>
      <c r="P97" s="111" t="e">
        <f t="shared" si="428"/>
        <v>#DIV/0!</v>
      </c>
      <c r="Q97" s="111" t="e">
        <f t="shared" si="428"/>
        <v>#DIV/0!</v>
      </c>
      <c r="R97" s="111">
        <f t="shared" si="428"/>
        <v>1.7262969588550985</v>
      </c>
      <c r="S97" s="111" t="e">
        <f t="shared" si="428"/>
        <v>#DIV/0!</v>
      </c>
      <c r="T97" s="111" t="e">
        <f t="shared" si="428"/>
        <v>#DIV/0!</v>
      </c>
      <c r="U97" s="111" t="e">
        <f t="shared" si="428"/>
        <v>#DIV/0!</v>
      </c>
      <c r="V97" s="111" t="e">
        <f t="shared" si="428"/>
        <v>#DIV/0!</v>
      </c>
      <c r="W97" s="111">
        <f t="shared" si="428"/>
        <v>2.0840787119856889</v>
      </c>
      <c r="X97" s="248"/>
      <c r="Y97" s="249"/>
      <c r="Z97" s="249"/>
      <c r="AA97" s="249"/>
      <c r="AB97" s="111">
        <f>AB93/AB83</f>
        <v>2.3619721115537851</v>
      </c>
      <c r="AC97" s="111"/>
      <c r="AD97" s="111"/>
      <c r="AE97" s="111"/>
      <c r="AF97" s="111"/>
      <c r="AG97" s="111">
        <f>AG93/AG83</f>
        <v>2.5283180428134555</v>
      </c>
      <c r="AH97" s="111"/>
      <c r="AI97" s="111"/>
      <c r="AJ97" s="111"/>
      <c r="AK97" s="111"/>
      <c r="AL97" s="111">
        <f>AL93/AL83</f>
        <v>2.8754554454435044</v>
      </c>
      <c r="AM97" s="111"/>
      <c r="AN97" s="111"/>
      <c r="AO97" s="111"/>
      <c r="AP97" s="111"/>
      <c r="AQ97" s="111">
        <f>AQ93/AQ83</f>
        <v>3.412139716273928</v>
      </c>
      <c r="AR97" s="111"/>
      <c r="AS97" s="111"/>
      <c r="AT97" s="111"/>
      <c r="AU97" s="111"/>
      <c r="AV97" s="111">
        <f>AV93/AV83</f>
        <v>3.4285468090430085</v>
      </c>
      <c r="AW97" s="111"/>
      <c r="AX97" s="111"/>
      <c r="AY97" s="111"/>
      <c r="AZ97" s="111"/>
      <c r="BA97" s="111">
        <f>BA93/BA83</f>
        <v>3.5518408337475207</v>
      </c>
      <c r="BB97" s="183"/>
      <c r="BC97" s="198">
        <v>0</v>
      </c>
      <c r="BD97" s="38"/>
    </row>
    <row r="98" spans="1:56" s="42" customFormat="1" ht="15" customHeight="1" x14ac:dyDescent="0.25">
      <c r="A98" s="38"/>
      <c r="C98" s="81"/>
      <c r="D98" s="81"/>
      <c r="E98" s="81"/>
      <c r="F98" s="81"/>
      <c r="G98" s="81"/>
      <c r="H98" s="111"/>
      <c r="I98" s="111"/>
      <c r="J98" s="111"/>
      <c r="K98" s="111"/>
      <c r="L98" s="111"/>
      <c r="M98" s="111"/>
      <c r="N98" s="111"/>
      <c r="O98" s="111"/>
      <c r="P98" s="111"/>
      <c r="Q98" s="111"/>
      <c r="R98" s="111"/>
      <c r="S98" s="111"/>
      <c r="T98" s="111"/>
      <c r="U98" s="111"/>
      <c r="V98" s="111"/>
      <c r="W98" s="111"/>
      <c r="X98" s="108"/>
      <c r="Y98" s="109"/>
      <c r="Z98" s="109"/>
      <c r="AA98" s="109"/>
      <c r="AB98" s="111"/>
      <c r="AC98" s="81"/>
      <c r="AD98" s="81"/>
      <c r="AE98" s="81"/>
      <c r="AF98" s="81"/>
      <c r="AG98" s="111"/>
      <c r="AH98" s="111"/>
      <c r="AI98" s="111"/>
      <c r="AJ98" s="111"/>
      <c r="AK98" s="111"/>
      <c r="AL98" s="111"/>
      <c r="AM98" s="81"/>
      <c r="AN98" s="81"/>
      <c r="AO98" s="81"/>
      <c r="AP98" s="81"/>
      <c r="AQ98" s="111"/>
      <c r="AR98" s="81"/>
      <c r="AS98" s="81"/>
      <c r="AT98" s="81"/>
      <c r="AU98" s="81"/>
      <c r="AV98" s="246"/>
      <c r="AW98" s="81"/>
      <c r="AX98" s="81"/>
      <c r="AY98" s="81"/>
      <c r="AZ98" s="81"/>
      <c r="BA98" s="111"/>
      <c r="BB98" s="183"/>
      <c r="BC98" s="198"/>
      <c r="BD98" s="38"/>
    </row>
    <row r="99" spans="1:56" s="42" customFormat="1" ht="15" customHeight="1" x14ac:dyDescent="0.25">
      <c r="A99" s="38"/>
      <c r="B99" s="253" t="s">
        <v>172</v>
      </c>
      <c r="C99" s="78"/>
      <c r="D99" s="78"/>
      <c r="E99" s="78"/>
      <c r="F99" s="78"/>
      <c r="G99" s="78"/>
      <c r="H99" s="254"/>
      <c r="I99" s="254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79"/>
      <c r="Y99" s="80"/>
      <c r="Z99" s="80"/>
      <c r="AA99" s="80"/>
      <c r="AB99" s="254"/>
      <c r="AC99" s="78"/>
      <c r="AD99" s="78"/>
      <c r="AE99" s="78"/>
      <c r="AF99" s="78"/>
      <c r="AG99" s="254"/>
      <c r="AH99" s="254"/>
      <c r="AI99" s="254"/>
      <c r="AJ99" s="254"/>
      <c r="AK99" s="254"/>
      <c r="AL99" s="254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233"/>
      <c r="BB99" s="183"/>
      <c r="BC99" s="198">
        <v>0</v>
      </c>
      <c r="BD99" s="38"/>
    </row>
    <row r="100" spans="1:56" s="42" customFormat="1" ht="15" customHeight="1" x14ac:dyDescent="0.25">
      <c r="A100" s="38"/>
      <c r="B100" s="135" t="s">
        <v>217</v>
      </c>
      <c r="C100" s="81"/>
      <c r="D100" s="81"/>
      <c r="E100" s="81"/>
      <c r="F100" s="81"/>
      <c r="G100" s="81"/>
      <c r="H100" s="111"/>
      <c r="I100" s="111"/>
      <c r="J100" s="111"/>
      <c r="K100" s="111"/>
      <c r="L100" s="111"/>
      <c r="M100" s="111"/>
      <c r="N100" s="111"/>
      <c r="O100" s="111"/>
      <c r="P100" s="111"/>
      <c r="Q100" s="111"/>
      <c r="R100" s="83">
        <f t="shared" ref="R100:BA100" si="429">R93</f>
        <v>193</v>
      </c>
      <c r="S100" s="83">
        <f t="shared" si="429"/>
        <v>0</v>
      </c>
      <c r="T100" s="83">
        <f t="shared" si="429"/>
        <v>0</v>
      </c>
      <c r="U100" s="83">
        <f t="shared" si="429"/>
        <v>0</v>
      </c>
      <c r="V100" s="83">
        <f t="shared" si="429"/>
        <v>0</v>
      </c>
      <c r="W100" s="83">
        <f t="shared" si="429"/>
        <v>233</v>
      </c>
      <c r="X100" s="83">
        <f t="shared" si="429"/>
        <v>0</v>
      </c>
      <c r="Y100" s="83">
        <f t="shared" si="429"/>
        <v>0</v>
      </c>
      <c r="Z100" s="83">
        <f t="shared" si="429"/>
        <v>0</v>
      </c>
      <c r="AA100" s="83">
        <f t="shared" si="429"/>
        <v>0</v>
      </c>
      <c r="AB100" s="83">
        <f t="shared" si="429"/>
        <v>237.14200000000002</v>
      </c>
      <c r="AC100" s="83">
        <f t="shared" si="429"/>
        <v>0</v>
      </c>
      <c r="AD100" s="83">
        <f t="shared" si="429"/>
        <v>0</v>
      </c>
      <c r="AE100" s="83">
        <f t="shared" si="429"/>
        <v>0</v>
      </c>
      <c r="AF100" s="83">
        <f t="shared" si="429"/>
        <v>0</v>
      </c>
      <c r="AG100" s="83">
        <f t="shared" si="429"/>
        <v>248.02799999999996</v>
      </c>
      <c r="AH100" s="83">
        <f t="shared" si="429"/>
        <v>0</v>
      </c>
      <c r="AI100" s="83">
        <f t="shared" si="429"/>
        <v>0</v>
      </c>
      <c r="AJ100" s="83">
        <f t="shared" si="429"/>
        <v>0</v>
      </c>
      <c r="AK100" s="83">
        <f t="shared" si="429"/>
        <v>0</v>
      </c>
      <c r="AL100" s="83">
        <f t="shared" si="429"/>
        <v>281.74</v>
      </c>
      <c r="AM100" s="83">
        <f t="shared" si="429"/>
        <v>0</v>
      </c>
      <c r="AN100" s="83">
        <f t="shared" si="429"/>
        <v>0</v>
      </c>
      <c r="AO100" s="83">
        <f t="shared" si="429"/>
        <v>0</v>
      </c>
      <c r="AP100" s="83">
        <f t="shared" si="429"/>
        <v>0</v>
      </c>
      <c r="AQ100" s="83">
        <f t="shared" si="429"/>
        <v>323.51123259999997</v>
      </c>
      <c r="AR100" s="83">
        <f t="shared" si="429"/>
        <v>0</v>
      </c>
      <c r="AS100" s="83">
        <f t="shared" si="429"/>
        <v>0</v>
      </c>
      <c r="AT100" s="83">
        <f t="shared" si="429"/>
        <v>0</v>
      </c>
      <c r="AU100" s="83">
        <f t="shared" si="429"/>
        <v>0</v>
      </c>
      <c r="AV100" s="83">
        <f t="shared" si="429"/>
        <v>324.39270460480009</v>
      </c>
      <c r="AW100" s="83">
        <f t="shared" si="429"/>
        <v>0</v>
      </c>
      <c r="AX100" s="83">
        <f t="shared" si="429"/>
        <v>0</v>
      </c>
      <c r="AY100" s="83">
        <f t="shared" si="429"/>
        <v>0</v>
      </c>
      <c r="AZ100" s="83">
        <f t="shared" si="429"/>
        <v>0</v>
      </c>
      <c r="BA100" s="83">
        <f t="shared" si="429"/>
        <v>337.1057303147399</v>
      </c>
      <c r="BB100" s="183"/>
      <c r="BC100" s="198">
        <v>0</v>
      </c>
      <c r="BD100" s="38"/>
    </row>
    <row r="101" spans="1:56" s="42" customFormat="1" ht="15" customHeight="1" x14ac:dyDescent="0.25">
      <c r="A101" s="38"/>
      <c r="B101" s="127" t="s">
        <v>169</v>
      </c>
      <c r="C101" s="81"/>
      <c r="D101" s="81"/>
      <c r="E101" s="81"/>
      <c r="F101" s="81"/>
      <c r="G101" s="81"/>
      <c r="H101" s="111"/>
      <c r="I101" s="111"/>
      <c r="J101" s="111"/>
      <c r="K101" s="111"/>
      <c r="L101" s="111"/>
      <c r="M101" s="111"/>
      <c r="N101" s="111"/>
      <c r="O101" s="111"/>
      <c r="P101" s="111"/>
      <c r="Q101" s="111"/>
      <c r="R101" s="83">
        <f t="shared" ref="R101:AB101" si="430">R92</f>
        <v>-8</v>
      </c>
      <c r="S101" s="83">
        <f t="shared" si="430"/>
        <v>0</v>
      </c>
      <c r="T101" s="83">
        <f t="shared" si="430"/>
        <v>0</v>
      </c>
      <c r="U101" s="83">
        <f t="shared" si="430"/>
        <v>0</v>
      </c>
      <c r="V101" s="83">
        <f t="shared" si="430"/>
        <v>0</v>
      </c>
      <c r="W101" s="83">
        <f t="shared" si="430"/>
        <v>-9</v>
      </c>
      <c r="X101" s="83">
        <f t="shared" si="430"/>
        <v>0</v>
      </c>
      <c r="Y101" s="83">
        <f t="shared" si="430"/>
        <v>0</v>
      </c>
      <c r="Z101" s="83">
        <f t="shared" si="430"/>
        <v>0</v>
      </c>
      <c r="AA101" s="83">
        <f t="shared" si="430"/>
        <v>0</v>
      </c>
      <c r="AB101" s="83">
        <f t="shared" si="430"/>
        <v>-13.768000000000001</v>
      </c>
      <c r="AC101" s="83"/>
      <c r="AD101" s="83"/>
      <c r="AE101" s="83"/>
      <c r="AF101" s="83"/>
      <c r="AG101" s="83">
        <f>AG92</f>
        <v>-16.771999999999998</v>
      </c>
      <c r="AH101" s="83"/>
      <c r="AI101" s="83"/>
      <c r="AJ101" s="83"/>
      <c r="AK101" s="83"/>
      <c r="AL101" s="83">
        <f t="shared" ref="AL101:BA101" si="431">AL92</f>
        <v>-14.975</v>
      </c>
      <c r="AM101" s="83">
        <f t="shared" si="431"/>
        <v>0</v>
      </c>
      <c r="AN101" s="83">
        <f t="shared" si="431"/>
        <v>0</v>
      </c>
      <c r="AO101" s="83">
        <f t="shared" si="431"/>
        <v>0</v>
      </c>
      <c r="AP101" s="83">
        <f t="shared" si="431"/>
        <v>0</v>
      </c>
      <c r="AQ101" s="83">
        <f t="shared" si="431"/>
        <v>-17.5</v>
      </c>
      <c r="AR101" s="83">
        <f t="shared" si="431"/>
        <v>0</v>
      </c>
      <c r="AS101" s="83">
        <f t="shared" si="431"/>
        <v>0</v>
      </c>
      <c r="AT101" s="83">
        <f t="shared" si="431"/>
        <v>0</v>
      </c>
      <c r="AU101" s="83">
        <f t="shared" si="431"/>
        <v>0</v>
      </c>
      <c r="AV101" s="83">
        <f t="shared" si="431"/>
        <v>-17.5</v>
      </c>
      <c r="AW101" s="83">
        <f t="shared" si="431"/>
        <v>0</v>
      </c>
      <c r="AX101" s="83">
        <f t="shared" si="431"/>
        <v>0</v>
      </c>
      <c r="AY101" s="83">
        <f t="shared" si="431"/>
        <v>0</v>
      </c>
      <c r="AZ101" s="83">
        <f t="shared" si="431"/>
        <v>0</v>
      </c>
      <c r="BA101" s="83">
        <f t="shared" si="431"/>
        <v>-17.5</v>
      </c>
      <c r="BB101" s="183"/>
      <c r="BC101" s="198">
        <v>0</v>
      </c>
      <c r="BD101" s="38"/>
    </row>
    <row r="102" spans="1:56" s="161" customFormat="1" ht="15" customHeight="1" x14ac:dyDescent="0.25">
      <c r="A102" s="157"/>
      <c r="B102" s="153" t="s">
        <v>170</v>
      </c>
      <c r="C102" s="158"/>
      <c r="D102" s="158"/>
      <c r="E102" s="158"/>
      <c r="F102" s="158"/>
      <c r="G102" s="158"/>
      <c r="H102" s="159"/>
      <c r="I102" s="159"/>
      <c r="J102" s="159"/>
      <c r="K102" s="159"/>
      <c r="L102" s="159"/>
      <c r="M102" s="159"/>
      <c r="N102" s="159"/>
      <c r="O102" s="159"/>
      <c r="P102" s="159"/>
      <c r="Q102" s="159"/>
      <c r="R102" s="160">
        <f t="shared" ref="R102:BA102" si="432">R77</f>
        <v>-8</v>
      </c>
      <c r="S102" s="160">
        <f t="shared" si="432"/>
        <v>0</v>
      </c>
      <c r="T102" s="160">
        <f t="shared" si="432"/>
        <v>0</v>
      </c>
      <c r="U102" s="160">
        <f t="shared" si="432"/>
        <v>0</v>
      </c>
      <c r="V102" s="160">
        <f t="shared" si="432"/>
        <v>0</v>
      </c>
      <c r="W102" s="160">
        <f t="shared" si="432"/>
        <v>-184</v>
      </c>
      <c r="X102" s="160">
        <f t="shared" si="432"/>
        <v>0</v>
      </c>
      <c r="Y102" s="160">
        <f t="shared" si="432"/>
        <v>0</v>
      </c>
      <c r="Z102" s="160">
        <f t="shared" si="432"/>
        <v>0</v>
      </c>
      <c r="AA102" s="160">
        <f t="shared" si="432"/>
        <v>0</v>
      </c>
      <c r="AB102" s="160">
        <f t="shared" si="432"/>
        <v>48</v>
      </c>
      <c r="AC102" s="160">
        <f t="shared" si="432"/>
        <v>0</v>
      </c>
      <c r="AD102" s="160">
        <f t="shared" si="432"/>
        <v>0</v>
      </c>
      <c r="AE102" s="160">
        <f t="shared" si="432"/>
        <v>0</v>
      </c>
      <c r="AF102" s="160">
        <f t="shared" si="432"/>
        <v>0</v>
      </c>
      <c r="AG102" s="160">
        <f t="shared" si="432"/>
        <v>47</v>
      </c>
      <c r="AH102" s="160">
        <f t="shared" si="432"/>
        <v>-36</v>
      </c>
      <c r="AI102" s="160">
        <f t="shared" si="432"/>
        <v>27</v>
      </c>
      <c r="AJ102" s="160">
        <f t="shared" si="432"/>
        <v>93</v>
      </c>
      <c r="AK102" s="160">
        <f t="shared" si="432"/>
        <v>-14</v>
      </c>
      <c r="AL102" s="160">
        <f t="shared" si="432"/>
        <v>70.369</v>
      </c>
      <c r="AM102" s="160">
        <f t="shared" si="432"/>
        <v>0</v>
      </c>
      <c r="AN102" s="160">
        <f t="shared" si="432"/>
        <v>0</v>
      </c>
      <c r="AO102" s="160">
        <f t="shared" si="432"/>
        <v>0</v>
      </c>
      <c r="AP102" s="160">
        <f t="shared" si="432"/>
        <v>0</v>
      </c>
      <c r="AQ102" s="160">
        <f t="shared" si="432"/>
        <v>114.78056069199999</v>
      </c>
      <c r="AR102" s="160">
        <f t="shared" si="432"/>
        <v>0</v>
      </c>
      <c r="AS102" s="160">
        <f t="shared" si="432"/>
        <v>0</v>
      </c>
      <c r="AT102" s="160">
        <f t="shared" si="432"/>
        <v>0</v>
      </c>
      <c r="AU102" s="160">
        <f t="shared" si="432"/>
        <v>0</v>
      </c>
      <c r="AV102" s="160">
        <f t="shared" si="432"/>
        <v>122.42724015849602</v>
      </c>
      <c r="AW102" s="160">
        <f t="shared" si="432"/>
        <v>0</v>
      </c>
      <c r="AX102" s="160">
        <f t="shared" si="432"/>
        <v>0</v>
      </c>
      <c r="AY102" s="160">
        <f t="shared" si="432"/>
        <v>0</v>
      </c>
      <c r="AZ102" s="160">
        <f t="shared" si="432"/>
        <v>0</v>
      </c>
      <c r="BA102" s="160">
        <f t="shared" si="432"/>
        <v>137.92307102631557</v>
      </c>
      <c r="BB102" s="193"/>
      <c r="BC102" s="198">
        <v>0</v>
      </c>
      <c r="BD102" s="157"/>
    </row>
    <row r="103" spans="1:56" s="42" customFormat="1" ht="15" customHeight="1" x14ac:dyDescent="0.25">
      <c r="A103" s="38"/>
      <c r="B103" s="135" t="s">
        <v>157</v>
      </c>
      <c r="C103" s="81"/>
      <c r="D103" s="81"/>
      <c r="E103" s="81"/>
      <c r="F103" s="81"/>
      <c r="G103" s="81"/>
      <c r="H103" s="111"/>
      <c r="I103" s="111"/>
      <c r="J103" s="111"/>
      <c r="K103" s="111"/>
      <c r="L103" s="111"/>
      <c r="M103" s="111"/>
      <c r="N103" s="111"/>
      <c r="O103" s="111"/>
      <c r="P103" s="111"/>
      <c r="Q103" s="111"/>
      <c r="R103" s="83">
        <f t="shared" ref="R103:BA103" si="433">R100-R101-R102</f>
        <v>209</v>
      </c>
      <c r="S103" s="83">
        <f t="shared" si="433"/>
        <v>0</v>
      </c>
      <c r="T103" s="83">
        <f t="shared" si="433"/>
        <v>0</v>
      </c>
      <c r="U103" s="83">
        <f t="shared" si="433"/>
        <v>0</v>
      </c>
      <c r="V103" s="83">
        <f t="shared" si="433"/>
        <v>0</v>
      </c>
      <c r="W103" s="83">
        <f t="shared" si="433"/>
        <v>426</v>
      </c>
      <c r="X103" s="83">
        <f t="shared" si="433"/>
        <v>0</v>
      </c>
      <c r="Y103" s="83">
        <f t="shared" si="433"/>
        <v>0</v>
      </c>
      <c r="Z103" s="83">
        <f t="shared" si="433"/>
        <v>0</v>
      </c>
      <c r="AA103" s="83">
        <f t="shared" si="433"/>
        <v>0</v>
      </c>
      <c r="AB103" s="83">
        <f t="shared" si="433"/>
        <v>202.91000000000003</v>
      </c>
      <c r="AC103" s="83">
        <f t="shared" si="433"/>
        <v>0</v>
      </c>
      <c r="AD103" s="83">
        <f t="shared" si="433"/>
        <v>0</v>
      </c>
      <c r="AE103" s="83">
        <f t="shared" si="433"/>
        <v>0</v>
      </c>
      <c r="AF103" s="83">
        <f t="shared" si="433"/>
        <v>0</v>
      </c>
      <c r="AG103" s="83">
        <f t="shared" si="433"/>
        <v>217.79999999999995</v>
      </c>
      <c r="AH103" s="83">
        <f t="shared" si="433"/>
        <v>36</v>
      </c>
      <c r="AI103" s="83">
        <f t="shared" si="433"/>
        <v>-27</v>
      </c>
      <c r="AJ103" s="83">
        <f t="shared" si="433"/>
        <v>-93</v>
      </c>
      <c r="AK103" s="83">
        <f t="shared" si="433"/>
        <v>14</v>
      </c>
      <c r="AL103" s="83">
        <f t="shared" si="433"/>
        <v>226.34600000000003</v>
      </c>
      <c r="AM103" s="83">
        <f t="shared" si="433"/>
        <v>0</v>
      </c>
      <c r="AN103" s="83">
        <f t="shared" si="433"/>
        <v>0</v>
      </c>
      <c r="AO103" s="83">
        <f t="shared" si="433"/>
        <v>0</v>
      </c>
      <c r="AP103" s="83">
        <f t="shared" si="433"/>
        <v>0</v>
      </c>
      <c r="AQ103" s="83">
        <f t="shared" si="433"/>
        <v>226.23067190799998</v>
      </c>
      <c r="AR103" s="83">
        <f t="shared" si="433"/>
        <v>0</v>
      </c>
      <c r="AS103" s="83">
        <f t="shared" si="433"/>
        <v>0</v>
      </c>
      <c r="AT103" s="83">
        <f t="shared" si="433"/>
        <v>0</v>
      </c>
      <c r="AU103" s="83">
        <f t="shared" si="433"/>
        <v>0</v>
      </c>
      <c r="AV103" s="83">
        <f t="shared" si="433"/>
        <v>219.46546444630405</v>
      </c>
      <c r="AW103" s="83">
        <f t="shared" si="433"/>
        <v>0</v>
      </c>
      <c r="AX103" s="83">
        <f t="shared" si="433"/>
        <v>0</v>
      </c>
      <c r="AY103" s="83">
        <f t="shared" si="433"/>
        <v>0</v>
      </c>
      <c r="AZ103" s="83">
        <f t="shared" si="433"/>
        <v>0</v>
      </c>
      <c r="BA103" s="83">
        <f t="shared" si="433"/>
        <v>216.68265928842433</v>
      </c>
      <c r="BB103" s="183"/>
      <c r="BC103" s="198">
        <v>0</v>
      </c>
      <c r="BD103" s="38"/>
    </row>
    <row r="104" spans="1:56" s="42" customFormat="1" ht="15" customHeight="1" x14ac:dyDescent="0.25">
      <c r="A104" s="38"/>
      <c r="B104" s="153" t="s">
        <v>200</v>
      </c>
      <c r="C104" s="81"/>
      <c r="D104" s="81"/>
      <c r="E104" s="81"/>
      <c r="F104" s="81"/>
      <c r="G104" s="81"/>
      <c r="H104" s="111"/>
      <c r="I104" s="111"/>
      <c r="J104" s="111"/>
      <c r="K104" s="111"/>
      <c r="L104" s="111"/>
      <c r="M104" s="111"/>
      <c r="N104" s="111"/>
      <c r="O104" s="111"/>
      <c r="P104" s="111"/>
      <c r="Q104" s="111"/>
      <c r="R104" s="83">
        <f>R60</f>
        <v>0</v>
      </c>
      <c r="S104" s="83">
        <f t="shared" ref="S104:BA104" si="434">S60</f>
        <v>0</v>
      </c>
      <c r="T104" s="83">
        <f t="shared" si="434"/>
        <v>0</v>
      </c>
      <c r="U104" s="83">
        <f t="shared" si="434"/>
        <v>0</v>
      </c>
      <c r="V104" s="83">
        <f t="shared" si="434"/>
        <v>0</v>
      </c>
      <c r="W104" s="83">
        <f t="shared" si="434"/>
        <v>62.875</v>
      </c>
      <c r="X104" s="83">
        <f t="shared" si="434"/>
        <v>0</v>
      </c>
      <c r="Y104" s="83">
        <f t="shared" si="434"/>
        <v>0</v>
      </c>
      <c r="Z104" s="83">
        <f t="shared" si="434"/>
        <v>0</v>
      </c>
      <c r="AA104" s="83">
        <f t="shared" si="434"/>
        <v>0</v>
      </c>
      <c r="AB104" s="83">
        <f t="shared" si="434"/>
        <v>27.033999999999999</v>
      </c>
      <c r="AC104" s="83">
        <f t="shared" si="434"/>
        <v>0</v>
      </c>
      <c r="AD104" s="83">
        <f t="shared" si="434"/>
        <v>0</v>
      </c>
      <c r="AE104" s="83">
        <f t="shared" si="434"/>
        <v>0</v>
      </c>
      <c r="AF104" s="83">
        <f t="shared" si="434"/>
        <v>0</v>
      </c>
      <c r="AG104" s="83">
        <f t="shared" si="434"/>
        <v>140.03800000000001</v>
      </c>
      <c r="AH104" s="83">
        <f t="shared" si="434"/>
        <v>22</v>
      </c>
      <c r="AI104" s="83">
        <f t="shared" si="434"/>
        <v>4</v>
      </c>
      <c r="AJ104" s="83">
        <f t="shared" si="434"/>
        <v>10</v>
      </c>
      <c r="AK104" s="83">
        <f t="shared" si="434"/>
        <v>20</v>
      </c>
      <c r="AL104" s="83">
        <f t="shared" si="434"/>
        <v>56.232999999999997</v>
      </c>
      <c r="AM104" s="83">
        <f t="shared" si="434"/>
        <v>0</v>
      </c>
      <c r="AN104" s="83">
        <f t="shared" si="434"/>
        <v>0</v>
      </c>
      <c r="AO104" s="83">
        <f t="shared" si="434"/>
        <v>0</v>
      </c>
      <c r="AP104" s="83">
        <f t="shared" si="434"/>
        <v>0</v>
      </c>
      <c r="AQ104" s="83">
        <f t="shared" si="434"/>
        <v>50</v>
      </c>
      <c r="AR104" s="83">
        <f t="shared" si="434"/>
        <v>0</v>
      </c>
      <c r="AS104" s="83">
        <f t="shared" si="434"/>
        <v>0</v>
      </c>
      <c r="AT104" s="83">
        <f t="shared" si="434"/>
        <v>0</v>
      </c>
      <c r="AU104" s="83">
        <f t="shared" si="434"/>
        <v>0</v>
      </c>
      <c r="AV104" s="83">
        <f t="shared" si="434"/>
        <v>50</v>
      </c>
      <c r="AW104" s="83">
        <f t="shared" si="434"/>
        <v>0</v>
      </c>
      <c r="AX104" s="83">
        <f t="shared" si="434"/>
        <v>0</v>
      </c>
      <c r="AY104" s="83">
        <f t="shared" si="434"/>
        <v>0</v>
      </c>
      <c r="AZ104" s="83">
        <f t="shared" si="434"/>
        <v>0</v>
      </c>
      <c r="BA104" s="83">
        <f t="shared" si="434"/>
        <v>20</v>
      </c>
      <c r="BB104" s="183"/>
      <c r="BC104" s="198"/>
      <c r="BD104" s="38"/>
    </row>
    <row r="105" spans="1:56" s="42" customFormat="1" ht="15" customHeight="1" x14ac:dyDescent="0.25">
      <c r="A105" s="38"/>
      <c r="B105" s="135" t="s">
        <v>312</v>
      </c>
      <c r="C105" s="81"/>
      <c r="D105" s="81"/>
      <c r="E105" s="81"/>
      <c r="F105" s="81"/>
      <c r="G105" s="81"/>
      <c r="H105" s="111"/>
      <c r="I105" s="111"/>
      <c r="J105" s="111"/>
      <c r="K105" s="111"/>
      <c r="L105" s="111"/>
      <c r="M105" s="111"/>
      <c r="N105" s="111"/>
      <c r="O105" s="111"/>
      <c r="P105" s="111"/>
      <c r="Q105" s="111"/>
      <c r="R105" s="83">
        <f>R103-R104</f>
        <v>209</v>
      </c>
      <c r="S105" s="83">
        <f t="shared" ref="S105:BA105" si="435">S103-S104</f>
        <v>0</v>
      </c>
      <c r="T105" s="83">
        <f t="shared" si="435"/>
        <v>0</v>
      </c>
      <c r="U105" s="83">
        <f t="shared" si="435"/>
        <v>0</v>
      </c>
      <c r="V105" s="83">
        <f t="shared" si="435"/>
        <v>0</v>
      </c>
      <c r="W105" s="83">
        <f t="shared" si="435"/>
        <v>363.125</v>
      </c>
      <c r="X105" s="83">
        <f t="shared" si="435"/>
        <v>0</v>
      </c>
      <c r="Y105" s="83">
        <f t="shared" si="435"/>
        <v>0</v>
      </c>
      <c r="Z105" s="83">
        <f t="shared" si="435"/>
        <v>0</v>
      </c>
      <c r="AA105" s="83">
        <f t="shared" si="435"/>
        <v>0</v>
      </c>
      <c r="AB105" s="83">
        <f t="shared" si="435"/>
        <v>175.87600000000003</v>
      </c>
      <c r="AC105" s="83">
        <f t="shared" si="435"/>
        <v>0</v>
      </c>
      <c r="AD105" s="83">
        <f t="shared" si="435"/>
        <v>0</v>
      </c>
      <c r="AE105" s="83">
        <f t="shared" si="435"/>
        <v>0</v>
      </c>
      <c r="AF105" s="83">
        <f t="shared" si="435"/>
        <v>0</v>
      </c>
      <c r="AG105" s="83">
        <f t="shared" si="435"/>
        <v>77.761999999999944</v>
      </c>
      <c r="AH105" s="83">
        <f t="shared" si="435"/>
        <v>14</v>
      </c>
      <c r="AI105" s="83">
        <f t="shared" si="435"/>
        <v>-31</v>
      </c>
      <c r="AJ105" s="83">
        <f t="shared" si="435"/>
        <v>-103</v>
      </c>
      <c r="AK105" s="83">
        <f t="shared" si="435"/>
        <v>-6</v>
      </c>
      <c r="AL105" s="83">
        <f t="shared" si="435"/>
        <v>170.11300000000003</v>
      </c>
      <c r="AM105" s="83">
        <f t="shared" si="435"/>
        <v>0</v>
      </c>
      <c r="AN105" s="83">
        <f t="shared" si="435"/>
        <v>0</v>
      </c>
      <c r="AO105" s="83">
        <f t="shared" si="435"/>
        <v>0</v>
      </c>
      <c r="AP105" s="83">
        <f t="shared" si="435"/>
        <v>0</v>
      </c>
      <c r="AQ105" s="83">
        <f t="shared" si="435"/>
        <v>176.23067190799998</v>
      </c>
      <c r="AR105" s="83">
        <f t="shared" si="435"/>
        <v>0</v>
      </c>
      <c r="AS105" s="83">
        <f t="shared" si="435"/>
        <v>0</v>
      </c>
      <c r="AT105" s="83">
        <f t="shared" si="435"/>
        <v>0</v>
      </c>
      <c r="AU105" s="83">
        <f t="shared" si="435"/>
        <v>0</v>
      </c>
      <c r="AV105" s="83">
        <f t="shared" si="435"/>
        <v>169.46546444630405</v>
      </c>
      <c r="AW105" s="83">
        <f t="shared" si="435"/>
        <v>0</v>
      </c>
      <c r="AX105" s="83">
        <f t="shared" si="435"/>
        <v>0</v>
      </c>
      <c r="AY105" s="83">
        <f t="shared" si="435"/>
        <v>0</v>
      </c>
      <c r="AZ105" s="83">
        <f t="shared" si="435"/>
        <v>0</v>
      </c>
      <c r="BA105" s="83">
        <f t="shared" si="435"/>
        <v>196.68265928842433</v>
      </c>
      <c r="BB105" s="183"/>
      <c r="BC105" s="198">
        <v>0</v>
      </c>
      <c r="BD105" s="38"/>
    </row>
    <row r="106" spans="1:56" s="42" customFormat="1" ht="15" customHeight="1" x14ac:dyDescent="0.25">
      <c r="A106" s="38"/>
      <c r="B106" s="135" t="s">
        <v>310</v>
      </c>
      <c r="C106" s="81"/>
      <c r="D106" s="81"/>
      <c r="E106" s="81"/>
      <c r="F106" s="81"/>
      <c r="G106" s="81"/>
      <c r="H106" s="111"/>
      <c r="I106" s="111"/>
      <c r="J106" s="111"/>
      <c r="K106" s="111"/>
      <c r="L106" s="111"/>
      <c r="M106" s="111"/>
      <c r="N106" s="111"/>
      <c r="O106" s="111"/>
      <c r="P106" s="111"/>
      <c r="Q106" s="111"/>
      <c r="R106" s="111">
        <f>R105/R94</f>
        <v>1.8974126191556966</v>
      </c>
      <c r="S106" s="111" t="e">
        <f t="shared" ref="S106:BA106" si="436">S105/S94</f>
        <v>#DIV/0!</v>
      </c>
      <c r="T106" s="111" t="e">
        <f t="shared" si="436"/>
        <v>#DIV/0!</v>
      </c>
      <c r="U106" s="111" t="e">
        <f t="shared" si="436"/>
        <v>#DIV/0!</v>
      </c>
      <c r="V106" s="111" t="e">
        <f t="shared" si="436"/>
        <v>#DIV/0!</v>
      </c>
      <c r="W106" s="111">
        <f t="shared" si="436"/>
        <v>3.3721351361390735</v>
      </c>
      <c r="X106" s="111" t="e">
        <f t="shared" si="436"/>
        <v>#DIV/0!</v>
      </c>
      <c r="Y106" s="111" t="e">
        <f t="shared" si="436"/>
        <v>#DIV/0!</v>
      </c>
      <c r="Z106" s="111" t="e">
        <f t="shared" si="436"/>
        <v>#DIV/0!</v>
      </c>
      <c r="AA106" s="111" t="e">
        <f t="shared" si="436"/>
        <v>#DIV/0!</v>
      </c>
      <c r="AB106" s="111">
        <f t="shared" si="436"/>
        <v>1.8142768722921399</v>
      </c>
      <c r="AC106" s="111" t="e">
        <f t="shared" si="436"/>
        <v>#DIV/0!</v>
      </c>
      <c r="AD106" s="111" t="e">
        <f t="shared" si="436"/>
        <v>#DIV/0!</v>
      </c>
      <c r="AE106" s="111" t="e">
        <f t="shared" si="436"/>
        <v>#DIV/0!</v>
      </c>
      <c r="AF106" s="111" t="e">
        <f t="shared" si="436"/>
        <v>#DIV/0!</v>
      </c>
      <c r="AG106" s="111">
        <f t="shared" si="436"/>
        <v>0.82307863289477801</v>
      </c>
      <c r="AH106" s="111" t="e">
        <f t="shared" si="436"/>
        <v>#DIV/0!</v>
      </c>
      <c r="AI106" s="111" t="e">
        <f t="shared" si="436"/>
        <v>#DIV/0!</v>
      </c>
      <c r="AJ106" s="111" t="e">
        <f t="shared" si="436"/>
        <v>#DIV/0!</v>
      </c>
      <c r="AK106" s="111" t="e">
        <f t="shared" si="436"/>
        <v>#DIV/0!</v>
      </c>
      <c r="AL106" s="111">
        <f t="shared" si="436"/>
        <v>1.8178350074802312</v>
      </c>
      <c r="AM106" s="111" t="e">
        <f t="shared" si="436"/>
        <v>#DIV/0!</v>
      </c>
      <c r="AN106" s="111" t="e">
        <f t="shared" si="436"/>
        <v>#DIV/0!</v>
      </c>
      <c r="AO106" s="111" t="e">
        <f t="shared" si="436"/>
        <v>#DIV/0!</v>
      </c>
      <c r="AP106" s="111" t="e">
        <f t="shared" si="436"/>
        <v>#DIV/0!</v>
      </c>
      <c r="AQ106" s="111">
        <f t="shared" si="436"/>
        <v>1.9897144369833619</v>
      </c>
      <c r="AR106" s="111" t="e">
        <f t="shared" si="436"/>
        <v>#DIV/0!</v>
      </c>
      <c r="AS106" s="111" t="e">
        <f t="shared" si="436"/>
        <v>#DIV/0!</v>
      </c>
      <c r="AT106" s="111" t="e">
        <f t="shared" si="436"/>
        <v>#DIV/0!</v>
      </c>
      <c r="AU106" s="111" t="e">
        <f t="shared" si="436"/>
        <v>#DIV/0!</v>
      </c>
      <c r="AV106" s="111">
        <f t="shared" si="436"/>
        <v>1.8512038888449118</v>
      </c>
      <c r="AW106" s="111" t="e">
        <f t="shared" si="436"/>
        <v>#DIV/0!</v>
      </c>
      <c r="AX106" s="111" t="e">
        <f t="shared" si="436"/>
        <v>#DIV/0!</v>
      </c>
      <c r="AY106" s="111" t="e">
        <f t="shared" si="436"/>
        <v>#DIV/0!</v>
      </c>
      <c r="AZ106" s="111" t="e">
        <f t="shared" si="436"/>
        <v>#DIV/0!</v>
      </c>
      <c r="BA106" s="111">
        <f t="shared" si="436"/>
        <v>2.1370436763798621</v>
      </c>
      <c r="BB106" s="183"/>
      <c r="BC106" s="198"/>
      <c r="BD106" s="38"/>
    </row>
    <row r="107" spans="1:56" s="42" customFormat="1" ht="15" customHeight="1" x14ac:dyDescent="0.25">
      <c r="A107" s="38"/>
      <c r="B107" s="135" t="s">
        <v>311</v>
      </c>
      <c r="C107" s="81"/>
      <c r="D107" s="81"/>
      <c r="E107" s="81"/>
      <c r="F107" s="81"/>
      <c r="G107" s="81"/>
      <c r="H107" s="111"/>
      <c r="I107" s="111"/>
      <c r="J107" s="111"/>
      <c r="K107" s="111"/>
      <c r="L107" s="111"/>
      <c r="M107" s="111"/>
      <c r="N107" s="111"/>
      <c r="O107" s="111"/>
      <c r="P107" s="111"/>
      <c r="Q107" s="111"/>
      <c r="R107" s="111">
        <f>R105/R96</f>
        <v>1.8694096601073347</v>
      </c>
      <c r="S107" s="111" t="e">
        <f t="shared" ref="S107:BA107" si="437">S105/S96</f>
        <v>#DIV/0!</v>
      </c>
      <c r="T107" s="111" t="e">
        <f t="shared" si="437"/>
        <v>#DIV/0!</v>
      </c>
      <c r="U107" s="111" t="e">
        <f t="shared" si="437"/>
        <v>#DIV/0!</v>
      </c>
      <c r="V107" s="111" t="e">
        <f t="shared" si="437"/>
        <v>#DIV/0!</v>
      </c>
      <c r="W107" s="111">
        <f t="shared" si="437"/>
        <v>3.2479874776386404</v>
      </c>
      <c r="X107" s="111" t="e">
        <f t="shared" si="437"/>
        <v>#DIV/0!</v>
      </c>
      <c r="Y107" s="111" t="e">
        <f t="shared" si="437"/>
        <v>#DIV/0!</v>
      </c>
      <c r="Z107" s="111" t="e">
        <f t="shared" si="437"/>
        <v>#DIV/0!</v>
      </c>
      <c r="AA107" s="111" t="e">
        <f t="shared" si="437"/>
        <v>#DIV/0!</v>
      </c>
      <c r="AB107" s="111">
        <f t="shared" si="437"/>
        <v>1.7517529880478091</v>
      </c>
      <c r="AC107" s="111" t="e">
        <f t="shared" si="437"/>
        <v>#DIV/0!</v>
      </c>
      <c r="AD107" s="111" t="e">
        <f t="shared" si="437"/>
        <v>#DIV/0!</v>
      </c>
      <c r="AE107" s="111" t="e">
        <f t="shared" si="437"/>
        <v>#DIV/0!</v>
      </c>
      <c r="AF107" s="111" t="e">
        <f t="shared" si="437"/>
        <v>#DIV/0!</v>
      </c>
      <c r="AG107" s="111">
        <f t="shared" si="437"/>
        <v>0.79268093781855198</v>
      </c>
      <c r="AH107" s="111">
        <f t="shared" si="437"/>
        <v>0.14909478168264109</v>
      </c>
      <c r="AI107" s="111">
        <f t="shared" si="437"/>
        <v>-0.31827515400410678</v>
      </c>
      <c r="AJ107" s="111">
        <f t="shared" si="437"/>
        <v>-1.0706860706860706</v>
      </c>
      <c r="AK107" s="111">
        <f t="shared" si="437"/>
        <v>-6.2761506276150625E-2</v>
      </c>
      <c r="AL107" s="111">
        <f t="shared" si="437"/>
        <v>1.7361835457894901</v>
      </c>
      <c r="AM107" s="111" t="e">
        <f t="shared" si="437"/>
        <v>#DIV/0!</v>
      </c>
      <c r="AN107" s="111" t="e">
        <f t="shared" si="437"/>
        <v>#DIV/0!</v>
      </c>
      <c r="AO107" s="111" t="e">
        <f t="shared" si="437"/>
        <v>#DIV/0!</v>
      </c>
      <c r="AP107" s="111" t="e">
        <f t="shared" si="437"/>
        <v>#DIV/0!</v>
      </c>
      <c r="AQ107" s="111">
        <f t="shared" si="437"/>
        <v>1.8587412560924068</v>
      </c>
      <c r="AR107" s="111" t="e">
        <f t="shared" si="437"/>
        <v>#DIV/0!</v>
      </c>
      <c r="AS107" s="111" t="e">
        <f t="shared" si="437"/>
        <v>#DIV/0!</v>
      </c>
      <c r="AT107" s="111" t="e">
        <f t="shared" si="437"/>
        <v>#DIV/0!</v>
      </c>
      <c r="AU107" s="111" t="e">
        <f t="shared" si="437"/>
        <v>#DIV/0!</v>
      </c>
      <c r="AV107" s="111">
        <f t="shared" si="437"/>
        <v>1.7911015541431805</v>
      </c>
      <c r="AW107" s="111" t="e">
        <f t="shared" si="437"/>
        <v>#DIV/0!</v>
      </c>
      <c r="AX107" s="111" t="e">
        <f t="shared" si="437"/>
        <v>#DIV/0!</v>
      </c>
      <c r="AY107" s="111" t="e">
        <f t="shared" si="437"/>
        <v>#DIV/0!</v>
      </c>
      <c r="AZ107" s="111" t="e">
        <f t="shared" si="437"/>
        <v>#DIV/0!</v>
      </c>
      <c r="BA107" s="111">
        <f t="shared" si="437"/>
        <v>2.0723038433622589</v>
      </c>
      <c r="BB107" s="183"/>
      <c r="BC107" s="198"/>
      <c r="BD107" s="38"/>
    </row>
    <row r="108" spans="1:56" s="42" customFormat="1" ht="15" customHeight="1" x14ac:dyDescent="0.25">
      <c r="A108" s="38"/>
      <c r="B108" s="316" t="s">
        <v>302</v>
      </c>
      <c r="C108" s="81"/>
      <c r="D108" s="81"/>
      <c r="E108" s="81"/>
      <c r="F108" s="81"/>
      <c r="G108" s="81"/>
      <c r="H108" s="111"/>
      <c r="I108" s="111"/>
      <c r="J108" s="111"/>
      <c r="K108" s="111"/>
      <c r="L108" s="111"/>
      <c r="M108" s="111"/>
      <c r="N108" s="111"/>
      <c r="O108" s="111"/>
      <c r="P108" s="111"/>
      <c r="Q108" s="111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  <c r="AD108" s="83"/>
      <c r="AE108" s="83"/>
      <c r="AF108" s="83"/>
      <c r="AG108" s="83"/>
      <c r="AH108" s="83"/>
      <c r="AI108" s="83"/>
      <c r="AJ108" s="83"/>
      <c r="AK108" s="83"/>
      <c r="AL108" s="250">
        <f>AL105/Summary!$G$9</f>
        <v>3.6514526562341706E-2</v>
      </c>
      <c r="AM108" s="251">
        <f>AM105/Summary!$G$9</f>
        <v>0</v>
      </c>
      <c r="AN108" s="251">
        <f>AN105/Summary!$G$9</f>
        <v>0</v>
      </c>
      <c r="AO108" s="251">
        <f>AO105/Summary!$G$9</f>
        <v>0</v>
      </c>
      <c r="AP108" s="251">
        <f>AP105/Summary!$G$9</f>
        <v>0</v>
      </c>
      <c r="AQ108" s="251">
        <f>AQ105/Summary!$G$9</f>
        <v>3.7827676606044157E-2</v>
      </c>
      <c r="AR108" s="251">
        <f>AR105/Summary!$G$9</f>
        <v>0</v>
      </c>
      <c r="AS108" s="251">
        <f>AS105/Summary!$G$9</f>
        <v>0</v>
      </c>
      <c r="AT108" s="251">
        <f>AT105/Summary!$G$9</f>
        <v>0</v>
      </c>
      <c r="AU108" s="251">
        <f>AU105/Summary!$G$9</f>
        <v>0</v>
      </c>
      <c r="AV108" s="251">
        <f>AV105/Summary!$G$9</f>
        <v>3.6375533927002296E-2</v>
      </c>
      <c r="AW108" s="251">
        <f>AW105/Summary!$G$9</f>
        <v>0</v>
      </c>
      <c r="AX108" s="251">
        <f>AX105/Summary!$G$9</f>
        <v>0</v>
      </c>
      <c r="AY108" s="251">
        <f>AY105/Summary!$G$9</f>
        <v>0</v>
      </c>
      <c r="AZ108" s="251">
        <f>AZ105/Summary!$G$9</f>
        <v>0</v>
      </c>
      <c r="BA108" s="252">
        <f>BA105/Summary!$G$9</f>
        <v>4.2217668179029069E-2</v>
      </c>
      <c r="BB108" s="183"/>
      <c r="BC108" s="198"/>
      <c r="BD108" s="38"/>
    </row>
    <row r="109" spans="1:56" s="42" customFormat="1" ht="15" customHeight="1" x14ac:dyDescent="0.25">
      <c r="A109" s="38"/>
      <c r="B109" s="316" t="s">
        <v>306</v>
      </c>
      <c r="C109" s="81"/>
      <c r="D109" s="81"/>
      <c r="E109" s="81"/>
      <c r="F109" s="81"/>
      <c r="G109" s="81"/>
      <c r="H109" s="111"/>
      <c r="I109" s="111"/>
      <c r="J109" s="111"/>
      <c r="K109" s="111"/>
      <c r="L109" s="111"/>
      <c r="M109" s="111"/>
      <c r="N109" s="111"/>
      <c r="O109" s="111"/>
      <c r="P109" s="111"/>
      <c r="Q109" s="111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73">
        <f t="shared" ref="AB109:BA109" si="438">AB105/AB100</f>
        <v>0.74164846378962823</v>
      </c>
      <c r="AC109" s="73" t="e">
        <f t="shared" si="438"/>
        <v>#DIV/0!</v>
      </c>
      <c r="AD109" s="73" t="e">
        <f t="shared" si="438"/>
        <v>#DIV/0!</v>
      </c>
      <c r="AE109" s="73" t="e">
        <f t="shared" si="438"/>
        <v>#DIV/0!</v>
      </c>
      <c r="AF109" s="73" t="e">
        <f t="shared" si="438"/>
        <v>#DIV/0!</v>
      </c>
      <c r="AG109" s="73">
        <f t="shared" si="438"/>
        <v>0.31352105407453978</v>
      </c>
      <c r="AH109" s="73" t="e">
        <f t="shared" si="438"/>
        <v>#DIV/0!</v>
      </c>
      <c r="AI109" s="73" t="e">
        <f t="shared" si="438"/>
        <v>#DIV/0!</v>
      </c>
      <c r="AJ109" s="73" t="e">
        <f t="shared" si="438"/>
        <v>#DIV/0!</v>
      </c>
      <c r="AK109" s="73" t="e">
        <f t="shared" si="438"/>
        <v>#DIV/0!</v>
      </c>
      <c r="AL109" s="73">
        <f t="shared" si="438"/>
        <v>0.60379427841272104</v>
      </c>
      <c r="AM109" s="73" t="e">
        <f t="shared" si="438"/>
        <v>#DIV/0!</v>
      </c>
      <c r="AN109" s="73" t="e">
        <f t="shared" si="438"/>
        <v>#DIV/0!</v>
      </c>
      <c r="AO109" s="73" t="e">
        <f t="shared" si="438"/>
        <v>#DIV/0!</v>
      </c>
      <c r="AP109" s="73" t="e">
        <f t="shared" si="438"/>
        <v>#DIV/0!</v>
      </c>
      <c r="AQ109" s="73">
        <f t="shared" si="438"/>
        <v>0.54474359511929971</v>
      </c>
      <c r="AR109" s="73" t="e">
        <f t="shared" si="438"/>
        <v>#DIV/0!</v>
      </c>
      <c r="AS109" s="73" t="e">
        <f t="shared" si="438"/>
        <v>#DIV/0!</v>
      </c>
      <c r="AT109" s="73" t="e">
        <f t="shared" si="438"/>
        <v>#DIV/0!</v>
      </c>
      <c r="AU109" s="73" t="e">
        <f t="shared" si="438"/>
        <v>#DIV/0!</v>
      </c>
      <c r="AV109" s="73">
        <f t="shared" si="438"/>
        <v>0.52240837121401917</v>
      </c>
      <c r="AW109" s="73" t="e">
        <f t="shared" si="438"/>
        <v>#DIV/0!</v>
      </c>
      <c r="AX109" s="73" t="e">
        <f t="shared" si="438"/>
        <v>#DIV/0!</v>
      </c>
      <c r="AY109" s="73" t="e">
        <f t="shared" si="438"/>
        <v>#DIV/0!</v>
      </c>
      <c r="AZ109" s="73" t="e">
        <f t="shared" si="438"/>
        <v>#DIV/0!</v>
      </c>
      <c r="BA109" s="73">
        <f t="shared" si="438"/>
        <v>0.58344501917778413</v>
      </c>
      <c r="BB109" s="183"/>
      <c r="BC109" s="247"/>
      <c r="BD109" s="38"/>
    </row>
    <row r="110" spans="1:56" s="42" customFormat="1" ht="15" customHeight="1" x14ac:dyDescent="0.25">
      <c r="A110" s="38"/>
      <c r="B110" s="135"/>
      <c r="C110" s="81"/>
      <c r="D110" s="81"/>
      <c r="E110" s="81"/>
      <c r="F110" s="81"/>
      <c r="G110" s="81"/>
      <c r="H110" s="111"/>
      <c r="I110" s="111"/>
      <c r="J110" s="111"/>
      <c r="K110" s="111"/>
      <c r="L110" s="111"/>
      <c r="M110" s="111"/>
      <c r="N110" s="111"/>
      <c r="O110" s="111"/>
      <c r="P110" s="111"/>
      <c r="Q110" s="111"/>
      <c r="R110" s="111"/>
      <c r="S110" s="111"/>
      <c r="T110" s="111"/>
      <c r="U110" s="111"/>
      <c r="V110" s="111"/>
      <c r="W110" s="111"/>
      <c r="X110" s="111"/>
      <c r="Y110" s="111"/>
      <c r="Z110" s="111"/>
      <c r="AA110" s="111"/>
      <c r="AB110" s="83"/>
      <c r="AC110" s="83"/>
      <c r="AD110" s="83"/>
      <c r="AE110" s="83"/>
      <c r="AF110" s="83"/>
      <c r="AG110" s="83"/>
      <c r="AH110" s="83"/>
      <c r="AI110" s="83"/>
      <c r="AJ110" s="83"/>
      <c r="AK110" s="83"/>
      <c r="AL110" s="83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183"/>
      <c r="BC110" s="198"/>
      <c r="BD110" s="38"/>
    </row>
    <row r="111" spans="1:56" s="42" customFormat="1" ht="15" customHeight="1" x14ac:dyDescent="0.25">
      <c r="A111" s="38"/>
      <c r="B111" s="135" t="s">
        <v>139</v>
      </c>
      <c r="C111" s="81"/>
      <c r="D111" s="81"/>
      <c r="E111" s="81"/>
      <c r="F111" s="81"/>
      <c r="G111" s="81"/>
      <c r="H111" s="111"/>
      <c r="I111" s="111"/>
      <c r="J111" s="111"/>
      <c r="K111" s="111"/>
      <c r="L111" s="111"/>
      <c r="M111" s="111"/>
      <c r="N111" s="111"/>
      <c r="O111" s="111"/>
      <c r="P111" s="111"/>
      <c r="Q111" s="111"/>
      <c r="R111" s="111">
        <v>0.09</v>
      </c>
      <c r="S111" s="111"/>
      <c r="T111" s="111"/>
      <c r="U111" s="111"/>
      <c r="V111" s="111"/>
      <c r="W111" s="111">
        <v>1.35</v>
      </c>
      <c r="X111" s="108"/>
      <c r="Y111" s="109"/>
      <c r="Z111" s="109"/>
      <c r="AA111" s="109"/>
      <c r="AB111" s="111">
        <v>1.82</v>
      </c>
      <c r="AC111" s="81"/>
      <c r="AD111" s="81"/>
      <c r="AE111" s="81"/>
      <c r="AF111" s="81"/>
      <c r="AG111" s="111">
        <v>1.93</v>
      </c>
      <c r="AH111" s="111"/>
      <c r="AI111" s="111"/>
      <c r="AJ111" s="111"/>
      <c r="AK111" s="111"/>
      <c r="AL111" s="111">
        <v>2.14</v>
      </c>
      <c r="AM111" s="81"/>
      <c r="AN111" s="81"/>
      <c r="AO111" s="81"/>
      <c r="AP111" s="81"/>
      <c r="AQ111" s="111">
        <f>AL111*(1+AQ112)</f>
        <v>2.2898000000000001</v>
      </c>
      <c r="AR111" s="81"/>
      <c r="AS111" s="81"/>
      <c r="AT111" s="81"/>
      <c r="AU111" s="81"/>
      <c r="AV111" s="111">
        <f>AQ111*(1+AV112)</f>
        <v>2.4500860000000002</v>
      </c>
      <c r="AW111" s="81"/>
      <c r="AX111" s="81"/>
      <c r="AY111" s="81"/>
      <c r="AZ111" s="81"/>
      <c r="BA111" s="111">
        <f>AV111*(1+BA112)</f>
        <v>2.6215920200000005</v>
      </c>
      <c r="BB111" s="183"/>
      <c r="BC111" s="198">
        <v>0</v>
      </c>
      <c r="BD111" s="38"/>
    </row>
    <row r="112" spans="1:56" s="42" customFormat="1" ht="15" customHeight="1" x14ac:dyDescent="0.25">
      <c r="A112" s="38"/>
      <c r="B112" s="152" t="s">
        <v>171</v>
      </c>
      <c r="C112" s="81"/>
      <c r="D112" s="81"/>
      <c r="E112" s="81"/>
      <c r="F112" s="81"/>
      <c r="G112" s="81"/>
      <c r="H112" s="111"/>
      <c r="I112" s="111"/>
      <c r="J112" s="111"/>
      <c r="K112" s="111"/>
      <c r="L112" s="111"/>
      <c r="M112" s="111"/>
      <c r="N112" s="111"/>
      <c r="O112" s="111"/>
      <c r="P112" s="111"/>
      <c r="Q112" s="111"/>
      <c r="R112" s="111"/>
      <c r="S112" s="111"/>
      <c r="T112" s="111"/>
      <c r="U112" s="111"/>
      <c r="V112" s="111"/>
      <c r="W112" s="73"/>
      <c r="X112" s="108"/>
      <c r="Y112" s="109"/>
      <c r="Z112" s="109"/>
      <c r="AA112" s="109"/>
      <c r="AB112" s="73">
        <f>AB111/W111-1</f>
        <v>0.3481481481481481</v>
      </c>
      <c r="AC112" s="81"/>
      <c r="AD112" s="81"/>
      <c r="AE112" s="81"/>
      <c r="AF112" s="81"/>
      <c r="AG112" s="73">
        <f>AG111/AB111-1</f>
        <v>6.0439560439560447E-2</v>
      </c>
      <c r="AH112" s="111"/>
      <c r="AI112" s="111"/>
      <c r="AJ112" s="111"/>
      <c r="AK112" s="111"/>
      <c r="AL112" s="73">
        <f>AL111/AG111-1</f>
        <v>0.10880829015544058</v>
      </c>
      <c r="AM112" s="81"/>
      <c r="AN112" s="81"/>
      <c r="AO112" s="81"/>
      <c r="AP112" s="81"/>
      <c r="AQ112" s="156">
        <v>7.0000000000000007E-2</v>
      </c>
      <c r="AR112" s="81"/>
      <c r="AS112" s="81"/>
      <c r="AT112" s="81"/>
      <c r="AU112" s="81"/>
      <c r="AV112" s="156">
        <v>7.0000000000000007E-2</v>
      </c>
      <c r="AW112" s="81"/>
      <c r="AX112" s="81"/>
      <c r="AY112" s="81"/>
      <c r="AZ112" s="81"/>
      <c r="BA112" s="156">
        <v>7.0000000000000007E-2</v>
      </c>
      <c r="BB112" s="183"/>
      <c r="BC112" s="198">
        <v>0</v>
      </c>
      <c r="BD112" s="206" t="s">
        <v>303</v>
      </c>
    </row>
    <row r="113" spans="1:56" s="42" customFormat="1" ht="15" customHeight="1" x14ac:dyDescent="0.25">
      <c r="A113" s="38"/>
      <c r="B113" s="152"/>
      <c r="C113" s="81"/>
      <c r="D113" s="81"/>
      <c r="E113" s="81"/>
      <c r="F113" s="81"/>
      <c r="G113" s="81"/>
      <c r="H113" s="111"/>
      <c r="I113" s="111"/>
      <c r="J113" s="111"/>
      <c r="K113" s="111"/>
      <c r="L113" s="111"/>
      <c r="M113" s="111"/>
      <c r="N113" s="111"/>
      <c r="O113" s="111"/>
      <c r="P113" s="111"/>
      <c r="Q113" s="111"/>
      <c r="R113" s="111"/>
      <c r="S113" s="111"/>
      <c r="T113" s="111"/>
      <c r="U113" s="111"/>
      <c r="V113" s="111"/>
      <c r="W113" s="73"/>
      <c r="X113" s="108"/>
      <c r="Y113" s="109"/>
      <c r="Z113" s="109"/>
      <c r="AA113" s="109"/>
      <c r="AB113" s="73"/>
      <c r="AC113" s="81"/>
      <c r="AD113" s="81"/>
      <c r="AE113" s="81"/>
      <c r="AF113" s="81"/>
      <c r="AG113" s="73"/>
      <c r="AH113" s="111"/>
      <c r="AI113" s="111"/>
      <c r="AJ113" s="111"/>
      <c r="AK113" s="111"/>
      <c r="AL113" s="73"/>
      <c r="AM113" s="81"/>
      <c r="AN113" s="81"/>
      <c r="AO113" s="81"/>
      <c r="AP113" s="81"/>
      <c r="AQ113" s="156"/>
      <c r="AR113" s="81"/>
      <c r="AS113" s="81"/>
      <c r="AT113" s="81"/>
      <c r="AU113" s="81"/>
      <c r="AV113" s="156"/>
      <c r="AW113" s="81"/>
      <c r="AX113" s="81"/>
      <c r="AY113" s="81"/>
      <c r="AZ113" s="81"/>
      <c r="BA113" s="156"/>
      <c r="BB113" s="183"/>
      <c r="BC113" s="198"/>
      <c r="BD113" s="38"/>
    </row>
    <row r="114" spans="1:56" s="42" customFormat="1" ht="15" customHeight="1" x14ac:dyDescent="0.25">
      <c r="A114" s="38"/>
      <c r="B114" s="314" t="s">
        <v>304</v>
      </c>
      <c r="C114" s="81"/>
      <c r="D114" s="81"/>
      <c r="E114" s="81"/>
      <c r="F114" s="81"/>
      <c r="G114" s="81"/>
      <c r="H114" s="111"/>
      <c r="I114" s="111"/>
      <c r="J114" s="111"/>
      <c r="K114" s="111"/>
      <c r="L114" s="111"/>
      <c r="M114" s="111"/>
      <c r="N114" s="111"/>
      <c r="O114" s="111"/>
      <c r="P114" s="111"/>
      <c r="Q114" s="111"/>
      <c r="R114" s="111"/>
      <c r="S114" s="111"/>
      <c r="T114" s="111"/>
      <c r="U114" s="111"/>
      <c r="V114" s="111"/>
      <c r="W114" s="73"/>
      <c r="X114" s="108"/>
      <c r="Y114" s="109"/>
      <c r="Z114" s="109"/>
      <c r="AA114" s="109"/>
      <c r="AB114" s="73"/>
      <c r="AC114" s="81"/>
      <c r="AD114" s="81"/>
      <c r="AE114" s="81"/>
      <c r="AF114" s="81"/>
      <c r="AG114" s="73"/>
      <c r="AH114" s="111"/>
      <c r="AI114" s="111"/>
      <c r="AJ114" s="111"/>
      <c r="AK114" s="111"/>
      <c r="AL114" s="73"/>
      <c r="AM114" s="81"/>
      <c r="AN114" s="81"/>
      <c r="AO114" s="81"/>
      <c r="AP114" s="81"/>
      <c r="AQ114" s="156"/>
      <c r="AR114" s="81"/>
      <c r="AS114" s="81"/>
      <c r="AT114" s="81"/>
      <c r="AU114" s="81"/>
      <c r="AV114" s="156"/>
      <c r="AW114" s="81"/>
      <c r="AX114" s="81"/>
      <c r="AY114" s="81"/>
      <c r="AZ114" s="81"/>
      <c r="BA114" s="156"/>
      <c r="BB114" s="183"/>
      <c r="BC114" s="198"/>
      <c r="BD114" s="38"/>
    </row>
    <row r="115" spans="1:56" s="42" customFormat="1" ht="15" customHeight="1" x14ac:dyDescent="0.25">
      <c r="A115" s="38"/>
      <c r="B115" s="135" t="s">
        <v>244</v>
      </c>
      <c r="C115" s="81"/>
      <c r="D115" s="81"/>
      <c r="E115" s="81"/>
      <c r="F115" s="81"/>
      <c r="G115" s="81"/>
      <c r="H115" s="111"/>
      <c r="I115" s="111"/>
      <c r="J115" s="111"/>
      <c r="K115" s="111"/>
      <c r="L115" s="111"/>
      <c r="M115" s="111"/>
      <c r="N115" s="111"/>
      <c r="O115" s="111"/>
      <c r="P115" s="111"/>
      <c r="Q115" s="111"/>
      <c r="R115" s="83">
        <f>R213</f>
        <v>274.93700000000001</v>
      </c>
      <c r="S115" s="83">
        <f t="shared" ref="S115:AZ115" si="439">S213</f>
        <v>0</v>
      </c>
      <c r="T115" s="83">
        <f t="shared" si="439"/>
        <v>0</v>
      </c>
      <c r="U115" s="83">
        <f t="shared" si="439"/>
        <v>0</v>
      </c>
      <c r="V115" s="83">
        <f t="shared" si="439"/>
        <v>0</v>
      </c>
      <c r="W115" s="83">
        <f t="shared" si="439"/>
        <v>371.63200000000001</v>
      </c>
      <c r="X115" s="83">
        <f t="shared" si="439"/>
        <v>0</v>
      </c>
      <c r="Y115" s="83">
        <f t="shared" si="439"/>
        <v>0</v>
      </c>
      <c r="Z115" s="83">
        <f t="shared" si="439"/>
        <v>0</v>
      </c>
      <c r="AA115" s="83">
        <f t="shared" si="439"/>
        <v>0</v>
      </c>
      <c r="AB115" s="83">
        <f t="shared" si="439"/>
        <v>368.68200000000002</v>
      </c>
      <c r="AC115" s="83">
        <f t="shared" si="439"/>
        <v>0</v>
      </c>
      <c r="AD115" s="83">
        <f t="shared" si="439"/>
        <v>0</v>
      </c>
      <c r="AE115" s="83">
        <f t="shared" si="439"/>
        <v>0</v>
      </c>
      <c r="AF115" s="83">
        <f t="shared" si="439"/>
        <v>0</v>
      </c>
      <c r="AG115" s="83">
        <f t="shared" si="439"/>
        <v>392.32299999999998</v>
      </c>
      <c r="AH115" s="83">
        <f t="shared" si="439"/>
        <v>0</v>
      </c>
      <c r="AI115" s="83">
        <f t="shared" si="439"/>
        <v>0</v>
      </c>
      <c r="AJ115" s="83">
        <f t="shared" si="439"/>
        <v>0</v>
      </c>
      <c r="AK115" s="83">
        <f t="shared" si="439"/>
        <v>0</v>
      </c>
      <c r="AL115" s="83">
        <f t="shared" si="439"/>
        <v>473.76100000000002</v>
      </c>
      <c r="AM115" s="83">
        <f t="shared" si="439"/>
        <v>0</v>
      </c>
      <c r="AN115" s="83">
        <f t="shared" si="439"/>
        <v>0</v>
      </c>
      <c r="AO115" s="83">
        <f t="shared" si="439"/>
        <v>0</v>
      </c>
      <c r="AP115" s="83">
        <f t="shared" si="439"/>
        <v>0</v>
      </c>
      <c r="AQ115" s="83">
        <f ca="1">AQ213</f>
        <v>485.04934853750285</v>
      </c>
      <c r="AR115" s="83">
        <f t="shared" si="439"/>
        <v>0</v>
      </c>
      <c r="AS115" s="83">
        <f t="shared" si="439"/>
        <v>0</v>
      </c>
      <c r="AT115" s="83">
        <f t="shared" si="439"/>
        <v>0</v>
      </c>
      <c r="AU115" s="83">
        <f t="shared" si="439"/>
        <v>0</v>
      </c>
      <c r="AV115" s="83">
        <f ca="1">AV213</f>
        <v>404.40390484022402</v>
      </c>
      <c r="AW115" s="83">
        <f t="shared" si="439"/>
        <v>0</v>
      </c>
      <c r="AX115" s="83">
        <f t="shared" si="439"/>
        <v>0</v>
      </c>
      <c r="AY115" s="83">
        <f t="shared" si="439"/>
        <v>0</v>
      </c>
      <c r="AZ115" s="83">
        <f t="shared" si="439"/>
        <v>0</v>
      </c>
      <c r="BA115" s="83">
        <f ca="1">BA213</f>
        <v>381.18788775138518</v>
      </c>
      <c r="BB115" s="183"/>
      <c r="BC115" s="198"/>
      <c r="BD115" s="38"/>
    </row>
    <row r="116" spans="1:56" s="42" customFormat="1" ht="15" customHeight="1" x14ac:dyDescent="0.25">
      <c r="A116" s="38"/>
      <c r="B116" s="127" t="s">
        <v>287</v>
      </c>
      <c r="C116" s="81"/>
      <c r="D116" s="81"/>
      <c r="E116" s="81"/>
      <c r="F116" s="81"/>
      <c r="G116" s="81"/>
      <c r="H116" s="111"/>
      <c r="I116" s="111"/>
      <c r="J116" s="111"/>
      <c r="K116" s="111"/>
      <c r="L116" s="111"/>
      <c r="M116" s="111"/>
      <c r="N116" s="111"/>
      <c r="O116" s="111"/>
      <c r="P116" s="111"/>
      <c r="Q116" s="111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  <c r="AE116" s="83"/>
      <c r="AF116" s="83"/>
      <c r="AG116" s="83"/>
      <c r="AH116" s="83"/>
      <c r="AI116" s="83"/>
      <c r="AJ116" s="83"/>
      <c r="AK116" s="83"/>
      <c r="AL116" s="83">
        <f>SUM(R115:AL115)</f>
        <v>1881.335</v>
      </c>
      <c r="AM116" s="83"/>
      <c r="AN116" s="83"/>
      <c r="AO116" s="83"/>
      <c r="AP116" s="83"/>
      <c r="AQ116" s="83"/>
      <c r="AR116" s="83"/>
      <c r="AS116" s="83"/>
      <c r="AT116" s="83"/>
      <c r="AU116" s="83"/>
      <c r="AV116" s="83"/>
      <c r="AW116" s="83"/>
      <c r="AX116" s="83"/>
      <c r="AY116" s="83"/>
      <c r="AZ116" s="83"/>
      <c r="BA116" s="83"/>
      <c r="BB116" s="183"/>
      <c r="BC116" s="198"/>
      <c r="BD116" s="38"/>
    </row>
    <row r="117" spans="1:56" s="42" customFormat="1" ht="15" customHeight="1" x14ac:dyDescent="0.25">
      <c r="A117" s="38"/>
      <c r="B117" s="135" t="s">
        <v>245</v>
      </c>
      <c r="C117" s="81"/>
      <c r="D117" s="81"/>
      <c r="E117" s="81"/>
      <c r="F117" s="81"/>
      <c r="G117" s="81"/>
      <c r="H117" s="111"/>
      <c r="I117" s="111"/>
      <c r="J117" s="111"/>
      <c r="K117" s="111"/>
      <c r="L117" s="111"/>
      <c r="M117" s="111"/>
      <c r="N117" s="111"/>
      <c r="O117" s="111"/>
      <c r="P117" s="111"/>
      <c r="Q117" s="111"/>
      <c r="R117" s="83">
        <f>-(R222+R223)</f>
        <v>69.790999999999997</v>
      </c>
      <c r="S117" s="83">
        <f t="shared" ref="S117:BA117" si="440">-(S222+S223)</f>
        <v>0</v>
      </c>
      <c r="T117" s="83">
        <f t="shared" si="440"/>
        <v>0</v>
      </c>
      <c r="U117" s="83">
        <f t="shared" si="440"/>
        <v>0</v>
      </c>
      <c r="V117" s="83">
        <f t="shared" si="440"/>
        <v>0</v>
      </c>
      <c r="W117" s="83">
        <f t="shared" si="440"/>
        <v>380.27</v>
      </c>
      <c r="X117" s="83">
        <f t="shared" si="440"/>
        <v>0</v>
      </c>
      <c r="Y117" s="83">
        <f t="shared" si="440"/>
        <v>0</v>
      </c>
      <c r="Z117" s="83">
        <f t="shared" si="440"/>
        <v>0</v>
      </c>
      <c r="AA117" s="83">
        <f t="shared" si="440"/>
        <v>0</v>
      </c>
      <c r="AB117" s="83">
        <f t="shared" si="440"/>
        <v>699.76</v>
      </c>
      <c r="AC117" s="83">
        <f t="shared" si="440"/>
        <v>0</v>
      </c>
      <c r="AD117" s="83">
        <f t="shared" si="440"/>
        <v>0</v>
      </c>
      <c r="AE117" s="83">
        <f t="shared" si="440"/>
        <v>0</v>
      </c>
      <c r="AF117" s="83">
        <f t="shared" si="440"/>
        <v>0</v>
      </c>
      <c r="AG117" s="83">
        <f t="shared" si="440"/>
        <v>379.65300000000002</v>
      </c>
      <c r="AH117" s="83">
        <f t="shared" si="440"/>
        <v>0</v>
      </c>
      <c r="AI117" s="83">
        <f t="shared" si="440"/>
        <v>0</v>
      </c>
      <c r="AJ117" s="83">
        <f t="shared" si="440"/>
        <v>0</v>
      </c>
      <c r="AK117" s="83">
        <f t="shared" si="440"/>
        <v>0</v>
      </c>
      <c r="AL117" s="83">
        <f t="shared" si="440"/>
        <v>446.07100000000003</v>
      </c>
      <c r="AM117" s="83">
        <f t="shared" si="440"/>
        <v>0</v>
      </c>
      <c r="AN117" s="83">
        <f t="shared" si="440"/>
        <v>0</v>
      </c>
      <c r="AO117" s="83">
        <f t="shared" si="440"/>
        <v>0</v>
      </c>
      <c r="AP117" s="83">
        <f t="shared" si="440"/>
        <v>0</v>
      </c>
      <c r="AQ117" s="83">
        <f t="shared" si="440"/>
        <v>292.10014302005504</v>
      </c>
      <c r="AR117" s="83">
        <f t="shared" si="440"/>
        <v>0</v>
      </c>
      <c r="AS117" s="83">
        <f t="shared" si="440"/>
        <v>0</v>
      </c>
      <c r="AT117" s="83">
        <f t="shared" si="440"/>
        <v>0</v>
      </c>
      <c r="AU117" s="83">
        <f t="shared" si="440"/>
        <v>0</v>
      </c>
      <c r="AV117" s="83">
        <f t="shared" si="440"/>
        <v>281.81542161187576</v>
      </c>
      <c r="AW117" s="83">
        <f t="shared" si="440"/>
        <v>0</v>
      </c>
      <c r="AX117" s="83">
        <f t="shared" si="440"/>
        <v>0</v>
      </c>
      <c r="AY117" s="83">
        <f t="shared" si="440"/>
        <v>0</v>
      </c>
      <c r="AZ117" s="83">
        <f t="shared" si="440"/>
        <v>0</v>
      </c>
      <c r="BA117" s="83">
        <f t="shared" si="440"/>
        <v>273.81568005313807</v>
      </c>
      <c r="BB117" s="183"/>
      <c r="BC117" s="198"/>
      <c r="BD117" s="38"/>
    </row>
    <row r="118" spans="1:56" s="42" customFormat="1" ht="15" customHeight="1" x14ac:dyDescent="0.25">
      <c r="A118" s="38"/>
      <c r="B118" s="127" t="s">
        <v>287</v>
      </c>
      <c r="C118" s="81"/>
      <c r="D118" s="81"/>
      <c r="E118" s="81"/>
      <c r="F118" s="81"/>
      <c r="G118" s="81"/>
      <c r="H118" s="111"/>
      <c r="I118" s="111"/>
      <c r="J118" s="111"/>
      <c r="K118" s="111"/>
      <c r="L118" s="111"/>
      <c r="M118" s="111"/>
      <c r="N118" s="111"/>
      <c r="O118" s="111"/>
      <c r="P118" s="111"/>
      <c r="Q118" s="111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  <c r="AE118" s="83"/>
      <c r="AF118" s="83"/>
      <c r="AG118" s="83"/>
      <c r="AH118" s="83"/>
      <c r="AI118" s="83"/>
      <c r="AJ118" s="83"/>
      <c r="AK118" s="83"/>
      <c r="AL118" s="83">
        <f>SUM(R117:AL117)</f>
        <v>1975.5450000000001</v>
      </c>
      <c r="AM118" s="83"/>
      <c r="AN118" s="83"/>
      <c r="AO118" s="83"/>
      <c r="AP118" s="83"/>
      <c r="AQ118" s="83"/>
      <c r="AR118" s="83"/>
      <c r="AS118" s="83"/>
      <c r="AT118" s="83"/>
      <c r="AU118" s="83"/>
      <c r="AV118" s="83"/>
      <c r="AW118" s="83"/>
      <c r="AX118" s="83"/>
      <c r="AY118" s="83"/>
      <c r="AZ118" s="83"/>
      <c r="BA118" s="83"/>
      <c r="BB118" s="183"/>
      <c r="BC118" s="198"/>
      <c r="BD118" s="38"/>
    </row>
    <row r="119" spans="1:56" s="42" customFormat="1" ht="15" customHeight="1" x14ac:dyDescent="0.25">
      <c r="A119" s="38"/>
      <c r="B119" s="127" t="s">
        <v>305</v>
      </c>
      <c r="C119" s="81"/>
      <c r="D119" s="81"/>
      <c r="E119" s="81"/>
      <c r="F119" s="81"/>
      <c r="G119" s="81"/>
      <c r="H119" s="111"/>
      <c r="I119" s="111"/>
      <c r="J119" s="111"/>
      <c r="K119" s="111"/>
      <c r="L119" s="111"/>
      <c r="M119" s="111"/>
      <c r="N119" s="111"/>
      <c r="O119" s="111"/>
      <c r="P119" s="111"/>
      <c r="Q119" s="111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  <c r="AE119" s="83"/>
      <c r="AF119" s="83"/>
      <c r="AG119" s="83"/>
      <c r="AH119" s="83"/>
      <c r="AI119" s="83"/>
      <c r="AJ119" s="83"/>
      <c r="AK119" s="83"/>
      <c r="AL119" s="315">
        <f>AL116-AL118</f>
        <v>-94.210000000000036</v>
      </c>
      <c r="AM119" s="83"/>
      <c r="AN119" s="83"/>
      <c r="AO119" s="83"/>
      <c r="AP119" s="83"/>
      <c r="AQ119" s="83"/>
      <c r="AR119" s="83"/>
      <c r="AS119" s="83"/>
      <c r="AT119" s="83"/>
      <c r="AU119" s="83"/>
      <c r="AV119" s="83"/>
      <c r="AW119" s="83"/>
      <c r="AX119" s="83"/>
      <c r="AY119" s="83"/>
      <c r="AZ119" s="83"/>
      <c r="BA119" s="83"/>
      <c r="BB119" s="183"/>
      <c r="BC119" s="198"/>
      <c r="BD119" s="38"/>
    </row>
    <row r="120" spans="1:56" s="42" customFormat="1" ht="15" customHeight="1" x14ac:dyDescent="0.25">
      <c r="A120" s="38"/>
      <c r="B120" s="130"/>
      <c r="C120" s="81"/>
      <c r="D120" s="81"/>
      <c r="E120" s="81"/>
      <c r="F120" s="81"/>
      <c r="G120" s="81"/>
      <c r="H120" s="111"/>
      <c r="I120" s="111"/>
      <c r="J120" s="111"/>
      <c r="K120" s="111"/>
      <c r="L120" s="111"/>
      <c r="M120" s="111"/>
      <c r="N120" s="111"/>
      <c r="O120" s="111"/>
      <c r="P120" s="111"/>
      <c r="Q120" s="111"/>
      <c r="R120" s="111"/>
      <c r="S120" s="111"/>
      <c r="T120" s="111"/>
      <c r="U120" s="111"/>
      <c r="V120" s="111"/>
      <c r="W120" s="111"/>
      <c r="X120" s="108"/>
      <c r="Y120" s="109"/>
      <c r="Z120" s="109"/>
      <c r="AA120" s="109"/>
      <c r="AB120" s="111"/>
      <c r="AC120" s="81"/>
      <c r="AD120" s="81"/>
      <c r="AE120" s="81"/>
      <c r="AF120" s="81"/>
      <c r="AG120" s="111"/>
      <c r="AH120" s="111"/>
      <c r="AI120" s="111"/>
      <c r="AJ120" s="111"/>
      <c r="AK120" s="111"/>
      <c r="AL120" s="111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183"/>
      <c r="BC120" s="198">
        <v>0</v>
      </c>
      <c r="BD120" s="38"/>
    </row>
    <row r="121" spans="1:56" s="42" customFormat="1" ht="15" customHeight="1" x14ac:dyDescent="0.25">
      <c r="A121" s="38"/>
      <c r="B121" s="127" t="s">
        <v>204</v>
      </c>
      <c r="C121" s="81"/>
      <c r="D121" s="81"/>
      <c r="E121" s="81"/>
      <c r="F121" s="81"/>
      <c r="G121" s="81"/>
      <c r="H121" s="111"/>
      <c r="I121" s="111"/>
      <c r="J121" s="111"/>
      <c r="K121" s="111"/>
      <c r="L121" s="111"/>
      <c r="M121" s="73">
        <f t="shared" ref="M121:BA121" si="441">M89/H89-1</f>
        <v>0.49746192893401009</v>
      </c>
      <c r="N121" s="73" t="e">
        <f t="shared" si="441"/>
        <v>#DIV/0!</v>
      </c>
      <c r="O121" s="73" t="e">
        <f t="shared" si="441"/>
        <v>#DIV/0!</v>
      </c>
      <c r="P121" s="73" t="e">
        <f t="shared" si="441"/>
        <v>#DIV/0!</v>
      </c>
      <c r="Q121" s="73" t="e">
        <f t="shared" si="441"/>
        <v>#DIV/0!</v>
      </c>
      <c r="R121" s="73">
        <f t="shared" si="441"/>
        <v>0.18644067796610164</v>
      </c>
      <c r="S121" s="73" t="e">
        <f t="shared" si="441"/>
        <v>#DIV/0!</v>
      </c>
      <c r="T121" s="73" t="e">
        <f t="shared" si="441"/>
        <v>#DIV/0!</v>
      </c>
      <c r="U121" s="73" t="e">
        <f t="shared" si="441"/>
        <v>#DIV/0!</v>
      </c>
      <c r="V121" s="73" t="e">
        <f t="shared" si="441"/>
        <v>#DIV/0!</v>
      </c>
      <c r="W121" s="73">
        <f t="shared" si="441"/>
        <v>9.4285714285714306E-2</v>
      </c>
      <c r="X121" s="73" t="e">
        <f t="shared" si="441"/>
        <v>#DIV/0!</v>
      </c>
      <c r="Y121" s="73" t="e">
        <f t="shared" si="441"/>
        <v>#DIV/0!</v>
      </c>
      <c r="Z121" s="73" t="e">
        <f t="shared" si="441"/>
        <v>#DIV/0!</v>
      </c>
      <c r="AA121" s="73" t="e">
        <f t="shared" si="441"/>
        <v>#DIV/0!</v>
      </c>
      <c r="AB121" s="73">
        <f t="shared" si="441"/>
        <v>5.5122715404699818E-2</v>
      </c>
      <c r="AC121" s="73" t="e">
        <f t="shared" si="441"/>
        <v>#DIV/0!</v>
      </c>
      <c r="AD121" s="73" t="e">
        <f t="shared" si="441"/>
        <v>#DIV/0!</v>
      </c>
      <c r="AE121" s="73" t="e">
        <f t="shared" si="441"/>
        <v>#DIV/0!</v>
      </c>
      <c r="AF121" s="73" t="e">
        <f t="shared" si="441"/>
        <v>#DIV/0!</v>
      </c>
      <c r="AG121" s="73">
        <f t="shared" si="441"/>
        <v>8.7042701033376746E-2</v>
      </c>
      <c r="AH121" s="73" t="e">
        <f t="shared" si="441"/>
        <v>#DIV/0!</v>
      </c>
      <c r="AI121" s="73" t="e">
        <f t="shared" si="441"/>
        <v>#DIV/0!</v>
      </c>
      <c r="AJ121" s="73" t="e">
        <f t="shared" si="441"/>
        <v>#DIV/0!</v>
      </c>
      <c r="AK121" s="73" t="e">
        <f t="shared" si="441"/>
        <v>#DIV/0!</v>
      </c>
      <c r="AL121" s="73">
        <f t="shared" si="441"/>
        <v>9.5930450935265643E-2</v>
      </c>
      <c r="AM121" s="73">
        <f t="shared" si="441"/>
        <v>-1</v>
      </c>
      <c r="AN121" s="73">
        <f t="shared" si="441"/>
        <v>-1</v>
      </c>
      <c r="AO121" s="73">
        <f t="shared" si="441"/>
        <v>-1</v>
      </c>
      <c r="AP121" s="73">
        <f t="shared" si="441"/>
        <v>-1</v>
      </c>
      <c r="AQ121" s="73">
        <f t="shared" si="441"/>
        <v>6.6053936621883302E-2</v>
      </c>
      <c r="AR121" s="73" t="e">
        <f t="shared" si="441"/>
        <v>#DIV/0!</v>
      </c>
      <c r="AS121" s="73" t="e">
        <f t="shared" si="441"/>
        <v>#DIV/0!</v>
      </c>
      <c r="AT121" s="73" t="e">
        <f t="shared" si="441"/>
        <v>#DIV/0!</v>
      </c>
      <c r="AU121" s="73" t="e">
        <f t="shared" si="441"/>
        <v>#DIV/0!</v>
      </c>
      <c r="AV121" s="73">
        <f t="shared" si="441"/>
        <v>5.1664343187885375E-2</v>
      </c>
      <c r="AW121" s="73" t="e">
        <f t="shared" si="441"/>
        <v>#DIV/0!</v>
      </c>
      <c r="AX121" s="73" t="e">
        <f t="shared" si="441"/>
        <v>#DIV/0!</v>
      </c>
      <c r="AY121" s="73" t="e">
        <f t="shared" si="441"/>
        <v>#DIV/0!</v>
      </c>
      <c r="AZ121" s="73" t="e">
        <f t="shared" si="441"/>
        <v>#DIV/0!</v>
      </c>
      <c r="BA121" s="73">
        <f t="shared" si="441"/>
        <v>2.9143074831796456E-2</v>
      </c>
      <c r="BB121" s="183"/>
      <c r="BC121" s="198"/>
      <c r="BD121" s="38"/>
    </row>
    <row r="122" spans="1:56" s="42" customFormat="1" ht="15" customHeight="1" x14ac:dyDescent="0.25">
      <c r="A122" s="38"/>
      <c r="B122" s="127" t="s">
        <v>158</v>
      </c>
      <c r="C122" s="81"/>
      <c r="D122" s="81"/>
      <c r="E122" s="81"/>
      <c r="F122" s="81"/>
      <c r="G122" s="81"/>
      <c r="H122" s="73">
        <f t="shared" ref="H122:BA122" si="442">H89/H51</f>
        <v>0.21888888888888888</v>
      </c>
      <c r="I122" s="73" t="e">
        <f t="shared" si="442"/>
        <v>#DIV/0!</v>
      </c>
      <c r="J122" s="73" t="e">
        <f t="shared" si="442"/>
        <v>#DIV/0!</v>
      </c>
      <c r="K122" s="73" t="e">
        <f t="shared" si="442"/>
        <v>#DIV/0!</v>
      </c>
      <c r="L122" s="73" t="e">
        <f t="shared" si="442"/>
        <v>#DIV/0!</v>
      </c>
      <c r="M122" s="73">
        <f t="shared" si="442"/>
        <v>0.30225409836065575</v>
      </c>
      <c r="N122" s="73" t="e">
        <f t="shared" si="442"/>
        <v>#DIV/0!</v>
      </c>
      <c r="O122" s="73" t="e">
        <f t="shared" si="442"/>
        <v>#DIV/0!</v>
      </c>
      <c r="P122" s="73" t="e">
        <f t="shared" si="442"/>
        <v>#DIV/0!</v>
      </c>
      <c r="Q122" s="73" t="e">
        <f t="shared" si="442"/>
        <v>#DIV/0!</v>
      </c>
      <c r="R122" s="73">
        <f t="shared" si="442"/>
        <v>0.34550839091806518</v>
      </c>
      <c r="S122" s="73" t="e">
        <f t="shared" si="442"/>
        <v>#DIV/0!</v>
      </c>
      <c r="T122" s="73" t="e">
        <f t="shared" si="442"/>
        <v>#DIV/0!</v>
      </c>
      <c r="U122" s="73" t="e">
        <f t="shared" si="442"/>
        <v>#DIV/0!</v>
      </c>
      <c r="V122" s="73" t="e">
        <f t="shared" si="442"/>
        <v>#DIV/0!</v>
      </c>
      <c r="W122" s="73">
        <f t="shared" si="442"/>
        <v>0.35794392523364488</v>
      </c>
      <c r="X122" s="73">
        <f t="shared" si="442"/>
        <v>0</v>
      </c>
      <c r="Y122" s="73">
        <f t="shared" si="442"/>
        <v>0</v>
      </c>
      <c r="Z122" s="73">
        <f t="shared" si="442"/>
        <v>0</v>
      </c>
      <c r="AA122" s="73">
        <f t="shared" si="442"/>
        <v>0</v>
      </c>
      <c r="AB122" s="73">
        <f t="shared" si="442"/>
        <v>0.36406486486486489</v>
      </c>
      <c r="AC122" s="73">
        <f t="shared" si="442"/>
        <v>0</v>
      </c>
      <c r="AD122" s="73">
        <f t="shared" si="442"/>
        <v>0</v>
      </c>
      <c r="AE122" s="73">
        <f t="shared" si="442"/>
        <v>0</v>
      </c>
      <c r="AF122" s="73">
        <f t="shared" si="442"/>
        <v>0</v>
      </c>
      <c r="AG122" s="73">
        <f t="shared" si="442"/>
        <v>0.37360913017852632</v>
      </c>
      <c r="AH122" s="73">
        <f t="shared" si="442"/>
        <v>-0.44705882352941179</v>
      </c>
      <c r="AI122" s="73">
        <f t="shared" si="442"/>
        <v>0.3860103626943005</v>
      </c>
      <c r="AJ122" s="73">
        <f t="shared" si="442"/>
        <v>0.53565217391304343</v>
      </c>
      <c r="AK122" s="73">
        <f t="shared" si="442"/>
        <v>0.28310502283105021</v>
      </c>
      <c r="AL122" s="73">
        <f t="shared" si="442"/>
        <v>0.38089526543232338</v>
      </c>
      <c r="AM122" s="73" t="e">
        <f t="shared" si="442"/>
        <v>#DIV/0!</v>
      </c>
      <c r="AN122" s="73" t="e">
        <f t="shared" si="442"/>
        <v>#DIV/0!</v>
      </c>
      <c r="AO122" s="73" t="e">
        <f t="shared" si="442"/>
        <v>#DIV/0!</v>
      </c>
      <c r="AP122" s="73" t="e">
        <f t="shared" si="442"/>
        <v>#DIV/0!</v>
      </c>
      <c r="AQ122" s="73">
        <f t="shared" si="442"/>
        <v>0.3826349743733653</v>
      </c>
      <c r="AR122" s="73" t="e">
        <f t="shared" si="442"/>
        <v>#DIV/0!</v>
      </c>
      <c r="AS122" s="73" t="e">
        <f t="shared" si="442"/>
        <v>#DIV/0!</v>
      </c>
      <c r="AT122" s="73" t="e">
        <f t="shared" si="442"/>
        <v>#DIV/0!</v>
      </c>
      <c r="AU122" s="73" t="e">
        <f t="shared" si="442"/>
        <v>#DIV/0!</v>
      </c>
      <c r="AV122" s="73">
        <f t="shared" si="442"/>
        <v>0.38598740786987473</v>
      </c>
      <c r="AW122" s="73" t="e">
        <f t="shared" si="442"/>
        <v>#DIV/0!</v>
      </c>
      <c r="AX122" s="73" t="e">
        <f t="shared" si="442"/>
        <v>#DIV/0!</v>
      </c>
      <c r="AY122" s="73" t="e">
        <f t="shared" si="442"/>
        <v>#DIV/0!</v>
      </c>
      <c r="AZ122" s="73" t="e">
        <f t="shared" si="442"/>
        <v>#DIV/0!</v>
      </c>
      <c r="BA122" s="73">
        <f t="shared" si="442"/>
        <v>0.38793705422693137</v>
      </c>
      <c r="BB122" s="183"/>
      <c r="BC122" s="198">
        <v>0</v>
      </c>
      <c r="BD122" s="38"/>
    </row>
    <row r="123" spans="1:56" s="42" customFormat="1" ht="15" customHeight="1" x14ac:dyDescent="0.25">
      <c r="A123" s="38"/>
      <c r="B123" s="127" t="s">
        <v>137</v>
      </c>
      <c r="C123" s="81"/>
      <c r="D123" s="81"/>
      <c r="E123" s="81"/>
      <c r="F123" s="81"/>
      <c r="G123" s="81"/>
      <c r="H123" s="73">
        <f t="shared" ref="H123:BA123" si="443">H93/H89</f>
        <v>4.060913705583756E-2</v>
      </c>
      <c r="I123" s="73" t="e">
        <f t="shared" si="443"/>
        <v>#DIV/0!</v>
      </c>
      <c r="J123" s="73" t="e">
        <f t="shared" si="443"/>
        <v>#DIV/0!</v>
      </c>
      <c r="K123" s="73" t="e">
        <f t="shared" si="443"/>
        <v>#DIV/0!</v>
      </c>
      <c r="L123" s="73" t="e">
        <f t="shared" si="443"/>
        <v>#DIV/0!</v>
      </c>
      <c r="M123" s="73">
        <f t="shared" si="443"/>
        <v>0.43389830508474575</v>
      </c>
      <c r="N123" s="73" t="e">
        <f t="shared" si="443"/>
        <v>#DIV/0!</v>
      </c>
      <c r="O123" s="73" t="e">
        <f t="shared" si="443"/>
        <v>#DIV/0!</v>
      </c>
      <c r="P123" s="73" t="e">
        <f t="shared" si="443"/>
        <v>#DIV/0!</v>
      </c>
      <c r="Q123" s="73" t="e">
        <f t="shared" si="443"/>
        <v>#DIV/0!</v>
      </c>
      <c r="R123" s="73">
        <f t="shared" si="443"/>
        <v>0.55142857142857138</v>
      </c>
      <c r="S123" s="73" t="e">
        <f t="shared" si="443"/>
        <v>#DIV/0!</v>
      </c>
      <c r="T123" s="73" t="e">
        <f t="shared" si="443"/>
        <v>#DIV/0!</v>
      </c>
      <c r="U123" s="73" t="e">
        <f t="shared" si="443"/>
        <v>#DIV/0!</v>
      </c>
      <c r="V123" s="73" t="e">
        <f t="shared" si="443"/>
        <v>#DIV/0!</v>
      </c>
      <c r="W123" s="73">
        <f t="shared" si="443"/>
        <v>0.60835509138381205</v>
      </c>
      <c r="X123" s="73" t="e">
        <f t="shared" si="443"/>
        <v>#DIV/0!</v>
      </c>
      <c r="Y123" s="73" t="e">
        <f t="shared" si="443"/>
        <v>#DIV/0!</v>
      </c>
      <c r="Z123" s="73" t="e">
        <f t="shared" si="443"/>
        <v>#DIV/0!</v>
      </c>
      <c r="AA123" s="73" t="e">
        <f t="shared" si="443"/>
        <v>#DIV/0!</v>
      </c>
      <c r="AB123" s="73">
        <f t="shared" si="443"/>
        <v>0.58682246505919156</v>
      </c>
      <c r="AC123" s="73" t="e">
        <f t="shared" si="443"/>
        <v>#DIV/0!</v>
      </c>
      <c r="AD123" s="73" t="e">
        <f t="shared" si="443"/>
        <v>#DIV/0!</v>
      </c>
      <c r="AE123" s="73" t="e">
        <f t="shared" si="443"/>
        <v>#DIV/0!</v>
      </c>
      <c r="AF123" s="73" t="e">
        <f t="shared" si="443"/>
        <v>#DIV/0!</v>
      </c>
      <c r="AG123" s="73">
        <f t="shared" si="443"/>
        <v>0.56461493283434283</v>
      </c>
      <c r="AH123" s="73">
        <f t="shared" si="443"/>
        <v>0</v>
      </c>
      <c r="AI123" s="73">
        <f t="shared" si="443"/>
        <v>0</v>
      </c>
      <c r="AJ123" s="73">
        <f t="shared" si="443"/>
        <v>0</v>
      </c>
      <c r="AK123" s="73">
        <f t="shared" si="443"/>
        <v>0</v>
      </c>
      <c r="AL123" s="73">
        <f t="shared" si="443"/>
        <v>0.58521731183063719</v>
      </c>
      <c r="AM123" s="73" t="e">
        <f t="shared" si="443"/>
        <v>#DIV/0!</v>
      </c>
      <c r="AN123" s="73" t="e">
        <f t="shared" si="443"/>
        <v>#DIV/0!</v>
      </c>
      <c r="AO123" s="73" t="e">
        <f t="shared" si="443"/>
        <v>#DIV/0!</v>
      </c>
      <c r="AP123" s="73" t="e">
        <f t="shared" si="443"/>
        <v>#DIV/0!</v>
      </c>
      <c r="AQ123" s="73">
        <f t="shared" si="443"/>
        <v>0.63034576704271472</v>
      </c>
      <c r="AR123" s="73" t="e">
        <f t="shared" si="443"/>
        <v>#DIV/0!</v>
      </c>
      <c r="AS123" s="73" t="e">
        <f t="shared" si="443"/>
        <v>#DIV/0!</v>
      </c>
      <c r="AT123" s="73" t="e">
        <f t="shared" si="443"/>
        <v>#DIV/0!</v>
      </c>
      <c r="AU123" s="73" t="e">
        <f t="shared" si="443"/>
        <v>#DIV/0!</v>
      </c>
      <c r="AV123" s="73">
        <f t="shared" si="443"/>
        <v>0.60101236302064776</v>
      </c>
      <c r="AW123" s="73" t="e">
        <f t="shared" si="443"/>
        <v>#DIV/0!</v>
      </c>
      <c r="AX123" s="73" t="e">
        <f t="shared" si="443"/>
        <v>#DIV/0!</v>
      </c>
      <c r="AY123" s="73" t="e">
        <f t="shared" si="443"/>
        <v>#DIV/0!</v>
      </c>
      <c r="AZ123" s="73" t="e">
        <f t="shared" si="443"/>
        <v>#DIV/0!</v>
      </c>
      <c r="BA123" s="73">
        <f t="shared" si="443"/>
        <v>0.60687983323065686</v>
      </c>
      <c r="BB123" s="183"/>
      <c r="BC123" s="198">
        <v>0</v>
      </c>
      <c r="BD123" s="38"/>
    </row>
    <row r="124" spans="1:56" s="42" customFormat="1" ht="15" customHeight="1" x14ac:dyDescent="0.25">
      <c r="A124" s="38"/>
      <c r="B124" s="127"/>
      <c r="C124" s="81"/>
      <c r="D124" s="81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/>
      <c r="AI124" s="73"/>
      <c r="AJ124" s="73"/>
      <c r="AK124" s="73"/>
      <c r="AL124" s="73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183"/>
      <c r="BC124" s="198">
        <v>0</v>
      </c>
      <c r="BD124" s="38"/>
    </row>
    <row r="125" spans="1:56" s="42" customFormat="1" ht="15" customHeight="1" x14ac:dyDescent="0.25">
      <c r="A125" s="38"/>
      <c r="B125" s="253" t="s">
        <v>173</v>
      </c>
      <c r="C125" s="78"/>
      <c r="D125" s="78"/>
      <c r="E125" s="78"/>
      <c r="F125" s="78"/>
      <c r="G125" s="78"/>
      <c r="H125" s="254"/>
      <c r="I125" s="254"/>
      <c r="J125" s="254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79"/>
      <c r="Y125" s="80"/>
      <c r="Z125" s="80"/>
      <c r="AA125" s="80"/>
      <c r="AB125" s="254"/>
      <c r="AC125" s="78"/>
      <c r="AD125" s="78"/>
      <c r="AE125" s="78"/>
      <c r="AF125" s="78"/>
      <c r="AG125" s="254"/>
      <c r="AH125" s="254"/>
      <c r="AI125" s="254"/>
      <c r="AJ125" s="254"/>
      <c r="AK125" s="254"/>
      <c r="AL125" s="254"/>
      <c r="AM125" s="78"/>
      <c r="AN125" s="78"/>
      <c r="AO125" s="78"/>
      <c r="AP125" s="78"/>
      <c r="AQ125" s="78"/>
      <c r="AR125" s="78"/>
      <c r="AS125" s="78"/>
      <c r="AT125" s="78"/>
      <c r="AU125" s="78"/>
      <c r="AV125" s="78"/>
      <c r="AW125" s="78"/>
      <c r="AX125" s="78"/>
      <c r="AY125" s="78"/>
      <c r="AZ125" s="78"/>
      <c r="BA125" s="233"/>
      <c r="BB125" s="183"/>
      <c r="BC125" s="198">
        <v>0</v>
      </c>
      <c r="BD125" s="38"/>
    </row>
    <row r="126" spans="1:56" s="42" customFormat="1" ht="15" customHeight="1" x14ac:dyDescent="0.25">
      <c r="A126" s="38"/>
      <c r="B126" s="25" t="s">
        <v>177</v>
      </c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73"/>
      <c r="X126" s="73"/>
      <c r="Y126" s="73"/>
      <c r="Z126" s="73"/>
      <c r="AA126" s="73"/>
      <c r="AB126" s="73"/>
      <c r="AC126" s="73"/>
      <c r="AD126" s="73"/>
      <c r="AE126" s="73"/>
      <c r="AF126" s="73"/>
      <c r="AG126" s="73"/>
      <c r="AH126" s="73"/>
      <c r="AI126" s="73"/>
      <c r="AJ126" s="73"/>
      <c r="AK126" s="73"/>
      <c r="AL126" s="73"/>
      <c r="AM126" s="81"/>
      <c r="AN126" s="81"/>
      <c r="AO126" s="81"/>
      <c r="AP126" s="81"/>
      <c r="AQ126" s="81">
        <f>AQ76</f>
        <v>310.21773159999998</v>
      </c>
      <c r="AR126" s="81"/>
      <c r="AS126" s="81"/>
      <c r="AT126" s="81"/>
      <c r="AU126" s="81"/>
      <c r="AV126" s="81">
        <f>AV76</f>
        <v>330.88443286080008</v>
      </c>
      <c r="AW126" s="81"/>
      <c r="AX126" s="81"/>
      <c r="AY126" s="81"/>
      <c r="AZ126" s="81"/>
      <c r="BA126" s="81">
        <f>BA76</f>
        <v>372.7650568278799</v>
      </c>
      <c r="BB126" s="183"/>
      <c r="BC126" s="198">
        <v>0</v>
      </c>
      <c r="BD126" s="38"/>
    </row>
    <row r="127" spans="1:56" s="42" customFormat="1" ht="15" customHeight="1" x14ac:dyDescent="0.25">
      <c r="A127" s="38"/>
      <c r="B127" s="25" t="s">
        <v>174</v>
      </c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73"/>
      <c r="X127" s="73"/>
      <c r="Y127" s="73"/>
      <c r="Z127" s="73"/>
      <c r="AA127" s="73"/>
      <c r="AB127" s="73"/>
      <c r="AC127" s="73"/>
      <c r="AD127" s="73"/>
      <c r="AE127" s="73"/>
      <c r="AF127" s="73"/>
      <c r="AG127" s="73"/>
      <c r="AH127" s="73"/>
      <c r="AI127" s="73"/>
      <c r="AJ127" s="73"/>
      <c r="AK127" s="73"/>
      <c r="AL127" s="73"/>
      <c r="AM127" s="81"/>
      <c r="AN127" s="81"/>
      <c r="AO127" s="81"/>
      <c r="AP127" s="81"/>
      <c r="AQ127" s="302">
        <f>AQ78</f>
        <v>0.37</v>
      </c>
      <c r="AR127" s="303"/>
      <c r="AS127" s="303"/>
      <c r="AT127" s="303"/>
      <c r="AU127" s="303"/>
      <c r="AV127" s="302">
        <f>AV78</f>
        <v>0.37</v>
      </c>
      <c r="AW127" s="303"/>
      <c r="AX127" s="303"/>
      <c r="AY127" s="303"/>
      <c r="AZ127" s="303"/>
      <c r="BA127" s="302">
        <f>BA78</f>
        <v>0.37</v>
      </c>
      <c r="BB127" s="183"/>
      <c r="BC127" s="198">
        <v>0</v>
      </c>
      <c r="BD127" s="38"/>
    </row>
    <row r="128" spans="1:56" s="42" customFormat="1" ht="15" customHeight="1" x14ac:dyDescent="0.25">
      <c r="A128" s="38"/>
      <c r="B128" s="25" t="s">
        <v>175</v>
      </c>
      <c r="C128" s="81"/>
      <c r="D128" s="81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73"/>
      <c r="X128" s="73"/>
      <c r="Y128" s="73"/>
      <c r="Z128" s="73"/>
      <c r="AA128" s="73"/>
      <c r="AB128" s="73"/>
      <c r="AC128" s="73"/>
      <c r="AD128" s="73"/>
      <c r="AE128" s="73"/>
      <c r="AF128" s="73"/>
      <c r="AG128" s="73"/>
      <c r="AH128" s="73"/>
      <c r="AI128" s="73"/>
      <c r="AJ128" s="73"/>
      <c r="AK128" s="73"/>
      <c r="AL128" s="73"/>
      <c r="AM128" s="81"/>
      <c r="AN128" s="81"/>
      <c r="AO128" s="81"/>
      <c r="AP128" s="81"/>
      <c r="AQ128" s="81">
        <f>AQ127*AQ126</f>
        <v>114.78056069199999</v>
      </c>
      <c r="AR128" s="81"/>
      <c r="AS128" s="81"/>
      <c r="AT128" s="81"/>
      <c r="AU128" s="81"/>
      <c r="AV128" s="81">
        <f>AV127*AV126</f>
        <v>122.42724015849602</v>
      </c>
      <c r="AW128" s="81"/>
      <c r="AX128" s="81"/>
      <c r="AY128" s="81"/>
      <c r="AZ128" s="81"/>
      <c r="BA128" s="81"/>
      <c r="BB128" s="183"/>
      <c r="BC128" s="198">
        <v>0</v>
      </c>
      <c r="BD128" s="38"/>
    </row>
    <row r="129" spans="1:56 16384:16384" s="42" customFormat="1" ht="15" customHeight="1" x14ac:dyDescent="0.25">
      <c r="A129" s="38"/>
      <c r="B129" s="25"/>
      <c r="C129" s="81"/>
      <c r="D129" s="81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3"/>
      <c r="AH129" s="73"/>
      <c r="AI129" s="73"/>
      <c r="AJ129" s="73"/>
      <c r="AK129" s="73"/>
      <c r="AL129" s="73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183"/>
      <c r="BC129" s="198">
        <v>0</v>
      </c>
      <c r="BD129" s="38"/>
    </row>
    <row r="130" spans="1:56 16384:16384" s="42" customFormat="1" ht="15" customHeight="1" x14ac:dyDescent="0.25">
      <c r="A130" s="38"/>
      <c r="B130" s="25" t="s">
        <v>176</v>
      </c>
      <c r="C130" s="81"/>
      <c r="D130" s="81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  <c r="AG130" s="73"/>
      <c r="AH130" s="73"/>
      <c r="AI130" s="73"/>
      <c r="AJ130" s="73"/>
      <c r="AK130" s="73"/>
      <c r="AL130" s="73"/>
      <c r="AM130" s="81"/>
      <c r="AN130" s="81"/>
      <c r="AO130" s="81"/>
      <c r="AP130" s="81"/>
      <c r="AQ130" s="83">
        <f>AL132</f>
        <v>-362.733</v>
      </c>
      <c r="AR130" s="83">
        <f t="shared" ref="AR130:BA130" si="444">AM132</f>
        <v>0</v>
      </c>
      <c r="AS130" s="83">
        <f t="shared" si="444"/>
        <v>0</v>
      </c>
      <c r="AT130" s="83">
        <f t="shared" si="444"/>
        <v>0</v>
      </c>
      <c r="AU130" s="83">
        <f t="shared" si="444"/>
        <v>0</v>
      </c>
      <c r="AV130" s="83">
        <f t="shared" si="444"/>
        <v>-52.515268400000025</v>
      </c>
      <c r="AW130" s="83">
        <f t="shared" si="444"/>
        <v>0</v>
      </c>
      <c r="AX130" s="83">
        <f t="shared" si="444"/>
        <v>0</v>
      </c>
      <c r="AY130" s="83">
        <f t="shared" si="444"/>
        <v>0</v>
      </c>
      <c r="AZ130" s="83">
        <f t="shared" si="444"/>
        <v>0</v>
      </c>
      <c r="BA130" s="83">
        <f t="shared" si="444"/>
        <v>0</v>
      </c>
      <c r="BB130" s="183"/>
      <c r="BC130" s="198">
        <v>0</v>
      </c>
      <c r="BD130" s="38"/>
    </row>
    <row r="131" spans="1:56 16384:16384" s="42" customFormat="1" ht="15" customHeight="1" x14ac:dyDescent="0.25">
      <c r="A131" s="38"/>
      <c r="B131" s="25" t="str">
        <f>B126</f>
        <v>Reported Pre-Tax Income</v>
      </c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  <c r="AG131" s="73"/>
      <c r="AH131" s="73"/>
      <c r="AI131" s="73"/>
      <c r="AJ131" s="73"/>
      <c r="AK131" s="73"/>
      <c r="AL131" s="73"/>
      <c r="AM131" s="81"/>
      <c r="AN131" s="81"/>
      <c r="AO131" s="81"/>
      <c r="AP131" s="81"/>
      <c r="AQ131" s="81">
        <f>AQ126</f>
        <v>310.21773159999998</v>
      </c>
      <c r="AR131" s="81">
        <f t="shared" ref="AR131:BA131" si="445">AR126</f>
        <v>0</v>
      </c>
      <c r="AS131" s="81">
        <f t="shared" si="445"/>
        <v>0</v>
      </c>
      <c r="AT131" s="81">
        <f t="shared" si="445"/>
        <v>0</v>
      </c>
      <c r="AU131" s="81">
        <f t="shared" si="445"/>
        <v>0</v>
      </c>
      <c r="AV131" s="81">
        <f t="shared" si="445"/>
        <v>330.88443286080008</v>
      </c>
      <c r="AW131" s="81">
        <f t="shared" si="445"/>
        <v>0</v>
      </c>
      <c r="AX131" s="81">
        <f t="shared" si="445"/>
        <v>0</v>
      </c>
      <c r="AY131" s="81">
        <f t="shared" si="445"/>
        <v>0</v>
      </c>
      <c r="AZ131" s="81">
        <f t="shared" si="445"/>
        <v>0</v>
      </c>
      <c r="BA131" s="81">
        <f t="shared" si="445"/>
        <v>372.7650568278799</v>
      </c>
      <c r="BB131" s="183"/>
      <c r="BC131" s="198">
        <v>0</v>
      </c>
      <c r="BD131" s="38"/>
    </row>
    <row r="132" spans="1:56 16384:16384" s="42" customFormat="1" ht="15" customHeight="1" x14ac:dyDescent="0.25">
      <c r="A132" s="38"/>
      <c r="B132" s="25" t="s">
        <v>178</v>
      </c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/>
      <c r="AI132" s="73"/>
      <c r="AJ132" s="73"/>
      <c r="AK132" s="73"/>
      <c r="AL132" s="146">
        <v>-362.733</v>
      </c>
      <c r="AM132" s="155"/>
      <c r="AN132" s="155"/>
      <c r="AO132" s="155"/>
      <c r="AP132" s="155"/>
      <c r="AQ132" s="83">
        <f>AQ130+AQ126</f>
        <v>-52.515268400000025</v>
      </c>
      <c r="AR132" s="155"/>
      <c r="AS132" s="155"/>
      <c r="AT132" s="155"/>
      <c r="AU132" s="155"/>
      <c r="AV132" s="83">
        <f>MIN((AV130+AV126),0)</f>
        <v>0</v>
      </c>
      <c r="AW132" s="155"/>
      <c r="AX132" s="155"/>
      <c r="AY132" s="155"/>
      <c r="AZ132" s="155"/>
      <c r="BA132" s="83">
        <f>MIN((BA130+BA126),0)</f>
        <v>0</v>
      </c>
      <c r="BB132" s="183"/>
      <c r="BC132" s="198">
        <v>0</v>
      </c>
      <c r="BD132" s="38"/>
      <c r="XFD132" s="83"/>
    </row>
    <row r="133" spans="1:56 16384:16384" s="42" customFormat="1" ht="15" customHeight="1" x14ac:dyDescent="0.25">
      <c r="A133" s="38"/>
      <c r="B133" s="25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/>
      <c r="AK133" s="73"/>
      <c r="AL133" s="73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183"/>
      <c r="BC133" s="198">
        <v>0</v>
      </c>
      <c r="BD133" s="38"/>
    </row>
    <row r="134" spans="1:56 16384:16384" s="42" customFormat="1" ht="15" customHeight="1" x14ac:dyDescent="0.25">
      <c r="A134" s="38"/>
      <c r="B134" s="25" t="s">
        <v>179</v>
      </c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73"/>
      <c r="X134" s="73"/>
      <c r="Y134" s="73"/>
      <c r="Z134" s="73"/>
      <c r="AA134" s="73"/>
      <c r="AB134" s="73"/>
      <c r="AC134" s="73"/>
      <c r="AD134" s="73"/>
      <c r="AE134" s="73"/>
      <c r="AF134" s="73"/>
      <c r="AG134" s="73"/>
      <c r="AH134" s="73"/>
      <c r="AI134" s="73"/>
      <c r="AJ134" s="73"/>
      <c r="AK134" s="73"/>
      <c r="AL134" s="73"/>
      <c r="AM134" s="81"/>
      <c r="AN134" s="81"/>
      <c r="AO134" s="81"/>
      <c r="AP134" s="81"/>
      <c r="AQ134" s="81">
        <f>AQ128</f>
        <v>114.78056069199999</v>
      </c>
      <c r="AR134" s="81"/>
      <c r="AS134" s="81"/>
      <c r="AT134" s="81"/>
      <c r="AU134" s="81"/>
      <c r="AV134" s="83">
        <f>-AV130*AV127</f>
        <v>19.43064930800001</v>
      </c>
      <c r="AW134" s="81"/>
      <c r="AX134" s="81"/>
      <c r="AY134" s="81"/>
      <c r="AZ134" s="81"/>
      <c r="BA134" s="81">
        <f>BA128</f>
        <v>0</v>
      </c>
      <c r="BB134" s="183"/>
      <c r="BC134" s="198">
        <v>0</v>
      </c>
      <c r="BD134" s="38"/>
    </row>
    <row r="135" spans="1:56 16384:16384" s="42" customFormat="1" ht="15" customHeight="1" x14ac:dyDescent="0.25">
      <c r="A135" s="38"/>
      <c r="B135" s="25" t="s">
        <v>180</v>
      </c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73"/>
      <c r="X135" s="73"/>
      <c r="Y135" s="73"/>
      <c r="Z135" s="73"/>
      <c r="AA135" s="73"/>
      <c r="AB135" s="73"/>
      <c r="AC135" s="73"/>
      <c r="AD135" s="73"/>
      <c r="AE135" s="73"/>
      <c r="AF135" s="73"/>
      <c r="AG135" s="73"/>
      <c r="AH135" s="73"/>
      <c r="AI135" s="73"/>
      <c r="AJ135" s="73"/>
      <c r="AK135" s="73"/>
      <c r="AL135" s="304">
        <f>NPV(10%,AQ134:BA134)</f>
        <v>120.40435212330577</v>
      </c>
      <c r="AM135" s="81"/>
      <c r="AN135" s="81"/>
      <c r="AO135" s="81"/>
      <c r="AP135" s="81"/>
      <c r="AQ135" s="83">
        <f>NPV(10%,AV134:BB134)</f>
        <v>17.664226643636372</v>
      </c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183"/>
      <c r="BC135" s="198">
        <v>0</v>
      </c>
      <c r="BD135" s="38"/>
    </row>
    <row r="136" spans="1:56 16384:16384" s="42" customFormat="1" ht="15" customHeight="1" x14ac:dyDescent="0.25">
      <c r="A136" s="38"/>
      <c r="B136" s="152" t="s">
        <v>203</v>
      </c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73"/>
      <c r="X136" s="73"/>
      <c r="Y136" s="73"/>
      <c r="Z136" s="73"/>
      <c r="AA136" s="73"/>
      <c r="AB136" s="73"/>
      <c r="AC136" s="73"/>
      <c r="AD136" s="73"/>
      <c r="AE136" s="73"/>
      <c r="AF136" s="73"/>
      <c r="AG136" s="73"/>
      <c r="AH136" s="73"/>
      <c r="AI136" s="73"/>
      <c r="AJ136" s="73"/>
      <c r="AK136" s="73"/>
      <c r="AL136" s="111">
        <f>AL135/AL83</f>
        <v>1.2288540852135188</v>
      </c>
      <c r="AM136" s="81"/>
      <c r="AN136" s="81"/>
      <c r="AO136" s="81"/>
      <c r="AP136" s="81"/>
      <c r="AQ136" s="111">
        <f>AQ135/AQ83</f>
        <v>0.18630824285022299</v>
      </c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183"/>
      <c r="BC136" s="198"/>
      <c r="BD136" s="38"/>
    </row>
    <row r="137" spans="1:56 16384:16384" s="42" customFormat="1" ht="15" customHeight="1" x14ac:dyDescent="0.25">
      <c r="A137" s="38"/>
      <c r="B137" s="25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73"/>
      <c r="X137" s="73"/>
      <c r="Y137" s="73"/>
      <c r="Z137" s="73"/>
      <c r="AA137" s="73"/>
      <c r="AB137" s="73"/>
      <c r="AC137" s="73"/>
      <c r="AD137" s="73"/>
      <c r="AE137" s="73"/>
      <c r="AF137" s="73"/>
      <c r="AG137" s="73"/>
      <c r="AH137" s="73"/>
      <c r="AI137" s="73"/>
      <c r="AJ137" s="73"/>
      <c r="AK137" s="73"/>
      <c r="AL137" s="73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183"/>
      <c r="BC137" s="198">
        <v>0</v>
      </c>
      <c r="BD137" s="38"/>
    </row>
    <row r="138" spans="1:56 16384:16384" s="42" customFormat="1" ht="15" customHeight="1" x14ac:dyDescent="0.25">
      <c r="A138" s="38"/>
      <c r="B138" s="253" t="s">
        <v>192</v>
      </c>
      <c r="C138" s="78"/>
      <c r="D138" s="78"/>
      <c r="E138" s="78"/>
      <c r="F138" s="78"/>
      <c r="G138" s="78"/>
      <c r="H138" s="254"/>
      <c r="I138" s="254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79"/>
      <c r="Y138" s="80"/>
      <c r="Z138" s="80"/>
      <c r="AA138" s="80"/>
      <c r="AB138" s="254"/>
      <c r="AC138" s="78"/>
      <c r="AD138" s="78"/>
      <c r="AE138" s="78"/>
      <c r="AF138" s="78"/>
      <c r="AG138" s="254"/>
      <c r="AH138" s="254"/>
      <c r="AI138" s="254"/>
      <c r="AJ138" s="254"/>
      <c r="AK138" s="254"/>
      <c r="AL138" s="254"/>
      <c r="AM138" s="78"/>
      <c r="AN138" s="78"/>
      <c r="AO138" s="78"/>
      <c r="AP138" s="78"/>
      <c r="AQ138" s="78"/>
      <c r="AR138" s="78"/>
      <c r="AS138" s="78"/>
      <c r="AT138" s="78"/>
      <c r="AU138" s="78"/>
      <c r="AV138" s="78"/>
      <c r="AW138" s="78"/>
      <c r="AX138" s="78"/>
      <c r="AY138" s="78"/>
      <c r="AZ138" s="78"/>
      <c r="BA138" s="233"/>
      <c r="BB138" s="183"/>
      <c r="BC138" s="198">
        <v>0</v>
      </c>
      <c r="BD138" s="38"/>
    </row>
    <row r="139" spans="1:56 16384:16384" s="42" customFormat="1" ht="15" customHeight="1" x14ac:dyDescent="0.25">
      <c r="A139" s="38"/>
      <c r="B139" s="25" t="s">
        <v>183</v>
      </c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>
        <f t="shared" ref="R139:BA139" si="446">R74+R92</f>
        <v>66</v>
      </c>
      <c r="S139" s="81">
        <f t="shared" si="446"/>
        <v>0</v>
      </c>
      <c r="T139" s="81">
        <f t="shared" si="446"/>
        <v>0</v>
      </c>
      <c r="U139" s="81">
        <f t="shared" si="446"/>
        <v>0</v>
      </c>
      <c r="V139" s="81">
        <f t="shared" si="446"/>
        <v>0</v>
      </c>
      <c r="W139" s="81">
        <f t="shared" si="446"/>
        <v>266</v>
      </c>
      <c r="X139" s="81">
        <f t="shared" si="446"/>
        <v>0</v>
      </c>
      <c r="Y139" s="81">
        <f t="shared" si="446"/>
        <v>0</v>
      </c>
      <c r="Z139" s="81">
        <f t="shared" si="446"/>
        <v>0</v>
      </c>
      <c r="AA139" s="81">
        <f t="shared" si="446"/>
        <v>0</v>
      </c>
      <c r="AB139" s="81">
        <f t="shared" si="446"/>
        <v>267.23199999999997</v>
      </c>
      <c r="AC139" s="81">
        <f t="shared" si="446"/>
        <v>0</v>
      </c>
      <c r="AD139" s="81">
        <f t="shared" si="446"/>
        <v>0</v>
      </c>
      <c r="AE139" s="81">
        <f t="shared" si="446"/>
        <v>0</v>
      </c>
      <c r="AF139" s="81">
        <f t="shared" si="446"/>
        <v>0</v>
      </c>
      <c r="AG139" s="81">
        <f t="shared" si="446"/>
        <v>217.22800000000001</v>
      </c>
      <c r="AH139" s="81">
        <f t="shared" si="446"/>
        <v>-85</v>
      </c>
      <c r="AI139" s="81">
        <f t="shared" si="446"/>
        <v>138</v>
      </c>
      <c r="AJ139" s="81">
        <f t="shared" si="446"/>
        <v>290</v>
      </c>
      <c r="AK139" s="81">
        <f t="shared" si="446"/>
        <v>21</v>
      </c>
      <c r="AL139" s="81">
        <f t="shared" si="446"/>
        <v>324.13800000000015</v>
      </c>
      <c r="AM139" s="81">
        <f t="shared" si="446"/>
        <v>0</v>
      </c>
      <c r="AN139" s="81">
        <f t="shared" si="446"/>
        <v>0</v>
      </c>
      <c r="AO139" s="81">
        <f t="shared" si="446"/>
        <v>0</v>
      </c>
      <c r="AP139" s="81">
        <f t="shared" si="446"/>
        <v>0</v>
      </c>
      <c r="AQ139" s="81">
        <f t="shared" si="446"/>
        <v>369.71773159999998</v>
      </c>
      <c r="AR139" s="81">
        <f t="shared" si="446"/>
        <v>0</v>
      </c>
      <c r="AS139" s="81">
        <f t="shared" si="446"/>
        <v>0</v>
      </c>
      <c r="AT139" s="81">
        <f t="shared" si="446"/>
        <v>0</v>
      </c>
      <c r="AU139" s="81">
        <f t="shared" si="446"/>
        <v>0</v>
      </c>
      <c r="AV139" s="81">
        <f t="shared" si="446"/>
        <v>391.38443286080008</v>
      </c>
      <c r="AW139" s="81">
        <f t="shared" si="446"/>
        <v>0</v>
      </c>
      <c r="AX139" s="81">
        <f t="shared" si="446"/>
        <v>0</v>
      </c>
      <c r="AY139" s="81">
        <f t="shared" si="446"/>
        <v>0</v>
      </c>
      <c r="AZ139" s="81">
        <f t="shared" si="446"/>
        <v>0</v>
      </c>
      <c r="BA139" s="81">
        <f t="shared" si="446"/>
        <v>434.2650568278799</v>
      </c>
      <c r="BB139" s="183"/>
      <c r="BC139" s="198">
        <v>0</v>
      </c>
      <c r="BD139" s="38"/>
    </row>
    <row r="140" spans="1:56 16384:16384" s="42" customFormat="1" ht="15" customHeight="1" x14ac:dyDescent="0.25">
      <c r="A140" s="38"/>
      <c r="B140" s="25" t="s">
        <v>184</v>
      </c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>
        <f t="shared" ref="R140:BA140" si="447">R153-R148+R155+R159+R160-R170+R169</f>
        <v>2206.2820000000002</v>
      </c>
      <c r="S140" s="81">
        <f t="shared" si="447"/>
        <v>0</v>
      </c>
      <c r="T140" s="81">
        <f t="shared" si="447"/>
        <v>0</v>
      </c>
      <c r="U140" s="81">
        <f t="shared" si="447"/>
        <v>0</v>
      </c>
      <c r="V140" s="81">
        <f t="shared" si="447"/>
        <v>0</v>
      </c>
      <c r="W140" s="81">
        <f t="shared" si="447"/>
        <v>2220.085</v>
      </c>
      <c r="X140" s="81">
        <f t="shared" si="447"/>
        <v>0</v>
      </c>
      <c r="Y140" s="81">
        <f t="shared" si="447"/>
        <v>0</v>
      </c>
      <c r="Z140" s="81">
        <f t="shared" si="447"/>
        <v>0</v>
      </c>
      <c r="AA140" s="81">
        <f t="shared" si="447"/>
        <v>0</v>
      </c>
      <c r="AB140" s="81">
        <f t="shared" si="447"/>
        <v>2198.0549999999998</v>
      </c>
      <c r="AC140" s="81">
        <f t="shared" si="447"/>
        <v>0</v>
      </c>
      <c r="AD140" s="81">
        <f t="shared" si="447"/>
        <v>0</v>
      </c>
      <c r="AE140" s="81">
        <f t="shared" si="447"/>
        <v>0</v>
      </c>
      <c r="AF140" s="81">
        <f t="shared" si="447"/>
        <v>0</v>
      </c>
      <c r="AG140" s="81">
        <f t="shared" si="447"/>
        <v>2209.3770000000004</v>
      </c>
      <c r="AH140" s="81">
        <f t="shared" si="447"/>
        <v>0</v>
      </c>
      <c r="AI140" s="81">
        <f t="shared" si="447"/>
        <v>0</v>
      </c>
      <c r="AJ140" s="81">
        <f t="shared" si="447"/>
        <v>0</v>
      </c>
      <c r="AK140" s="81">
        <f t="shared" si="447"/>
        <v>0</v>
      </c>
      <c r="AL140" s="81">
        <f t="shared" si="447"/>
        <v>2048.4949999999999</v>
      </c>
      <c r="AM140" s="81">
        <f t="shared" si="447"/>
        <v>0</v>
      </c>
      <c r="AN140" s="81">
        <f t="shared" si="447"/>
        <v>0</v>
      </c>
      <c r="AO140" s="81">
        <f t="shared" si="447"/>
        <v>0</v>
      </c>
      <c r="AP140" s="81">
        <f t="shared" si="447"/>
        <v>0</v>
      </c>
      <c r="AQ140" s="81">
        <f t="shared" ca="1" si="447"/>
        <v>2061.8803650624973</v>
      </c>
      <c r="AR140" s="81">
        <f t="shared" si="447"/>
        <v>0</v>
      </c>
      <c r="AS140" s="81">
        <f t="shared" si="447"/>
        <v>0</v>
      </c>
      <c r="AT140" s="81">
        <f t="shared" si="447"/>
        <v>0</v>
      </c>
      <c r="AU140" s="81">
        <f t="shared" si="447"/>
        <v>0</v>
      </c>
      <c r="AV140" s="81">
        <f t="shared" ca="1" si="447"/>
        <v>2061.2154108405771</v>
      </c>
      <c r="AW140" s="81">
        <f t="shared" si="447"/>
        <v>0</v>
      </c>
      <c r="AX140" s="81">
        <f t="shared" si="447"/>
        <v>0</v>
      </c>
      <c r="AY140" s="81">
        <f t="shared" si="447"/>
        <v>0</v>
      </c>
      <c r="AZ140" s="81">
        <f t="shared" si="447"/>
        <v>0</v>
      </c>
      <c r="BA140" s="81">
        <f t="shared" ca="1" si="447"/>
        <v>2063.7373861272763</v>
      </c>
      <c r="BB140" s="183"/>
      <c r="BC140" s="198"/>
      <c r="BD140" s="38"/>
    </row>
    <row r="141" spans="1:56 16384:16384" s="42" customFormat="1" ht="15" customHeight="1" x14ac:dyDescent="0.25">
      <c r="A141" s="38"/>
      <c r="B141" s="25" t="s">
        <v>185</v>
      </c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>
        <f t="shared" ref="R141:BA141" si="448">R140-R160-R159</f>
        <v>1183.4860000000001</v>
      </c>
      <c r="S141" s="81">
        <f t="shared" si="448"/>
        <v>0</v>
      </c>
      <c r="T141" s="81">
        <f t="shared" si="448"/>
        <v>0</v>
      </c>
      <c r="U141" s="81">
        <f t="shared" si="448"/>
        <v>0</v>
      </c>
      <c r="V141" s="81">
        <f t="shared" si="448"/>
        <v>0</v>
      </c>
      <c r="W141" s="81">
        <f t="shared" si="448"/>
        <v>1213.2719999999999</v>
      </c>
      <c r="X141" s="81">
        <f t="shared" si="448"/>
        <v>0</v>
      </c>
      <c r="Y141" s="81">
        <f t="shared" si="448"/>
        <v>0</v>
      </c>
      <c r="Z141" s="81">
        <f t="shared" si="448"/>
        <v>0</v>
      </c>
      <c r="AA141" s="81">
        <f t="shared" si="448"/>
        <v>0</v>
      </c>
      <c r="AB141" s="81">
        <f t="shared" si="448"/>
        <v>1205.6939999999997</v>
      </c>
      <c r="AC141" s="81">
        <f t="shared" si="448"/>
        <v>0</v>
      </c>
      <c r="AD141" s="81">
        <f t="shared" si="448"/>
        <v>0</v>
      </c>
      <c r="AE141" s="81">
        <f t="shared" si="448"/>
        <v>0</v>
      </c>
      <c r="AF141" s="81">
        <f t="shared" si="448"/>
        <v>0</v>
      </c>
      <c r="AG141" s="81">
        <f t="shared" si="448"/>
        <v>1219.7710000000004</v>
      </c>
      <c r="AH141" s="81">
        <f t="shared" si="448"/>
        <v>0</v>
      </c>
      <c r="AI141" s="81">
        <f t="shared" si="448"/>
        <v>0</v>
      </c>
      <c r="AJ141" s="81">
        <f t="shared" si="448"/>
        <v>0</v>
      </c>
      <c r="AK141" s="81">
        <f t="shared" si="448"/>
        <v>0</v>
      </c>
      <c r="AL141" s="81">
        <f t="shared" si="448"/>
        <v>1061.819</v>
      </c>
      <c r="AM141" s="81">
        <f t="shared" si="448"/>
        <v>0</v>
      </c>
      <c r="AN141" s="81">
        <f t="shared" si="448"/>
        <v>0</v>
      </c>
      <c r="AO141" s="81">
        <f t="shared" si="448"/>
        <v>0</v>
      </c>
      <c r="AP141" s="81">
        <f t="shared" si="448"/>
        <v>0</v>
      </c>
      <c r="AQ141" s="81">
        <f t="shared" ca="1" si="448"/>
        <v>1077.8103650624971</v>
      </c>
      <c r="AR141" s="81">
        <f t="shared" si="448"/>
        <v>0</v>
      </c>
      <c r="AS141" s="81">
        <f t="shared" si="448"/>
        <v>0</v>
      </c>
      <c r="AT141" s="81">
        <f t="shared" si="448"/>
        <v>0</v>
      </c>
      <c r="AU141" s="81">
        <f t="shared" si="448"/>
        <v>0</v>
      </c>
      <c r="AV141" s="81">
        <f t="shared" ca="1" si="448"/>
        <v>1079.630410840577</v>
      </c>
      <c r="AW141" s="81">
        <f t="shared" si="448"/>
        <v>0</v>
      </c>
      <c r="AX141" s="81">
        <f t="shared" si="448"/>
        <v>0</v>
      </c>
      <c r="AY141" s="81">
        <f t="shared" si="448"/>
        <v>0</v>
      </c>
      <c r="AZ141" s="81">
        <f t="shared" si="448"/>
        <v>0</v>
      </c>
      <c r="BA141" s="81">
        <f t="shared" ca="1" si="448"/>
        <v>1084.5883861272762</v>
      </c>
      <c r="BB141" s="183"/>
      <c r="BC141" s="198">
        <v>0</v>
      </c>
      <c r="BD141" s="38"/>
    </row>
    <row r="142" spans="1:56 16384:16384" s="42" customFormat="1" ht="15" customHeight="1" x14ac:dyDescent="0.25">
      <c r="A142" s="38"/>
      <c r="B142" s="25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81"/>
      <c r="AE142" s="81"/>
      <c r="AF142" s="81"/>
      <c r="AG142" s="81"/>
      <c r="AH142" s="81"/>
      <c r="AI142" s="81"/>
      <c r="AJ142" s="81"/>
      <c r="AK142" s="81"/>
      <c r="AL142" s="81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183"/>
      <c r="BC142" s="198">
        <v>0</v>
      </c>
      <c r="BD142" s="38"/>
    </row>
    <row r="143" spans="1:56 16384:16384" s="42" customFormat="1" ht="15" customHeight="1" x14ac:dyDescent="0.25">
      <c r="A143" s="38"/>
      <c r="B143" s="102" t="s">
        <v>186</v>
      </c>
      <c r="C143" s="234"/>
      <c r="D143" s="234"/>
      <c r="E143" s="234"/>
      <c r="F143" s="234"/>
      <c r="G143" s="234"/>
      <c r="H143" s="234"/>
      <c r="I143" s="234"/>
      <c r="J143" s="234"/>
      <c r="K143" s="234"/>
      <c r="L143" s="234"/>
      <c r="M143" s="234"/>
      <c r="N143" s="234"/>
      <c r="O143" s="234"/>
      <c r="P143" s="234"/>
      <c r="Q143" s="234"/>
      <c r="R143" s="236">
        <f t="shared" ref="R143:BA143" si="449">R139/R140</f>
        <v>2.9914580275776169E-2</v>
      </c>
      <c r="S143" s="236" t="e">
        <f t="shared" si="449"/>
        <v>#DIV/0!</v>
      </c>
      <c r="T143" s="236" t="e">
        <f t="shared" si="449"/>
        <v>#DIV/0!</v>
      </c>
      <c r="U143" s="236" t="e">
        <f t="shared" si="449"/>
        <v>#DIV/0!</v>
      </c>
      <c r="V143" s="236" t="e">
        <f t="shared" si="449"/>
        <v>#DIV/0!</v>
      </c>
      <c r="W143" s="236">
        <f t="shared" si="449"/>
        <v>0.1198152322996642</v>
      </c>
      <c r="X143" s="236" t="e">
        <f t="shared" si="449"/>
        <v>#DIV/0!</v>
      </c>
      <c r="Y143" s="236" t="e">
        <f t="shared" si="449"/>
        <v>#DIV/0!</v>
      </c>
      <c r="Z143" s="236" t="e">
        <f t="shared" si="449"/>
        <v>#DIV/0!</v>
      </c>
      <c r="AA143" s="236" t="e">
        <f t="shared" si="449"/>
        <v>#DIV/0!</v>
      </c>
      <c r="AB143" s="236">
        <f t="shared" si="449"/>
        <v>0.12157657565438534</v>
      </c>
      <c r="AC143" s="236" t="e">
        <f t="shared" si="449"/>
        <v>#DIV/0!</v>
      </c>
      <c r="AD143" s="236" t="e">
        <f t="shared" si="449"/>
        <v>#DIV/0!</v>
      </c>
      <c r="AE143" s="236" t="e">
        <f t="shared" si="449"/>
        <v>#DIV/0!</v>
      </c>
      <c r="AF143" s="236" t="e">
        <f t="shared" si="449"/>
        <v>#DIV/0!</v>
      </c>
      <c r="AG143" s="236">
        <f t="shared" si="449"/>
        <v>9.8320929384165742E-2</v>
      </c>
      <c r="AH143" s="236" t="e">
        <f t="shared" si="449"/>
        <v>#DIV/0!</v>
      </c>
      <c r="AI143" s="236" t="e">
        <f t="shared" si="449"/>
        <v>#DIV/0!</v>
      </c>
      <c r="AJ143" s="236" t="e">
        <f t="shared" si="449"/>
        <v>#DIV/0!</v>
      </c>
      <c r="AK143" s="236" t="e">
        <f t="shared" si="449"/>
        <v>#DIV/0!</v>
      </c>
      <c r="AL143" s="236">
        <f t="shared" si="449"/>
        <v>0.15823226319810405</v>
      </c>
      <c r="AM143" s="236" t="e">
        <f t="shared" si="449"/>
        <v>#DIV/0!</v>
      </c>
      <c r="AN143" s="236" t="e">
        <f t="shared" si="449"/>
        <v>#DIV/0!</v>
      </c>
      <c r="AO143" s="236" t="e">
        <f t="shared" si="449"/>
        <v>#DIV/0!</v>
      </c>
      <c r="AP143" s="236" t="e">
        <f t="shared" si="449"/>
        <v>#DIV/0!</v>
      </c>
      <c r="AQ143" s="236">
        <f t="shared" ca="1" si="449"/>
        <v>0.17931095220880749</v>
      </c>
      <c r="AR143" s="236" t="e">
        <f t="shared" si="449"/>
        <v>#DIV/0!</v>
      </c>
      <c r="AS143" s="236" t="e">
        <f t="shared" si="449"/>
        <v>#DIV/0!</v>
      </c>
      <c r="AT143" s="236" t="e">
        <f t="shared" si="449"/>
        <v>#DIV/0!</v>
      </c>
      <c r="AU143" s="236" t="e">
        <f t="shared" si="449"/>
        <v>#DIV/0!</v>
      </c>
      <c r="AV143" s="236">
        <f t="shared" ca="1" si="449"/>
        <v>0.18988041269359177</v>
      </c>
      <c r="AW143" s="236" t="e">
        <f t="shared" si="449"/>
        <v>#DIV/0!</v>
      </c>
      <c r="AX143" s="236" t="e">
        <f t="shared" si="449"/>
        <v>#DIV/0!</v>
      </c>
      <c r="AY143" s="236" t="e">
        <f t="shared" si="449"/>
        <v>#DIV/0!</v>
      </c>
      <c r="AZ143" s="236" t="e">
        <f t="shared" si="449"/>
        <v>#DIV/0!</v>
      </c>
      <c r="BA143" s="236">
        <f t="shared" ca="1" si="449"/>
        <v>0.2104265105371782</v>
      </c>
      <c r="BB143" s="183"/>
      <c r="BC143" s="198">
        <v>0</v>
      </c>
      <c r="BD143" s="38"/>
    </row>
    <row r="144" spans="1:56 16384:16384" s="42" customFormat="1" ht="15" customHeight="1" x14ac:dyDescent="0.25">
      <c r="A144" s="38"/>
      <c r="B144" s="99" t="s">
        <v>187</v>
      </c>
      <c r="C144" s="235"/>
      <c r="D144" s="235"/>
      <c r="E144" s="235"/>
      <c r="F144" s="235"/>
      <c r="G144" s="235"/>
      <c r="H144" s="235"/>
      <c r="I144" s="235"/>
      <c r="J144" s="235"/>
      <c r="K144" s="235"/>
      <c r="L144" s="235"/>
      <c r="M144" s="235"/>
      <c r="N144" s="235"/>
      <c r="O144" s="235"/>
      <c r="P144" s="235"/>
      <c r="Q144" s="235"/>
      <c r="R144" s="237">
        <f>R139/R141</f>
        <v>5.5767453100416899E-2</v>
      </c>
      <c r="S144" s="237"/>
      <c r="T144" s="237"/>
      <c r="U144" s="237"/>
      <c r="V144" s="237"/>
      <c r="W144" s="237">
        <f>W139/W141</f>
        <v>0.21924185178591446</v>
      </c>
      <c r="X144" s="238"/>
      <c r="Y144" s="239"/>
      <c r="Z144" s="239"/>
      <c r="AA144" s="239"/>
      <c r="AB144" s="237">
        <f t="shared" ref="AB144:BA144" si="450">AB139/AB141</f>
        <v>0.2216416437338164</v>
      </c>
      <c r="AC144" s="237" t="e">
        <f t="shared" si="450"/>
        <v>#DIV/0!</v>
      </c>
      <c r="AD144" s="237" t="e">
        <f t="shared" si="450"/>
        <v>#DIV/0!</v>
      </c>
      <c r="AE144" s="237" t="e">
        <f t="shared" si="450"/>
        <v>#DIV/0!</v>
      </c>
      <c r="AF144" s="237" t="e">
        <f t="shared" si="450"/>
        <v>#DIV/0!</v>
      </c>
      <c r="AG144" s="237">
        <f t="shared" si="450"/>
        <v>0.178089165917209</v>
      </c>
      <c r="AH144" s="237" t="e">
        <f t="shared" si="450"/>
        <v>#DIV/0!</v>
      </c>
      <c r="AI144" s="237" t="e">
        <f t="shared" si="450"/>
        <v>#DIV/0!</v>
      </c>
      <c r="AJ144" s="237" t="e">
        <f t="shared" si="450"/>
        <v>#DIV/0!</v>
      </c>
      <c r="AK144" s="237" t="e">
        <f t="shared" si="450"/>
        <v>#DIV/0!</v>
      </c>
      <c r="AL144" s="237">
        <f t="shared" si="450"/>
        <v>0.30526671683215328</v>
      </c>
      <c r="AM144" s="237" t="e">
        <f t="shared" si="450"/>
        <v>#DIV/0!</v>
      </c>
      <c r="AN144" s="237" t="e">
        <f t="shared" si="450"/>
        <v>#DIV/0!</v>
      </c>
      <c r="AO144" s="237" t="e">
        <f t="shared" si="450"/>
        <v>#DIV/0!</v>
      </c>
      <c r="AP144" s="237" t="e">
        <f t="shared" si="450"/>
        <v>#DIV/0!</v>
      </c>
      <c r="AQ144" s="237">
        <f t="shared" ca="1" si="450"/>
        <v>0.3430266989300681</v>
      </c>
      <c r="AR144" s="237" t="e">
        <f t="shared" si="450"/>
        <v>#DIV/0!</v>
      </c>
      <c r="AS144" s="237" t="e">
        <f t="shared" si="450"/>
        <v>#DIV/0!</v>
      </c>
      <c r="AT144" s="237" t="e">
        <f t="shared" si="450"/>
        <v>#DIV/0!</v>
      </c>
      <c r="AU144" s="237" t="e">
        <f t="shared" si="450"/>
        <v>#DIV/0!</v>
      </c>
      <c r="AV144" s="237">
        <f t="shared" ca="1" si="450"/>
        <v>0.3625170511416741</v>
      </c>
      <c r="AW144" s="237" t="e">
        <f t="shared" si="450"/>
        <v>#DIV/0!</v>
      </c>
      <c r="AX144" s="237" t="e">
        <f t="shared" si="450"/>
        <v>#DIV/0!</v>
      </c>
      <c r="AY144" s="237" t="e">
        <f t="shared" si="450"/>
        <v>#DIV/0!</v>
      </c>
      <c r="AZ144" s="237" t="e">
        <f t="shared" si="450"/>
        <v>#DIV/0!</v>
      </c>
      <c r="BA144" s="240">
        <f t="shared" ca="1" si="450"/>
        <v>0.40039618935853055</v>
      </c>
      <c r="BB144" s="183"/>
      <c r="BC144" s="198">
        <v>0</v>
      </c>
      <c r="BD144" s="38"/>
    </row>
    <row r="145" spans="1:56" s="27" customFormat="1" ht="15" customHeight="1" x14ac:dyDescent="0.25">
      <c r="A145" s="26"/>
      <c r="B145" s="26"/>
      <c r="BB145" s="178"/>
      <c r="BC145" s="198">
        <v>0</v>
      </c>
      <c r="BD145" s="199"/>
    </row>
    <row r="146" spans="1:56" s="261" customFormat="1" ht="15" customHeight="1" x14ac:dyDescent="0.25">
      <c r="A146" s="255"/>
      <c r="B146" s="256" t="s">
        <v>47</v>
      </c>
      <c r="C146" s="257"/>
      <c r="D146" s="257"/>
      <c r="E146" s="257"/>
      <c r="F146" s="257"/>
      <c r="G146" s="257"/>
      <c r="H146" s="257"/>
      <c r="I146" s="257"/>
      <c r="J146" s="257"/>
      <c r="K146" s="257"/>
      <c r="L146" s="257"/>
      <c r="M146" s="257"/>
      <c r="N146" s="257"/>
      <c r="O146" s="257"/>
      <c r="P146" s="257"/>
      <c r="Q146" s="257"/>
      <c r="R146" s="257"/>
      <c r="S146" s="257"/>
      <c r="T146" s="257"/>
      <c r="U146" s="257"/>
      <c r="V146" s="257"/>
      <c r="W146" s="257"/>
      <c r="X146" s="257"/>
      <c r="Y146" s="257"/>
      <c r="Z146" s="257"/>
      <c r="AA146" s="257"/>
      <c r="AB146" s="257"/>
      <c r="AC146" s="257"/>
      <c r="AD146" s="257"/>
      <c r="AE146" s="257"/>
      <c r="AF146" s="257"/>
      <c r="AG146" s="257"/>
      <c r="AH146" s="257"/>
      <c r="AI146" s="257"/>
      <c r="AJ146" s="257"/>
      <c r="AK146" s="257"/>
      <c r="AL146" s="257"/>
      <c r="AM146" s="257"/>
      <c r="AN146" s="257"/>
      <c r="AO146" s="257"/>
      <c r="AP146" s="257"/>
      <c r="AQ146" s="257"/>
      <c r="AR146" s="257"/>
      <c r="AS146" s="257"/>
      <c r="AT146" s="257"/>
      <c r="AU146" s="257"/>
      <c r="AV146" s="257"/>
      <c r="AW146" s="257"/>
      <c r="AX146" s="257"/>
      <c r="AY146" s="257"/>
      <c r="AZ146" s="257"/>
      <c r="BA146" s="258"/>
      <c r="BB146" s="259"/>
      <c r="BC146" s="260">
        <v>0</v>
      </c>
      <c r="BD146" s="255"/>
    </row>
    <row r="147" spans="1:56" s="27" customFormat="1" ht="15" customHeight="1" x14ac:dyDescent="0.25">
      <c r="A147" s="26"/>
      <c r="B147" s="26"/>
      <c r="BB147" s="178"/>
      <c r="BC147" s="198">
        <v>0</v>
      </c>
      <c r="BD147" s="199"/>
    </row>
    <row r="148" spans="1:56" x14ac:dyDescent="0.2">
      <c r="B148" s="88" t="s">
        <v>48</v>
      </c>
      <c r="H148" s="107"/>
      <c r="I148" s="107"/>
      <c r="J148" s="107"/>
      <c r="K148" s="107"/>
      <c r="L148" s="107"/>
      <c r="M148" s="107"/>
      <c r="N148" s="107"/>
      <c r="O148" s="107"/>
      <c r="P148" s="107"/>
      <c r="Q148" s="107"/>
      <c r="R148" s="112">
        <v>231.42699999999999</v>
      </c>
      <c r="S148" s="107"/>
      <c r="T148" s="107"/>
      <c r="U148" s="107"/>
      <c r="V148" s="107"/>
      <c r="W148" s="112">
        <v>629.20799999999997</v>
      </c>
      <c r="X148" s="107"/>
      <c r="Y148" s="107"/>
      <c r="Z148" s="107"/>
      <c r="AA148" s="107"/>
      <c r="AB148" s="112">
        <v>169.31</v>
      </c>
      <c r="AC148" s="112"/>
      <c r="AD148" s="112"/>
      <c r="AE148" s="112"/>
      <c r="AF148" s="112"/>
      <c r="AG148" s="112">
        <v>73.884</v>
      </c>
      <c r="AH148" s="112"/>
      <c r="AI148" s="112"/>
      <c r="AJ148" s="112"/>
      <c r="AK148" s="112"/>
      <c r="AL148" s="112">
        <v>99.76</v>
      </c>
      <c r="AM148" s="107"/>
      <c r="AN148" s="107"/>
      <c r="AO148" s="107"/>
      <c r="AP148" s="107"/>
      <c r="AQ148" s="107">
        <f ca="1">AQ231</f>
        <v>206.49222351744771</v>
      </c>
      <c r="AR148" s="107"/>
      <c r="AS148" s="107"/>
      <c r="AT148" s="107"/>
      <c r="AU148" s="107"/>
      <c r="AV148" s="107">
        <f ca="1">AV231</f>
        <v>255.22959813779596</v>
      </c>
      <c r="AW148" s="107"/>
      <c r="AX148" s="107"/>
      <c r="AY148" s="107"/>
      <c r="AZ148" s="107"/>
      <c r="BA148" s="107">
        <f ca="1">BA231</f>
        <v>285.7339285995231</v>
      </c>
      <c r="BC148" s="198">
        <v>0</v>
      </c>
      <c r="BD148" s="203"/>
    </row>
    <row r="149" spans="1:56" x14ac:dyDescent="0.2">
      <c r="B149" s="88" t="s">
        <v>49</v>
      </c>
      <c r="H149" s="107"/>
      <c r="I149" s="107"/>
      <c r="J149" s="107"/>
      <c r="K149" s="107"/>
      <c r="L149" s="107"/>
      <c r="M149" s="107"/>
      <c r="N149" s="107"/>
      <c r="O149" s="107"/>
      <c r="P149" s="107"/>
      <c r="Q149" s="107"/>
      <c r="R149" s="112">
        <v>18.460999999999999</v>
      </c>
      <c r="S149" s="107"/>
      <c r="T149" s="107"/>
      <c r="U149" s="107"/>
      <c r="V149" s="107"/>
      <c r="W149" s="112">
        <v>29.523</v>
      </c>
      <c r="X149" s="107"/>
      <c r="Y149" s="107"/>
      <c r="Z149" s="107"/>
      <c r="AA149" s="107"/>
      <c r="AB149" s="112">
        <v>51.61</v>
      </c>
      <c r="AC149" s="112"/>
      <c r="AD149" s="112"/>
      <c r="AE149" s="112"/>
      <c r="AF149" s="112"/>
      <c r="AG149" s="112">
        <v>58.823</v>
      </c>
      <c r="AH149" s="112"/>
      <c r="AI149" s="112"/>
      <c r="AJ149" s="112"/>
      <c r="AK149" s="112"/>
      <c r="AL149" s="112">
        <v>63.802999999999997</v>
      </c>
      <c r="AM149" s="107"/>
      <c r="AN149" s="107"/>
      <c r="AO149" s="107"/>
      <c r="AP149" s="107"/>
      <c r="AQ149" s="107">
        <f>(AQ51*AQ193)/360</f>
        <v>63.339157222222227</v>
      </c>
      <c r="AR149" s="107"/>
      <c r="AS149" s="107"/>
      <c r="AT149" s="107"/>
      <c r="AU149" s="107"/>
      <c r="AV149" s="107">
        <f>(AV51*AV193)/360</f>
        <v>66.032989084444452</v>
      </c>
      <c r="AW149" s="107"/>
      <c r="AX149" s="107"/>
      <c r="AY149" s="107"/>
      <c r="AZ149" s="107"/>
      <c r="BA149" s="107">
        <f>(BA51*BA193)/360</f>
        <v>67.615861512988886</v>
      </c>
      <c r="BC149" s="198">
        <v>0</v>
      </c>
      <c r="BD149" s="203"/>
    </row>
    <row r="150" spans="1:56" x14ac:dyDescent="0.2">
      <c r="B150" s="88" t="s">
        <v>50</v>
      </c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12">
        <v>20.972999999999999</v>
      </c>
      <c r="S150" s="107"/>
      <c r="T150" s="107"/>
      <c r="U150" s="107"/>
      <c r="V150" s="107"/>
      <c r="W150" s="112">
        <v>22.28</v>
      </c>
      <c r="X150" s="107"/>
      <c r="Y150" s="107"/>
      <c r="Z150" s="107"/>
      <c r="AA150" s="107"/>
      <c r="AB150" s="112">
        <v>22.17</v>
      </c>
      <c r="AC150" s="112"/>
      <c r="AD150" s="112"/>
      <c r="AE150" s="112"/>
      <c r="AF150" s="112"/>
      <c r="AG150" s="112">
        <v>21.099</v>
      </c>
      <c r="AH150" s="112"/>
      <c r="AI150" s="112"/>
      <c r="AJ150" s="112"/>
      <c r="AK150" s="112"/>
      <c r="AL150" s="112">
        <v>21.535</v>
      </c>
      <c r="AM150" s="107"/>
      <c r="AN150" s="107"/>
      <c r="AO150" s="107"/>
      <c r="AP150" s="107"/>
      <c r="AQ150" s="107">
        <f>(AQ51*AQ194)/360</f>
        <v>22.354996666666668</v>
      </c>
      <c r="AR150" s="107"/>
      <c r="AS150" s="107"/>
      <c r="AT150" s="107"/>
      <c r="AU150" s="107"/>
      <c r="AV150" s="107">
        <f>(AV51*AV194)/360</f>
        <v>23.305760853333336</v>
      </c>
      <c r="AW150" s="107"/>
      <c r="AX150" s="107"/>
      <c r="AY150" s="107"/>
      <c r="AZ150" s="107"/>
      <c r="BA150" s="107">
        <f>(BA51*BA194)/360</f>
        <v>23.864421710466665</v>
      </c>
      <c r="BC150" s="198">
        <v>0</v>
      </c>
      <c r="BD150" s="203"/>
    </row>
    <row r="151" spans="1:56" x14ac:dyDescent="0.2">
      <c r="B151" s="88" t="s">
        <v>51</v>
      </c>
      <c r="H151" s="107"/>
      <c r="I151" s="107"/>
      <c r="J151" s="107"/>
      <c r="K151" s="107"/>
      <c r="L151" s="107"/>
      <c r="M151" s="107"/>
      <c r="N151" s="107"/>
      <c r="O151" s="107"/>
      <c r="P151" s="107"/>
      <c r="Q151" s="107"/>
      <c r="R151" s="112">
        <v>38.667999999999999</v>
      </c>
      <c r="S151" s="107"/>
      <c r="T151" s="107"/>
      <c r="U151" s="107"/>
      <c r="V151" s="107"/>
      <c r="W151" s="112">
        <v>37.49</v>
      </c>
      <c r="X151" s="107"/>
      <c r="Y151" s="107"/>
      <c r="Z151" s="107"/>
      <c r="AA151" s="107"/>
      <c r="AB151" s="112">
        <v>39</v>
      </c>
      <c r="AC151" s="112"/>
      <c r="AD151" s="112"/>
      <c r="AE151" s="112"/>
      <c r="AF151" s="112"/>
      <c r="AG151" s="112">
        <v>44.7</v>
      </c>
      <c r="AH151" s="112"/>
      <c r="AI151" s="112"/>
      <c r="AJ151" s="112"/>
      <c r="AK151" s="112"/>
      <c r="AL151" s="112">
        <v>42.878999999999998</v>
      </c>
      <c r="AM151" s="107"/>
      <c r="AN151" s="107"/>
      <c r="AO151" s="107"/>
      <c r="AP151" s="107"/>
      <c r="AQ151" s="107">
        <f>AL151*(1+AQ$52)</f>
        <v>45.503493149347506</v>
      </c>
      <c r="AR151" s="107"/>
      <c r="AS151" s="107"/>
      <c r="AT151" s="107"/>
      <c r="AU151" s="107"/>
      <c r="AV151" s="107">
        <f>AQ151*(1+AV$52)</f>
        <v>47.438769289161968</v>
      </c>
      <c r="AW151" s="107"/>
      <c r="AX151" s="107"/>
      <c r="AY151" s="107"/>
      <c r="AZ151" s="107"/>
      <c r="BA151" s="107">
        <f>AV151*(1+BA$52)</f>
        <v>48.57592090069766</v>
      </c>
      <c r="BC151" s="198">
        <v>0</v>
      </c>
      <c r="BD151" s="203"/>
    </row>
    <row r="152" spans="1:56" s="137" customFormat="1" x14ac:dyDescent="0.2">
      <c r="A152" s="140"/>
      <c r="B152" s="137" t="s">
        <v>52</v>
      </c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>
        <v>0</v>
      </c>
      <c r="S152" s="139"/>
      <c r="T152" s="139"/>
      <c r="U152" s="139"/>
      <c r="V152" s="139"/>
      <c r="W152" s="136">
        <v>44.972999999999999</v>
      </c>
      <c r="X152" s="139"/>
      <c r="Y152" s="139"/>
      <c r="Z152" s="139"/>
      <c r="AA152" s="139"/>
      <c r="AB152" s="136">
        <v>71.760000000000005</v>
      </c>
      <c r="AC152" s="136"/>
      <c r="AD152" s="136"/>
      <c r="AE152" s="136"/>
      <c r="AF152" s="136"/>
      <c r="AG152" s="136">
        <v>102.413</v>
      </c>
      <c r="AH152" s="136"/>
      <c r="AI152" s="136"/>
      <c r="AJ152" s="136"/>
      <c r="AK152" s="136"/>
      <c r="AL152" s="136">
        <v>0</v>
      </c>
      <c r="AM152" s="139"/>
      <c r="AN152" s="139"/>
      <c r="AO152" s="139"/>
      <c r="AP152" s="139"/>
      <c r="AQ152" s="139">
        <v>0</v>
      </c>
      <c r="AR152" s="139"/>
      <c r="AS152" s="139"/>
      <c r="AT152" s="139"/>
      <c r="AU152" s="139"/>
      <c r="AV152" s="139">
        <v>0</v>
      </c>
      <c r="AW152" s="139"/>
      <c r="AX152" s="139"/>
      <c r="AY152" s="139"/>
      <c r="AZ152" s="139"/>
      <c r="BA152" s="139">
        <v>0</v>
      </c>
      <c r="BB152" s="195"/>
      <c r="BC152" s="198">
        <v>0</v>
      </c>
      <c r="BD152" s="204"/>
    </row>
    <row r="153" spans="1:56" x14ac:dyDescent="0.2">
      <c r="B153" s="106" t="s">
        <v>53</v>
      </c>
      <c r="H153" s="107"/>
      <c r="I153" s="107"/>
      <c r="J153" s="107"/>
      <c r="K153" s="107"/>
      <c r="L153" s="107"/>
      <c r="M153" s="107"/>
      <c r="N153" s="107"/>
      <c r="O153" s="107"/>
      <c r="P153" s="107"/>
      <c r="Q153" s="107"/>
      <c r="R153" s="107">
        <f>SUM(R148:R152)</f>
        <v>309.529</v>
      </c>
      <c r="S153" s="107"/>
      <c r="T153" s="107"/>
      <c r="U153" s="107"/>
      <c r="V153" s="107"/>
      <c r="W153" s="107">
        <f>SUM(W148:W152)</f>
        <v>763.47399999999993</v>
      </c>
      <c r="X153" s="107"/>
      <c r="Y153" s="107"/>
      <c r="Z153" s="107"/>
      <c r="AA153" s="107"/>
      <c r="AB153" s="107">
        <f>SUM(AB148:AB152)</f>
        <v>353.85</v>
      </c>
      <c r="AC153" s="107"/>
      <c r="AD153" s="107"/>
      <c r="AE153" s="107"/>
      <c r="AF153" s="107"/>
      <c r="AG153" s="107">
        <f>SUM(AG148:AG152)</f>
        <v>300.91899999999998</v>
      </c>
      <c r="AH153" s="107"/>
      <c r="AI153" s="107"/>
      <c r="AJ153" s="107"/>
      <c r="AK153" s="107"/>
      <c r="AL153" s="107">
        <f>SUM(AL148:AL152)</f>
        <v>227.97699999999998</v>
      </c>
      <c r="AM153" s="107">
        <f t="shared" ref="AM153:AZ153" si="451">SUM(AM148:AM152)</f>
        <v>0</v>
      </c>
      <c r="AN153" s="107">
        <f t="shared" si="451"/>
        <v>0</v>
      </c>
      <c r="AO153" s="107">
        <f t="shared" si="451"/>
        <v>0</v>
      </c>
      <c r="AP153" s="107">
        <f t="shared" si="451"/>
        <v>0</v>
      </c>
      <c r="AQ153" s="107">
        <f ca="1">SUM(AQ148:AQ152)</f>
        <v>337.68987055568414</v>
      </c>
      <c r="AR153" s="107">
        <f t="shared" si="451"/>
        <v>0</v>
      </c>
      <c r="AS153" s="107">
        <f t="shared" si="451"/>
        <v>0</v>
      </c>
      <c r="AT153" s="107">
        <f t="shared" si="451"/>
        <v>0</v>
      </c>
      <c r="AU153" s="107">
        <f t="shared" si="451"/>
        <v>0</v>
      </c>
      <c r="AV153" s="107">
        <f ca="1">SUM(AV148:AV152)</f>
        <v>392.00711736473568</v>
      </c>
      <c r="AW153" s="107">
        <f t="shared" si="451"/>
        <v>0</v>
      </c>
      <c r="AX153" s="107">
        <f t="shared" si="451"/>
        <v>0</v>
      </c>
      <c r="AY153" s="107">
        <f t="shared" si="451"/>
        <v>0</v>
      </c>
      <c r="AZ153" s="107">
        <f t="shared" si="451"/>
        <v>0</v>
      </c>
      <c r="BA153" s="107">
        <f ca="1">SUM(BA148:BA152)</f>
        <v>425.79013272367632</v>
      </c>
      <c r="BC153" s="198">
        <v>0</v>
      </c>
      <c r="BD153" s="203"/>
    </row>
    <row r="154" spans="1:56" x14ac:dyDescent="0.2">
      <c r="B154" s="106"/>
      <c r="H154" s="107"/>
      <c r="I154" s="107"/>
      <c r="J154" s="107"/>
      <c r="K154" s="107"/>
      <c r="L154" s="107"/>
      <c r="M154" s="107"/>
      <c r="N154" s="107"/>
      <c r="O154" s="107"/>
      <c r="P154" s="107"/>
      <c r="Q154" s="107"/>
      <c r="R154" s="107"/>
      <c r="S154" s="107"/>
      <c r="T154" s="107"/>
      <c r="U154" s="107"/>
      <c r="V154" s="107"/>
      <c r="W154" s="107"/>
      <c r="X154" s="107"/>
      <c r="Y154" s="107"/>
      <c r="Z154" s="107"/>
      <c r="AA154" s="107"/>
      <c r="AB154" s="107"/>
      <c r="AC154" s="107"/>
      <c r="AD154" s="107"/>
      <c r="AE154" s="107"/>
      <c r="AF154" s="107"/>
      <c r="AG154" s="107"/>
      <c r="AH154" s="107"/>
      <c r="AI154" s="107"/>
      <c r="AJ154" s="107"/>
      <c r="AK154" s="107"/>
      <c r="AL154" s="107"/>
      <c r="AM154" s="107"/>
      <c r="AN154" s="107"/>
      <c r="AO154" s="107"/>
      <c r="AP154" s="107"/>
      <c r="AQ154" s="107"/>
      <c r="AR154" s="107"/>
      <c r="AS154" s="107"/>
      <c r="AT154" s="107"/>
      <c r="AU154" s="107"/>
      <c r="AV154" s="107"/>
      <c r="AW154" s="107"/>
      <c r="AX154" s="107"/>
      <c r="AY154" s="107"/>
      <c r="AZ154" s="107"/>
      <c r="BA154" s="107"/>
      <c r="BC154" s="198">
        <v>0</v>
      </c>
      <c r="BD154" s="203"/>
    </row>
    <row r="155" spans="1:56" x14ac:dyDescent="0.2">
      <c r="B155" s="88" t="s">
        <v>54</v>
      </c>
      <c r="H155" s="107"/>
      <c r="I155" s="107"/>
      <c r="J155" s="107"/>
      <c r="K155" s="107"/>
      <c r="L155" s="107"/>
      <c r="M155" s="107"/>
      <c r="N155" s="107"/>
      <c r="O155" s="107"/>
      <c r="P155" s="107"/>
      <c r="Q155" s="107"/>
      <c r="R155" s="112">
        <v>1291.837</v>
      </c>
      <c r="S155" s="107"/>
      <c r="T155" s="107"/>
      <c r="U155" s="107"/>
      <c r="V155" s="107"/>
      <c r="W155" s="112">
        <v>1254.6289999999999</v>
      </c>
      <c r="X155" s="107"/>
      <c r="Y155" s="107"/>
      <c r="Z155" s="107"/>
      <c r="AA155" s="107"/>
      <c r="AB155" s="112">
        <v>1231.683</v>
      </c>
      <c r="AC155" s="112"/>
      <c r="AD155" s="112"/>
      <c r="AE155" s="112"/>
      <c r="AF155" s="112"/>
      <c r="AG155" s="112">
        <v>1218.106</v>
      </c>
      <c r="AH155" s="112"/>
      <c r="AI155" s="112"/>
      <c r="AJ155" s="112"/>
      <c r="AK155" s="112"/>
      <c r="AL155" s="112">
        <v>1198.154</v>
      </c>
      <c r="AM155" s="107"/>
      <c r="AN155" s="107"/>
      <c r="AO155" s="107"/>
      <c r="AP155" s="107"/>
      <c r="AQ155" s="107">
        <f>AL155-AQ215-AQ69</f>
        <v>1222.3604989999999</v>
      </c>
      <c r="AR155" s="107"/>
      <c r="AS155" s="107"/>
      <c r="AT155" s="107"/>
      <c r="AU155" s="107"/>
      <c r="AV155" s="107">
        <f>AQ155-AV215-AV69</f>
        <v>1229.3522272559999</v>
      </c>
      <c r="AW155" s="107"/>
      <c r="AX155" s="107"/>
      <c r="AY155" s="107"/>
      <c r="AZ155" s="107"/>
      <c r="BA155" s="107">
        <f>AV155-BA215-BA69</f>
        <v>1236.5115537691397</v>
      </c>
      <c r="BC155" s="198">
        <v>0</v>
      </c>
      <c r="BD155" s="203"/>
    </row>
    <row r="156" spans="1:56" x14ac:dyDescent="0.2">
      <c r="B156" s="88" t="s">
        <v>55</v>
      </c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12">
        <v>13.026</v>
      </c>
      <c r="S156" s="107"/>
      <c r="T156" s="107"/>
      <c r="U156" s="107"/>
      <c r="V156" s="107"/>
      <c r="W156" s="112">
        <v>26.042999999999999</v>
      </c>
      <c r="X156" s="107"/>
      <c r="Y156" s="107"/>
      <c r="Z156" s="107"/>
      <c r="AA156" s="107"/>
      <c r="AB156" s="112">
        <v>23.82</v>
      </c>
      <c r="AC156" s="112"/>
      <c r="AD156" s="112"/>
      <c r="AE156" s="112"/>
      <c r="AF156" s="112"/>
      <c r="AG156" s="112">
        <v>19.062000000000001</v>
      </c>
      <c r="AH156" s="112"/>
      <c r="AI156" s="112"/>
      <c r="AJ156" s="112"/>
      <c r="AK156" s="112"/>
      <c r="AL156" s="112">
        <v>5.3860000000000001</v>
      </c>
      <c r="AM156" s="107"/>
      <c r="AN156" s="107"/>
      <c r="AO156" s="107"/>
      <c r="AP156" s="107"/>
      <c r="AQ156" s="107">
        <f>AL156</f>
        <v>5.3860000000000001</v>
      </c>
      <c r="AR156" s="107">
        <f t="shared" ref="AR156:BA159" si="452">AM156</f>
        <v>0</v>
      </c>
      <c r="AS156" s="107">
        <f t="shared" si="452"/>
        <v>0</v>
      </c>
      <c r="AT156" s="107">
        <f t="shared" si="452"/>
        <v>0</v>
      </c>
      <c r="AU156" s="107">
        <f t="shared" si="452"/>
        <v>0</v>
      </c>
      <c r="AV156" s="107">
        <f t="shared" si="452"/>
        <v>5.3860000000000001</v>
      </c>
      <c r="AW156" s="107">
        <f t="shared" si="452"/>
        <v>0</v>
      </c>
      <c r="AX156" s="107">
        <f t="shared" si="452"/>
        <v>0</v>
      </c>
      <c r="AY156" s="107">
        <f t="shared" si="452"/>
        <v>0</v>
      </c>
      <c r="AZ156" s="107">
        <f t="shared" si="452"/>
        <v>0</v>
      </c>
      <c r="BA156" s="107">
        <f t="shared" si="452"/>
        <v>5.3860000000000001</v>
      </c>
      <c r="BC156" s="198">
        <v>0</v>
      </c>
      <c r="BD156" s="203"/>
    </row>
    <row r="157" spans="1:56" x14ac:dyDescent="0.2">
      <c r="B157" s="88" t="s">
        <v>57</v>
      </c>
      <c r="H157" s="107"/>
      <c r="I157" s="107"/>
      <c r="J157" s="107"/>
      <c r="K157" s="107"/>
      <c r="L157" s="107"/>
      <c r="M157" s="107"/>
      <c r="N157" s="107"/>
      <c r="O157" s="107"/>
      <c r="P157" s="107"/>
      <c r="Q157" s="107"/>
      <c r="R157" s="112">
        <v>0.51300000000000001</v>
      </c>
      <c r="S157" s="107"/>
      <c r="T157" s="107"/>
      <c r="U157" s="107"/>
      <c r="V157" s="107"/>
      <c r="W157" s="112">
        <v>1.218</v>
      </c>
      <c r="X157" s="107"/>
      <c r="Y157" s="107"/>
      <c r="Z157" s="107"/>
      <c r="AA157" s="107"/>
      <c r="AB157" s="112">
        <v>1.823</v>
      </c>
      <c r="AC157" s="112"/>
      <c r="AD157" s="112"/>
      <c r="AE157" s="112"/>
      <c r="AF157" s="112"/>
      <c r="AG157" s="112">
        <v>2.4710000000000001</v>
      </c>
      <c r="AH157" s="112"/>
      <c r="AI157" s="112"/>
      <c r="AJ157" s="112"/>
      <c r="AK157" s="112"/>
      <c r="AL157" s="112">
        <v>3.0379999999999998</v>
      </c>
      <c r="AM157" s="107"/>
      <c r="AN157" s="107"/>
      <c r="AO157" s="107"/>
      <c r="AP157" s="107"/>
      <c r="AQ157" s="107">
        <f>AL157</f>
        <v>3.0379999999999998</v>
      </c>
      <c r="AR157" s="107">
        <f t="shared" si="452"/>
        <v>0</v>
      </c>
      <c r="AS157" s="107">
        <f t="shared" si="452"/>
        <v>0</v>
      </c>
      <c r="AT157" s="107">
        <f t="shared" si="452"/>
        <v>0</v>
      </c>
      <c r="AU157" s="107">
        <f t="shared" si="452"/>
        <v>0</v>
      </c>
      <c r="AV157" s="107">
        <f t="shared" si="452"/>
        <v>3.0379999999999998</v>
      </c>
      <c r="AW157" s="107">
        <f t="shared" si="452"/>
        <v>0</v>
      </c>
      <c r="AX157" s="107">
        <f t="shared" si="452"/>
        <v>0</v>
      </c>
      <c r="AY157" s="107">
        <f t="shared" si="452"/>
        <v>0</v>
      </c>
      <c r="AZ157" s="107">
        <f t="shared" si="452"/>
        <v>0</v>
      </c>
      <c r="BA157" s="107">
        <f t="shared" si="452"/>
        <v>3.0379999999999998</v>
      </c>
      <c r="BC157" s="198">
        <v>0</v>
      </c>
      <c r="BD157" s="203"/>
    </row>
    <row r="158" spans="1:56" x14ac:dyDescent="0.2">
      <c r="B158" s="88" t="s">
        <v>56</v>
      </c>
      <c r="H158" s="107"/>
      <c r="I158" s="107"/>
      <c r="J158" s="107"/>
      <c r="K158" s="107"/>
      <c r="L158" s="107"/>
      <c r="M158" s="107"/>
      <c r="N158" s="107"/>
      <c r="O158" s="107"/>
      <c r="P158" s="107"/>
      <c r="Q158" s="107"/>
      <c r="R158" s="112">
        <v>10.477</v>
      </c>
      <c r="S158" s="107"/>
      <c r="T158" s="107"/>
      <c r="U158" s="107"/>
      <c r="V158" s="107"/>
      <c r="W158" s="112">
        <v>4.2140000000000004</v>
      </c>
      <c r="X158" s="107"/>
      <c r="Y158" s="107"/>
      <c r="Z158" s="107"/>
      <c r="AA158" s="107"/>
      <c r="AB158" s="112">
        <v>4.2679999999999998</v>
      </c>
      <c r="AC158" s="112"/>
      <c r="AD158" s="112"/>
      <c r="AE158" s="112"/>
      <c r="AF158" s="112"/>
      <c r="AG158" s="112">
        <v>4.75</v>
      </c>
      <c r="AH158" s="112"/>
      <c r="AI158" s="112"/>
      <c r="AJ158" s="112"/>
      <c r="AK158" s="112"/>
      <c r="AL158" s="112">
        <v>7.2110000000000003</v>
      </c>
      <c r="AM158" s="107"/>
      <c r="AN158" s="107"/>
      <c r="AO158" s="107"/>
      <c r="AP158" s="107"/>
      <c r="AQ158" s="107">
        <f ca="1">AQ180-AQ160-AQ159-AQ157-AQ156-AQ155-AQ153</f>
        <v>10.765184603991656</v>
      </c>
      <c r="AR158" s="107">
        <f t="shared" si="452"/>
        <v>0</v>
      </c>
      <c r="AS158" s="107">
        <f t="shared" si="452"/>
        <v>0</v>
      </c>
      <c r="AT158" s="107">
        <f t="shared" si="452"/>
        <v>0</v>
      </c>
      <c r="AU158" s="107">
        <f t="shared" si="452"/>
        <v>0</v>
      </c>
      <c r="AV158" s="107">
        <f ca="1">AV180-AV160-AV159-AV157-AV156-AV155-AV153</f>
        <v>13.389693280271786</v>
      </c>
      <c r="AW158" s="107">
        <f t="shared" si="452"/>
        <v>0</v>
      </c>
      <c r="AX158" s="107">
        <f t="shared" si="452"/>
        <v>0</v>
      </c>
      <c r="AY158" s="107">
        <f t="shared" si="452"/>
        <v>0</v>
      </c>
      <c r="AZ158" s="107">
        <f t="shared" si="452"/>
        <v>0</v>
      </c>
      <c r="BA158" s="107">
        <f ca="1">BA180-BA160-BA159-BA157-BA156-BA155-BA153</f>
        <v>14.931832001109626</v>
      </c>
      <c r="BC158" s="198">
        <v>0</v>
      </c>
      <c r="BD158" s="203"/>
    </row>
    <row r="159" spans="1:56" x14ac:dyDescent="0.2">
      <c r="B159" s="88" t="s">
        <v>58</v>
      </c>
      <c r="H159" s="107"/>
      <c r="I159" s="107"/>
      <c r="J159" s="107"/>
      <c r="K159" s="107"/>
      <c r="L159" s="107"/>
      <c r="M159" s="107"/>
      <c r="N159" s="107"/>
      <c r="O159" s="107"/>
      <c r="P159" s="107"/>
      <c r="Q159" s="107"/>
      <c r="R159" s="112">
        <v>630.24800000000005</v>
      </c>
      <c r="S159" s="107"/>
      <c r="T159" s="107"/>
      <c r="U159" s="107"/>
      <c r="V159" s="107"/>
      <c r="W159" s="112">
        <v>630.24800000000005</v>
      </c>
      <c r="X159" s="107"/>
      <c r="Y159" s="107"/>
      <c r="Z159" s="107"/>
      <c r="AA159" s="107"/>
      <c r="AB159" s="112">
        <v>630.24800000000005</v>
      </c>
      <c r="AC159" s="112"/>
      <c r="AD159" s="112"/>
      <c r="AE159" s="112"/>
      <c r="AF159" s="112"/>
      <c r="AG159" s="112">
        <v>630.24800000000005</v>
      </c>
      <c r="AH159" s="112"/>
      <c r="AI159" s="112"/>
      <c r="AJ159" s="112"/>
      <c r="AK159" s="112"/>
      <c r="AL159" s="112">
        <v>630.24800000000005</v>
      </c>
      <c r="AM159" s="107"/>
      <c r="AN159" s="107"/>
      <c r="AO159" s="107"/>
      <c r="AP159" s="107"/>
      <c r="AQ159" s="107">
        <f>AL159</f>
        <v>630.24800000000005</v>
      </c>
      <c r="AR159" s="107">
        <f t="shared" si="452"/>
        <v>0</v>
      </c>
      <c r="AS159" s="107">
        <f t="shared" si="452"/>
        <v>0</v>
      </c>
      <c r="AT159" s="107">
        <f t="shared" si="452"/>
        <v>0</v>
      </c>
      <c r="AU159" s="107">
        <f t="shared" si="452"/>
        <v>0</v>
      </c>
      <c r="AV159" s="107">
        <f t="shared" si="452"/>
        <v>630.24800000000005</v>
      </c>
      <c r="AW159" s="107">
        <f t="shared" si="452"/>
        <v>0</v>
      </c>
      <c r="AX159" s="107">
        <f t="shared" si="452"/>
        <v>0</v>
      </c>
      <c r="AY159" s="107">
        <f t="shared" si="452"/>
        <v>0</v>
      </c>
      <c r="AZ159" s="107">
        <f t="shared" si="452"/>
        <v>0</v>
      </c>
      <c r="BA159" s="107">
        <f t="shared" si="452"/>
        <v>630.24800000000005</v>
      </c>
      <c r="BC159" s="198">
        <v>0</v>
      </c>
      <c r="BD159" s="203"/>
    </row>
    <row r="160" spans="1:56" s="137" customFormat="1" x14ac:dyDescent="0.2">
      <c r="A160" s="140"/>
      <c r="B160" s="137" t="s">
        <v>59</v>
      </c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6">
        <v>392.548</v>
      </c>
      <c r="S160" s="139"/>
      <c r="T160" s="139"/>
      <c r="U160" s="139"/>
      <c r="V160" s="139"/>
      <c r="W160" s="136">
        <v>376.565</v>
      </c>
      <c r="X160" s="139"/>
      <c r="Y160" s="139"/>
      <c r="Z160" s="139"/>
      <c r="AA160" s="139"/>
      <c r="AB160" s="136">
        <v>362.113</v>
      </c>
      <c r="AC160" s="136"/>
      <c r="AD160" s="136"/>
      <c r="AE160" s="136"/>
      <c r="AF160" s="136"/>
      <c r="AG160" s="136">
        <v>359.358</v>
      </c>
      <c r="AH160" s="136"/>
      <c r="AI160" s="136"/>
      <c r="AJ160" s="136"/>
      <c r="AK160" s="136"/>
      <c r="AL160" s="136">
        <v>356.428</v>
      </c>
      <c r="AM160" s="139"/>
      <c r="AN160" s="139"/>
      <c r="AO160" s="139"/>
      <c r="AP160" s="139"/>
      <c r="AQ160" s="139">
        <f>AL160-AQ206</f>
        <v>353.822</v>
      </c>
      <c r="AR160" s="139"/>
      <c r="AS160" s="139"/>
      <c r="AT160" s="139"/>
      <c r="AU160" s="139"/>
      <c r="AV160" s="139">
        <f>AQ160-AV206</f>
        <v>351.33699999999999</v>
      </c>
      <c r="AW160" s="139"/>
      <c r="AX160" s="139"/>
      <c r="AY160" s="139"/>
      <c r="AZ160" s="139"/>
      <c r="BA160" s="139">
        <f>AV160-BA206</f>
        <v>348.90100000000001</v>
      </c>
      <c r="BB160" s="195"/>
      <c r="BC160" s="198">
        <v>0</v>
      </c>
      <c r="BD160" s="204"/>
    </row>
    <row r="161" spans="1:56" x14ac:dyDescent="0.2">
      <c r="B161" s="106" t="s">
        <v>60</v>
      </c>
      <c r="H161" s="107"/>
      <c r="I161" s="107"/>
      <c r="J161" s="107"/>
      <c r="K161" s="107"/>
      <c r="L161" s="107"/>
      <c r="M161" s="107"/>
      <c r="N161" s="107"/>
      <c r="O161" s="107"/>
      <c r="P161" s="107"/>
      <c r="Q161" s="107"/>
      <c r="R161" s="107">
        <f>SUM(R153:R160)</f>
        <v>2648.1779999999999</v>
      </c>
      <c r="S161" s="107"/>
      <c r="T161" s="107"/>
      <c r="U161" s="107"/>
      <c r="V161" s="107"/>
      <c r="W161" s="107">
        <f>SUM(W153:W160)</f>
        <v>3056.3910000000001</v>
      </c>
      <c r="X161" s="107"/>
      <c r="Y161" s="107"/>
      <c r="Z161" s="107"/>
      <c r="AA161" s="107"/>
      <c r="AB161" s="107">
        <f>SUM(AB153:AB160)</f>
        <v>2607.8049999999998</v>
      </c>
      <c r="AC161" s="107">
        <f t="shared" ref="AC161:AZ161" si="453">SUM(AC153:AC160)</f>
        <v>0</v>
      </c>
      <c r="AD161" s="107">
        <f t="shared" si="453"/>
        <v>0</v>
      </c>
      <c r="AE161" s="107">
        <f t="shared" si="453"/>
        <v>0</v>
      </c>
      <c r="AF161" s="107">
        <f t="shared" si="453"/>
        <v>0</v>
      </c>
      <c r="AG161" s="107">
        <f t="shared" si="453"/>
        <v>2534.9140000000002</v>
      </c>
      <c r="AH161" s="107">
        <f t="shared" si="453"/>
        <v>0</v>
      </c>
      <c r="AI161" s="107">
        <f t="shared" si="453"/>
        <v>0</v>
      </c>
      <c r="AJ161" s="107">
        <f t="shared" si="453"/>
        <v>0</v>
      </c>
      <c r="AK161" s="107">
        <f t="shared" si="453"/>
        <v>0</v>
      </c>
      <c r="AL161" s="107">
        <f t="shared" si="453"/>
        <v>2428.442</v>
      </c>
      <c r="AM161" s="107">
        <f t="shared" si="453"/>
        <v>0</v>
      </c>
      <c r="AN161" s="107">
        <f t="shared" si="453"/>
        <v>0</v>
      </c>
      <c r="AO161" s="107">
        <f t="shared" si="453"/>
        <v>0</v>
      </c>
      <c r="AP161" s="107">
        <f t="shared" si="453"/>
        <v>0</v>
      </c>
      <c r="AQ161" s="107">
        <f ca="1">SUM(AQ153:AQ160)</f>
        <v>2563.3095541596758</v>
      </c>
      <c r="AR161" s="107">
        <f t="shared" si="453"/>
        <v>0</v>
      </c>
      <c r="AS161" s="107">
        <f t="shared" si="453"/>
        <v>0</v>
      </c>
      <c r="AT161" s="107">
        <f t="shared" si="453"/>
        <v>0</v>
      </c>
      <c r="AU161" s="107">
        <f t="shared" si="453"/>
        <v>0</v>
      </c>
      <c r="AV161" s="107">
        <f ca="1">SUM(AV153:AV160)</f>
        <v>2624.7580379010074</v>
      </c>
      <c r="AW161" s="107">
        <f t="shared" si="453"/>
        <v>0</v>
      </c>
      <c r="AX161" s="107">
        <f t="shared" si="453"/>
        <v>0</v>
      </c>
      <c r="AY161" s="107">
        <f t="shared" si="453"/>
        <v>0</v>
      </c>
      <c r="AZ161" s="107">
        <f t="shared" si="453"/>
        <v>0</v>
      </c>
      <c r="BA161" s="107">
        <f ca="1">SUM(BA153:BA160)</f>
        <v>2664.8065184939255</v>
      </c>
      <c r="BC161" s="198">
        <v>0</v>
      </c>
      <c r="BD161" s="203"/>
    </row>
    <row r="162" spans="1:56" x14ac:dyDescent="0.2"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  <c r="V162" s="107"/>
      <c r="W162" s="107"/>
      <c r="X162" s="107"/>
      <c r="Y162" s="107"/>
      <c r="Z162" s="107"/>
      <c r="AA162" s="107"/>
      <c r="AB162" s="107"/>
      <c r="AC162" s="107"/>
      <c r="AD162" s="107"/>
      <c r="AE162" s="107"/>
      <c r="AF162" s="107"/>
      <c r="AG162" s="107"/>
      <c r="AH162" s="107"/>
      <c r="AI162" s="107"/>
      <c r="AJ162" s="107"/>
      <c r="AK162" s="107"/>
      <c r="AL162" s="107"/>
      <c r="AM162" s="107"/>
      <c r="AN162" s="107"/>
      <c r="AO162" s="107"/>
      <c r="AP162" s="107"/>
      <c r="AQ162" s="124"/>
      <c r="AR162" s="107"/>
      <c r="AS162" s="107"/>
      <c r="AT162" s="107"/>
      <c r="AU162" s="107"/>
      <c r="AV162" s="107"/>
      <c r="AW162" s="107"/>
      <c r="AX162" s="107"/>
      <c r="AY162" s="107"/>
      <c r="AZ162" s="107"/>
      <c r="BA162" s="107"/>
      <c r="BC162" s="198">
        <v>0</v>
      </c>
      <c r="BD162" s="203"/>
    </row>
    <row r="163" spans="1:56" x14ac:dyDescent="0.2">
      <c r="B163" s="88" t="s">
        <v>61</v>
      </c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12">
        <v>23.823</v>
      </c>
      <c r="S163" s="112"/>
      <c r="T163" s="112"/>
      <c r="U163" s="112"/>
      <c r="V163" s="112"/>
      <c r="W163" s="112">
        <v>23.58</v>
      </c>
      <c r="X163" s="112"/>
      <c r="Y163" s="112"/>
      <c r="Z163" s="112"/>
      <c r="AA163" s="112"/>
      <c r="AB163" s="112">
        <v>24.46</v>
      </c>
      <c r="AC163" s="112"/>
      <c r="AD163" s="112"/>
      <c r="AE163" s="112"/>
      <c r="AF163" s="112"/>
      <c r="AG163" s="112">
        <v>19.315000000000001</v>
      </c>
      <c r="AH163" s="112"/>
      <c r="AI163" s="112"/>
      <c r="AJ163" s="112"/>
      <c r="AK163" s="112"/>
      <c r="AL163" s="112">
        <v>25.57</v>
      </c>
      <c r="AM163" s="107"/>
      <c r="AN163" s="107"/>
      <c r="AO163" s="107"/>
      <c r="AP163" s="107"/>
      <c r="AQ163" s="107">
        <f>AQ64*AQ195/360</f>
        <v>23.335321816666667</v>
      </c>
      <c r="AR163" s="107"/>
      <c r="AS163" s="107"/>
      <c r="AT163" s="107"/>
      <c r="AU163" s="107"/>
      <c r="AV163" s="107">
        <f>AV64*AV195/360</f>
        <v>24.183384388533337</v>
      </c>
      <c r="AW163" s="107"/>
      <c r="AX163" s="107"/>
      <c r="AY163" s="107"/>
      <c r="AZ163" s="107"/>
      <c r="BA163" s="107">
        <f>BA64*BA195/360</f>
        <v>23.844213752131665</v>
      </c>
      <c r="BC163" s="198">
        <v>0</v>
      </c>
      <c r="BD163" s="203"/>
    </row>
    <row r="164" spans="1:56" x14ac:dyDescent="0.2">
      <c r="B164" s="88" t="s">
        <v>62</v>
      </c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12">
        <v>59.441000000000003</v>
      </c>
      <c r="S164" s="112"/>
      <c r="T164" s="112"/>
      <c r="U164" s="112"/>
      <c r="V164" s="112"/>
      <c r="W164" s="112">
        <v>35.948999999999998</v>
      </c>
      <c r="X164" s="112"/>
      <c r="Y164" s="112"/>
      <c r="Z164" s="112"/>
      <c r="AA164" s="112"/>
      <c r="AB164" s="112">
        <v>29.27</v>
      </c>
      <c r="AC164" s="112"/>
      <c r="AD164" s="112"/>
      <c r="AE164" s="112"/>
      <c r="AF164" s="112"/>
      <c r="AG164" s="112">
        <v>37.463000000000001</v>
      </c>
      <c r="AH164" s="112"/>
      <c r="AI164" s="112"/>
      <c r="AJ164" s="112"/>
      <c r="AK164" s="112"/>
      <c r="AL164" s="112">
        <v>46.582999999999998</v>
      </c>
      <c r="AM164" s="107"/>
      <c r="AN164" s="107"/>
      <c r="AO164" s="107"/>
      <c r="AP164" s="107"/>
      <c r="AQ164" s="107">
        <f>AL164*(1+AQ$52)</f>
        <v>49.434203721543298</v>
      </c>
      <c r="AR164" s="107"/>
      <c r="AS164" s="107"/>
      <c r="AT164" s="107"/>
      <c r="AU164" s="107"/>
      <c r="AV164" s="107">
        <f>AQ164*(1+AV$52)</f>
        <v>51.536654068355894</v>
      </c>
      <c r="AW164" s="107"/>
      <c r="AX164" s="107"/>
      <c r="AY164" s="107"/>
      <c r="AZ164" s="107"/>
      <c r="BA164" s="107">
        <f>AV164*(1+BA$52)</f>
        <v>52.772035805807029</v>
      </c>
      <c r="BC164" s="198">
        <v>0</v>
      </c>
      <c r="BD164" s="203"/>
    </row>
    <row r="165" spans="1:56" x14ac:dyDescent="0.2">
      <c r="B165" s="88" t="s">
        <v>63</v>
      </c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12">
        <v>34.128</v>
      </c>
      <c r="S165" s="112"/>
      <c r="T165" s="112"/>
      <c r="U165" s="112"/>
      <c r="V165" s="112"/>
      <c r="W165" s="112">
        <v>35.369</v>
      </c>
      <c r="X165" s="112"/>
      <c r="Y165" s="112"/>
      <c r="Z165" s="112"/>
      <c r="AA165" s="112"/>
      <c r="AB165" s="112">
        <v>50.77</v>
      </c>
      <c r="AC165" s="112"/>
      <c r="AD165" s="112"/>
      <c r="AE165" s="112"/>
      <c r="AF165" s="112"/>
      <c r="AG165" s="112">
        <v>41.276000000000003</v>
      </c>
      <c r="AH165" s="112"/>
      <c r="AI165" s="112"/>
      <c r="AJ165" s="112"/>
      <c r="AK165" s="112"/>
      <c r="AL165" s="112">
        <v>40.795999999999999</v>
      </c>
      <c r="AM165" s="107"/>
      <c r="AN165" s="107"/>
      <c r="AO165" s="107"/>
      <c r="AP165" s="107"/>
      <c r="AQ165" s="107">
        <f>AL165*(1+AQ$52)</f>
        <v>43.292999055966348</v>
      </c>
      <c r="AR165" s="107"/>
      <c r="AS165" s="107"/>
      <c r="AT165" s="107"/>
      <c r="AU165" s="107"/>
      <c r="AV165" s="107">
        <f>AQ165*(1+AV$52)</f>
        <v>45.134262271056976</v>
      </c>
      <c r="AW165" s="107"/>
      <c r="AX165" s="107"/>
      <c r="AY165" s="107"/>
      <c r="AZ165" s="107"/>
      <c r="BA165" s="107">
        <f>AV165*(1+BA$52)</f>
        <v>46.21617269677143</v>
      </c>
      <c r="BC165" s="198">
        <v>0</v>
      </c>
      <c r="BD165" s="203"/>
    </row>
    <row r="166" spans="1:56" x14ac:dyDescent="0.2">
      <c r="B166" s="88" t="s">
        <v>64</v>
      </c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12">
        <v>1.071</v>
      </c>
      <c r="S166" s="112"/>
      <c r="T166" s="112"/>
      <c r="U166" s="112"/>
      <c r="V166" s="112"/>
      <c r="W166" s="112">
        <v>2.359</v>
      </c>
      <c r="X166" s="112"/>
      <c r="Y166" s="112"/>
      <c r="Z166" s="112"/>
      <c r="AA166" s="112"/>
      <c r="AB166" s="112">
        <v>19.597999999999999</v>
      </c>
      <c r="AC166" s="112"/>
      <c r="AD166" s="112"/>
      <c r="AE166" s="112"/>
      <c r="AF166" s="112"/>
      <c r="AG166" s="112">
        <v>19.542000000000002</v>
      </c>
      <c r="AH166" s="112"/>
      <c r="AI166" s="112"/>
      <c r="AJ166" s="112"/>
      <c r="AK166" s="112"/>
      <c r="AL166" s="112">
        <v>19.555</v>
      </c>
      <c r="AM166" s="107"/>
      <c r="AN166" s="107"/>
      <c r="AO166" s="107"/>
      <c r="AP166" s="107"/>
      <c r="AQ166" s="107">
        <f>AL166</f>
        <v>19.555</v>
      </c>
      <c r="AR166" s="107"/>
      <c r="AS166" s="107"/>
      <c r="AT166" s="107"/>
      <c r="AU166" s="107"/>
      <c r="AV166" s="107">
        <f>AQ166</f>
        <v>19.555</v>
      </c>
      <c r="AW166" s="107"/>
      <c r="AX166" s="107"/>
      <c r="AY166" s="107"/>
      <c r="AZ166" s="107"/>
      <c r="BA166" s="107">
        <f>AV166</f>
        <v>19.555</v>
      </c>
      <c r="BC166" s="198">
        <v>0</v>
      </c>
      <c r="BD166" s="203"/>
    </row>
    <row r="167" spans="1:56" x14ac:dyDescent="0.2">
      <c r="B167" s="88" t="s">
        <v>65</v>
      </c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12">
        <v>29.834</v>
      </c>
      <c r="S167" s="112"/>
      <c r="T167" s="112"/>
      <c r="U167" s="112"/>
      <c r="V167" s="112"/>
      <c r="W167" s="112">
        <v>25.663</v>
      </c>
      <c r="X167" s="112"/>
      <c r="Y167" s="112"/>
      <c r="Z167" s="112"/>
      <c r="AA167" s="112"/>
      <c r="AB167" s="112">
        <v>25.988</v>
      </c>
      <c r="AC167" s="112"/>
      <c r="AD167" s="112"/>
      <c r="AE167" s="112"/>
      <c r="AF167" s="112"/>
      <c r="AG167" s="112">
        <v>36.176000000000002</v>
      </c>
      <c r="AH167" s="112"/>
      <c r="AI167" s="112"/>
      <c r="AJ167" s="112"/>
      <c r="AK167" s="112"/>
      <c r="AL167" s="112">
        <v>34.713999999999999</v>
      </c>
      <c r="AM167" s="107"/>
      <c r="AN167" s="107"/>
      <c r="AO167" s="107"/>
      <c r="AP167" s="107"/>
      <c r="AQ167" s="107">
        <f>AL167*(1+AQ$52)</f>
        <v>36.838738337798212</v>
      </c>
      <c r="AR167" s="107"/>
      <c r="AS167" s="107"/>
      <c r="AT167" s="107"/>
      <c r="AU167" s="107"/>
      <c r="AV167" s="107">
        <f>AQ167*(1+AV$52)</f>
        <v>38.405500060728301</v>
      </c>
      <c r="AW167" s="107"/>
      <c r="AX167" s="107"/>
      <c r="AY167" s="107"/>
      <c r="AZ167" s="107"/>
      <c r="BA167" s="107">
        <f>AV167*(1+BA$52)</f>
        <v>39.326115771049203</v>
      </c>
      <c r="BC167" s="198">
        <v>0</v>
      </c>
      <c r="BD167" s="203"/>
    </row>
    <row r="168" spans="1:56" x14ac:dyDescent="0.2">
      <c r="B168" s="88" t="s">
        <v>66</v>
      </c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12">
        <v>38.155999999999999</v>
      </c>
      <c r="S168" s="112"/>
      <c r="T168" s="112"/>
      <c r="U168" s="112"/>
      <c r="V168" s="112"/>
      <c r="W168" s="112">
        <v>52.703000000000003</v>
      </c>
      <c r="X168" s="112"/>
      <c r="Y168" s="112"/>
      <c r="Z168" s="112"/>
      <c r="AA168" s="112"/>
      <c r="AB168" s="112">
        <v>60.442999999999998</v>
      </c>
      <c r="AC168" s="112"/>
      <c r="AD168" s="112"/>
      <c r="AE168" s="112"/>
      <c r="AF168" s="112"/>
      <c r="AG168" s="112">
        <v>71.597999999999999</v>
      </c>
      <c r="AH168" s="112"/>
      <c r="AI168" s="112"/>
      <c r="AJ168" s="112"/>
      <c r="AK168" s="112"/>
      <c r="AL168" s="112">
        <v>97.334000000000003</v>
      </c>
      <c r="AM168" s="107"/>
      <c r="AN168" s="107"/>
      <c r="AO168" s="107"/>
      <c r="AP168" s="107"/>
      <c r="AQ168" s="107">
        <f>AL168*(1+AQ$52)</f>
        <v>103.2915180437648</v>
      </c>
      <c r="AR168" s="107"/>
      <c r="AS168" s="107"/>
      <c r="AT168" s="107"/>
      <c r="AU168" s="107"/>
      <c r="AV168" s="107">
        <f>AQ168*(1+AV$52)</f>
        <v>107.68453485368809</v>
      </c>
      <c r="AW168" s="107"/>
      <c r="AX168" s="107"/>
      <c r="AY168" s="107"/>
      <c r="AZ168" s="107"/>
      <c r="BA168" s="107">
        <f>AV168*(1+BA$52)</f>
        <v>110.26583374025762</v>
      </c>
      <c r="BC168" s="198">
        <v>0</v>
      </c>
      <c r="BD168" s="203"/>
    </row>
    <row r="169" spans="1:56" s="137" customFormat="1" x14ac:dyDescent="0.2">
      <c r="A169" s="140"/>
      <c r="B169" s="137" t="s">
        <v>67</v>
      </c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6">
        <v>35.295999999999999</v>
      </c>
      <c r="S169" s="136"/>
      <c r="T169" s="136"/>
      <c r="U169" s="136"/>
      <c r="V169" s="136"/>
      <c r="W169" s="136">
        <v>6.24</v>
      </c>
      <c r="X169" s="136"/>
      <c r="Y169" s="136"/>
      <c r="Z169" s="136"/>
      <c r="AA169" s="136"/>
      <c r="AB169" s="136">
        <v>6.2690000000000001</v>
      </c>
      <c r="AC169" s="136"/>
      <c r="AD169" s="136"/>
      <c r="AE169" s="136"/>
      <c r="AF169" s="136"/>
      <c r="AG169" s="136">
        <v>6.3010000000000002</v>
      </c>
      <c r="AH169" s="136"/>
      <c r="AI169" s="136"/>
      <c r="AJ169" s="136"/>
      <c r="AK169" s="136"/>
      <c r="AL169" s="136">
        <v>7.5060000000000002</v>
      </c>
      <c r="AM169" s="139"/>
      <c r="AN169" s="139"/>
      <c r="AO169" s="139"/>
      <c r="AP169" s="139"/>
      <c r="AQ169" s="139">
        <v>0</v>
      </c>
      <c r="AR169" s="139"/>
      <c r="AS169" s="139"/>
      <c r="AT169" s="139"/>
      <c r="AU169" s="139"/>
      <c r="AV169" s="139">
        <v>0</v>
      </c>
      <c r="AW169" s="139"/>
      <c r="AX169" s="139"/>
      <c r="AY169" s="139"/>
      <c r="AZ169" s="139"/>
      <c r="BA169" s="139">
        <v>0</v>
      </c>
      <c r="BB169" s="195"/>
      <c r="BC169" s="198">
        <v>0</v>
      </c>
      <c r="BD169" s="204"/>
    </row>
    <row r="170" spans="1:56" x14ac:dyDescent="0.2">
      <c r="B170" s="106" t="s">
        <v>68</v>
      </c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>
        <f>SUM(R163:R169)</f>
        <v>221.749</v>
      </c>
      <c r="S170" s="107"/>
      <c r="T170" s="107"/>
      <c r="U170" s="107"/>
      <c r="V170" s="107"/>
      <c r="W170" s="107">
        <f>SUM(W163:W169)</f>
        <v>181.863</v>
      </c>
      <c r="X170" s="107"/>
      <c r="Y170" s="107"/>
      <c r="Z170" s="107"/>
      <c r="AA170" s="107"/>
      <c r="AB170" s="107">
        <f>SUM(AB163:AB169)</f>
        <v>216.798</v>
      </c>
      <c r="AC170" s="107">
        <f t="shared" ref="AC170:BA170" si="454">SUM(AC163:AC169)</f>
        <v>0</v>
      </c>
      <c r="AD170" s="107">
        <f t="shared" si="454"/>
        <v>0</v>
      </c>
      <c r="AE170" s="107">
        <f t="shared" si="454"/>
        <v>0</v>
      </c>
      <c r="AF170" s="107">
        <f t="shared" si="454"/>
        <v>0</v>
      </c>
      <c r="AG170" s="107">
        <f t="shared" si="454"/>
        <v>231.67099999999999</v>
      </c>
      <c r="AH170" s="107">
        <f t="shared" si="454"/>
        <v>0</v>
      </c>
      <c r="AI170" s="107">
        <f t="shared" si="454"/>
        <v>0</v>
      </c>
      <c r="AJ170" s="107">
        <f t="shared" si="454"/>
        <v>0</v>
      </c>
      <c r="AK170" s="107">
        <f t="shared" si="454"/>
        <v>0</v>
      </c>
      <c r="AL170" s="107">
        <f t="shared" si="454"/>
        <v>272.05799999999999</v>
      </c>
      <c r="AM170" s="107">
        <f t="shared" si="454"/>
        <v>0</v>
      </c>
      <c r="AN170" s="107">
        <f t="shared" si="454"/>
        <v>0</v>
      </c>
      <c r="AO170" s="107">
        <f t="shared" si="454"/>
        <v>0</v>
      </c>
      <c r="AP170" s="107">
        <f t="shared" si="454"/>
        <v>0</v>
      </c>
      <c r="AQ170" s="107">
        <f t="shared" si="454"/>
        <v>275.74778097573932</v>
      </c>
      <c r="AR170" s="107">
        <f t="shared" si="454"/>
        <v>0</v>
      </c>
      <c r="AS170" s="107">
        <f t="shared" si="454"/>
        <v>0</v>
      </c>
      <c r="AT170" s="107">
        <f t="shared" si="454"/>
        <v>0</v>
      </c>
      <c r="AU170" s="107">
        <f t="shared" si="454"/>
        <v>0</v>
      </c>
      <c r="AV170" s="107">
        <f t="shared" si="454"/>
        <v>286.49933564236261</v>
      </c>
      <c r="AW170" s="107">
        <f t="shared" si="454"/>
        <v>0</v>
      </c>
      <c r="AX170" s="107">
        <f t="shared" si="454"/>
        <v>0</v>
      </c>
      <c r="AY170" s="107">
        <f t="shared" si="454"/>
        <v>0</v>
      </c>
      <c r="AZ170" s="107">
        <f t="shared" si="454"/>
        <v>0</v>
      </c>
      <c r="BA170" s="107">
        <f t="shared" si="454"/>
        <v>291.97937176601692</v>
      </c>
      <c r="BC170" s="198">
        <v>0</v>
      </c>
      <c r="BD170" s="203"/>
    </row>
    <row r="171" spans="1:56" x14ac:dyDescent="0.2"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  <c r="Y171" s="107"/>
      <c r="Z171" s="107"/>
      <c r="AA171" s="107"/>
      <c r="AB171" s="107"/>
      <c r="AC171" s="107"/>
      <c r="AD171" s="107"/>
      <c r="AE171" s="107"/>
      <c r="AF171" s="107"/>
      <c r="AG171" s="107"/>
      <c r="AH171" s="107"/>
      <c r="AI171" s="107"/>
      <c r="AJ171" s="107"/>
      <c r="AK171" s="107"/>
      <c r="AL171" s="107"/>
      <c r="AM171" s="107"/>
      <c r="AN171" s="107"/>
      <c r="AO171" s="107"/>
      <c r="AP171" s="107"/>
      <c r="AQ171" s="107"/>
      <c r="AR171" s="107"/>
      <c r="AS171" s="107"/>
      <c r="AT171" s="107"/>
      <c r="AU171" s="107"/>
      <c r="AV171" s="107"/>
      <c r="AW171" s="107"/>
      <c r="AX171" s="107"/>
      <c r="AY171" s="107"/>
      <c r="AZ171" s="107"/>
      <c r="BA171" s="107"/>
      <c r="BC171" s="198">
        <v>0</v>
      </c>
      <c r="BD171" s="203"/>
    </row>
    <row r="172" spans="1:56" x14ac:dyDescent="0.2">
      <c r="B172" s="88" t="s">
        <v>69</v>
      </c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12">
        <v>921.94</v>
      </c>
      <c r="S172" s="112"/>
      <c r="T172" s="112"/>
      <c r="U172" s="112"/>
      <c r="V172" s="112"/>
      <c r="W172" s="112">
        <v>1398.9659999999999</v>
      </c>
      <c r="X172" s="112"/>
      <c r="Y172" s="112"/>
      <c r="Z172" s="112"/>
      <c r="AA172" s="112"/>
      <c r="AB172" s="112">
        <v>1394.3340000000001</v>
      </c>
      <c r="AC172" s="112"/>
      <c r="AD172" s="112"/>
      <c r="AE172" s="112"/>
      <c r="AF172" s="112"/>
      <c r="AG172" s="112">
        <v>1389.2149999999999</v>
      </c>
      <c r="AH172" s="112"/>
      <c r="AI172" s="112"/>
      <c r="AJ172" s="112"/>
      <c r="AK172" s="112"/>
      <c r="AL172" s="112">
        <v>1498.0219999999999</v>
      </c>
      <c r="AM172" s="107"/>
      <c r="AN172" s="107"/>
      <c r="AO172" s="107"/>
      <c r="AP172" s="107"/>
      <c r="AQ172" s="107">
        <f>AL172+AL169+AQ220</f>
        <v>1555.528</v>
      </c>
      <c r="AR172" s="107"/>
      <c r="AS172" s="107"/>
      <c r="AT172" s="107"/>
      <c r="AU172" s="107"/>
      <c r="AV172" s="107">
        <f>AQ172+AV220</f>
        <v>1605.528</v>
      </c>
      <c r="AW172" s="107"/>
      <c r="AX172" s="107"/>
      <c r="AY172" s="107"/>
      <c r="AZ172" s="107"/>
      <c r="BA172" s="107">
        <f>AV172+BA220</f>
        <v>1655.528</v>
      </c>
      <c r="BC172" s="198">
        <v>0</v>
      </c>
      <c r="BD172" s="203"/>
    </row>
    <row r="173" spans="1:56" x14ac:dyDescent="0.2">
      <c r="B173" s="88" t="s">
        <v>70</v>
      </c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12">
        <v>76.180000000000007</v>
      </c>
      <c r="S173" s="112"/>
      <c r="T173" s="112"/>
      <c r="U173" s="112"/>
      <c r="V173" s="112"/>
      <c r="W173" s="112">
        <v>76.397999999999996</v>
      </c>
      <c r="X173" s="112"/>
      <c r="Y173" s="112"/>
      <c r="Z173" s="112"/>
      <c r="AA173" s="112"/>
      <c r="AB173" s="112">
        <v>39.933999999999997</v>
      </c>
      <c r="AC173" s="112"/>
      <c r="AD173" s="112"/>
      <c r="AE173" s="112"/>
      <c r="AF173" s="112"/>
      <c r="AG173" s="112">
        <v>65.396000000000001</v>
      </c>
      <c r="AH173" s="112"/>
      <c r="AI173" s="112"/>
      <c r="AJ173" s="112"/>
      <c r="AK173" s="112"/>
      <c r="AL173" s="112">
        <v>58.15</v>
      </c>
      <c r="AM173" s="107"/>
      <c r="AN173" s="107"/>
      <c r="AO173" s="107"/>
      <c r="AP173" s="107"/>
      <c r="AQ173" s="107">
        <f>AL173*(1+AQ$52)</f>
        <v>61.709184603991645</v>
      </c>
      <c r="AR173" s="107"/>
      <c r="AS173" s="107"/>
      <c r="AT173" s="107"/>
      <c r="AU173" s="107"/>
      <c r="AV173" s="107">
        <f>AQ173*(1+AV$52)</f>
        <v>64.333693280271675</v>
      </c>
      <c r="AW173" s="107"/>
      <c r="AX173" s="107"/>
      <c r="AY173" s="107"/>
      <c r="AZ173" s="107"/>
      <c r="BA173" s="107">
        <f>AV173*(1+BA$52)</f>
        <v>65.875832001109387</v>
      </c>
      <c r="BC173" s="198">
        <v>0</v>
      </c>
      <c r="BD173" s="203"/>
    </row>
    <row r="174" spans="1:56" s="137" customFormat="1" x14ac:dyDescent="0.2">
      <c r="A174" s="140"/>
      <c r="B174" s="137" t="s">
        <v>156</v>
      </c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6">
        <v>220.73400000000001</v>
      </c>
      <c r="S174" s="136"/>
      <c r="T174" s="136"/>
      <c r="U174" s="136"/>
      <c r="V174" s="136"/>
      <c r="W174" s="136">
        <v>65.069999999999993</v>
      </c>
      <c r="X174" s="136"/>
      <c r="Y174" s="136"/>
      <c r="Z174" s="136"/>
      <c r="AA174" s="136"/>
      <c r="AB174" s="136">
        <v>145.83000000000001</v>
      </c>
      <c r="AC174" s="136"/>
      <c r="AD174" s="136"/>
      <c r="AE174" s="136"/>
      <c r="AF174" s="136"/>
      <c r="AG174" s="136">
        <v>187.197</v>
      </c>
      <c r="AH174" s="136"/>
      <c r="AI174" s="136"/>
      <c r="AJ174" s="136"/>
      <c r="AK174" s="136"/>
      <c r="AL174" s="136">
        <v>140.27000000000001</v>
      </c>
      <c r="AM174" s="139"/>
      <c r="AN174" s="139"/>
      <c r="AO174" s="139"/>
      <c r="AP174" s="139"/>
      <c r="AQ174" s="139">
        <f>AL174+AQ205</f>
        <v>255.050560692</v>
      </c>
      <c r="AR174" s="139"/>
      <c r="AS174" s="139"/>
      <c r="AT174" s="139"/>
      <c r="AU174" s="139"/>
      <c r="AV174" s="139">
        <f>AQ174+AV205</f>
        <v>274.48121000000003</v>
      </c>
      <c r="AW174" s="139"/>
      <c r="AX174" s="139"/>
      <c r="AY174" s="139"/>
      <c r="AZ174" s="139"/>
      <c r="BA174" s="139">
        <f>AV174+BA205</f>
        <v>274.48121000000003</v>
      </c>
      <c r="BB174" s="195"/>
      <c r="BC174" s="198">
        <v>0</v>
      </c>
      <c r="BD174" s="204"/>
    </row>
    <row r="175" spans="1:56" x14ac:dyDescent="0.2">
      <c r="B175" s="106" t="s">
        <v>71</v>
      </c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>
        <f>SUM(R170:R174)</f>
        <v>1440.6030000000001</v>
      </c>
      <c r="S175" s="107"/>
      <c r="T175" s="107"/>
      <c r="U175" s="107"/>
      <c r="V175" s="107"/>
      <c r="W175" s="107">
        <f>SUM(W170:W174)</f>
        <v>1722.2969999999998</v>
      </c>
      <c r="X175" s="107"/>
      <c r="Y175" s="107"/>
      <c r="Z175" s="107"/>
      <c r="AA175" s="107"/>
      <c r="AB175" s="107">
        <f>SUM(AB170:AB174)</f>
        <v>1796.896</v>
      </c>
      <c r="AC175" s="107">
        <f t="shared" ref="AC175:BA175" si="455">SUM(AC170:AC174)</f>
        <v>0</v>
      </c>
      <c r="AD175" s="107">
        <f t="shared" si="455"/>
        <v>0</v>
      </c>
      <c r="AE175" s="107">
        <f t="shared" si="455"/>
        <v>0</v>
      </c>
      <c r="AF175" s="107">
        <f t="shared" si="455"/>
        <v>0</v>
      </c>
      <c r="AG175" s="107">
        <f t="shared" si="455"/>
        <v>1873.4789999999998</v>
      </c>
      <c r="AH175" s="107">
        <f t="shared" si="455"/>
        <v>0</v>
      </c>
      <c r="AI175" s="107">
        <f t="shared" si="455"/>
        <v>0</v>
      </c>
      <c r="AJ175" s="107">
        <f t="shared" si="455"/>
        <v>0</v>
      </c>
      <c r="AK175" s="107">
        <f t="shared" si="455"/>
        <v>0</v>
      </c>
      <c r="AL175" s="107">
        <f t="shared" si="455"/>
        <v>1968.5</v>
      </c>
      <c r="AM175" s="107">
        <f t="shared" si="455"/>
        <v>0</v>
      </c>
      <c r="AN175" s="107">
        <f t="shared" si="455"/>
        <v>0</v>
      </c>
      <c r="AO175" s="107">
        <f t="shared" si="455"/>
        <v>0</v>
      </c>
      <c r="AP175" s="107">
        <f t="shared" si="455"/>
        <v>0</v>
      </c>
      <c r="AQ175" s="107">
        <f t="shared" si="455"/>
        <v>2148.0355262717308</v>
      </c>
      <c r="AR175" s="107">
        <f t="shared" si="455"/>
        <v>0</v>
      </c>
      <c r="AS175" s="107">
        <f t="shared" si="455"/>
        <v>0</v>
      </c>
      <c r="AT175" s="107">
        <f t="shared" si="455"/>
        <v>0</v>
      </c>
      <c r="AU175" s="107">
        <f t="shared" si="455"/>
        <v>0</v>
      </c>
      <c r="AV175" s="107">
        <f t="shared" si="455"/>
        <v>2230.8422389226344</v>
      </c>
      <c r="AW175" s="107">
        <f t="shared" si="455"/>
        <v>0</v>
      </c>
      <c r="AX175" s="107">
        <f t="shared" si="455"/>
        <v>0</v>
      </c>
      <c r="AY175" s="107">
        <f t="shared" si="455"/>
        <v>0</v>
      </c>
      <c r="AZ175" s="107">
        <f t="shared" si="455"/>
        <v>0</v>
      </c>
      <c r="BA175" s="107">
        <f t="shared" si="455"/>
        <v>2287.8644137671263</v>
      </c>
      <c r="BC175" s="198">
        <v>0</v>
      </c>
      <c r="BD175" s="203"/>
    </row>
    <row r="176" spans="1:56" x14ac:dyDescent="0.2"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  <c r="Y176" s="107"/>
      <c r="Z176" s="107"/>
      <c r="AA176" s="107"/>
      <c r="AB176" s="107"/>
      <c r="AC176" s="107"/>
      <c r="AD176" s="107"/>
      <c r="AE176" s="107"/>
      <c r="AF176" s="107"/>
      <c r="AG176" s="107"/>
      <c r="AH176" s="107"/>
      <c r="AI176" s="107"/>
      <c r="AJ176" s="107"/>
      <c r="AK176" s="107"/>
      <c r="AL176" s="107"/>
      <c r="AM176" s="107"/>
      <c r="AN176" s="107"/>
      <c r="AO176" s="107"/>
      <c r="AP176" s="107"/>
      <c r="AQ176" s="107"/>
      <c r="AR176" s="107"/>
      <c r="AS176" s="107"/>
      <c r="AT176" s="107"/>
      <c r="AU176" s="107"/>
      <c r="AV176" s="107"/>
      <c r="AW176" s="107"/>
      <c r="AX176" s="107"/>
      <c r="AY176" s="107"/>
      <c r="AZ176" s="107"/>
      <c r="BA176" s="107"/>
      <c r="BC176" s="198">
        <v>0</v>
      </c>
      <c r="BD176" s="203"/>
    </row>
    <row r="177" spans="2:56" x14ac:dyDescent="0.2">
      <c r="B177" s="88" t="s">
        <v>72</v>
      </c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12">
        <v>440.42700000000002</v>
      </c>
      <c r="S177" s="112"/>
      <c r="T177" s="112"/>
      <c r="U177" s="112"/>
      <c r="V177" s="112"/>
      <c r="W177" s="112">
        <v>437.94099999999997</v>
      </c>
      <c r="X177" s="112"/>
      <c r="Y177" s="112"/>
      <c r="Z177" s="112"/>
      <c r="AA177" s="112"/>
      <c r="AB177" s="112">
        <v>437.56900000000002</v>
      </c>
      <c r="AC177" s="112"/>
      <c r="AD177" s="112"/>
      <c r="AE177" s="112"/>
      <c r="AF177" s="112"/>
      <c r="AG177" s="112">
        <v>437.54500000000002</v>
      </c>
      <c r="AH177" s="112"/>
      <c r="AI177" s="112"/>
      <c r="AJ177" s="112"/>
      <c r="AK177" s="112"/>
      <c r="AL177" s="112">
        <v>435.721</v>
      </c>
      <c r="AM177" s="107"/>
      <c r="AN177" s="107"/>
      <c r="AO177" s="107"/>
      <c r="AP177" s="107"/>
      <c r="AQ177" s="107">
        <f>AL177</f>
        <v>435.721</v>
      </c>
      <c r="AR177" s="107"/>
      <c r="AS177" s="107"/>
      <c r="AT177" s="107"/>
      <c r="AU177" s="107"/>
      <c r="AV177" s="107">
        <f>AQ177</f>
        <v>435.721</v>
      </c>
      <c r="AW177" s="107"/>
      <c r="AX177" s="107"/>
      <c r="AY177" s="107"/>
      <c r="AZ177" s="107"/>
      <c r="BA177" s="107">
        <f>AV177</f>
        <v>435.721</v>
      </c>
      <c r="BC177" s="198">
        <v>0</v>
      </c>
      <c r="BD177" s="203"/>
    </row>
    <row r="178" spans="2:56" x14ac:dyDescent="0.2"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  <c r="Y178" s="107"/>
      <c r="Z178" s="107"/>
      <c r="AA178" s="107"/>
      <c r="AB178" s="107"/>
      <c r="AC178" s="107"/>
      <c r="AD178" s="107"/>
      <c r="AE178" s="107"/>
      <c r="AF178" s="107"/>
      <c r="AG178" s="107"/>
      <c r="AH178" s="107"/>
      <c r="AI178" s="107"/>
      <c r="AJ178" s="107"/>
      <c r="AK178" s="107"/>
      <c r="AL178" s="107"/>
      <c r="AM178" s="107"/>
      <c r="AN178" s="107"/>
      <c r="AO178" s="107"/>
      <c r="AP178" s="107"/>
      <c r="AQ178" s="107"/>
      <c r="AR178" s="107"/>
      <c r="AS178" s="107"/>
      <c r="AT178" s="107"/>
      <c r="AU178" s="107"/>
      <c r="AV178" s="107"/>
      <c r="AW178" s="107"/>
      <c r="AX178" s="107"/>
      <c r="AY178" s="107"/>
      <c r="AZ178" s="107"/>
      <c r="BA178" s="107"/>
      <c r="BC178" s="198">
        <v>0</v>
      </c>
      <c r="BD178" s="203"/>
    </row>
    <row r="179" spans="2:56" x14ac:dyDescent="0.2">
      <c r="B179" s="106" t="s">
        <v>73</v>
      </c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12">
        <v>767.14800000000002</v>
      </c>
      <c r="S179" s="112"/>
      <c r="T179" s="112"/>
      <c r="U179" s="112"/>
      <c r="V179" s="112"/>
      <c r="W179" s="112">
        <v>896.15300000000002</v>
      </c>
      <c r="X179" s="112"/>
      <c r="Y179" s="112"/>
      <c r="Z179" s="112"/>
      <c r="AA179" s="112"/>
      <c r="AB179" s="112">
        <v>373.33699999999999</v>
      </c>
      <c r="AC179" s="112"/>
      <c r="AD179" s="112"/>
      <c r="AE179" s="112"/>
      <c r="AF179" s="112"/>
      <c r="AG179" s="112">
        <v>223.89500000000001</v>
      </c>
      <c r="AH179" s="112"/>
      <c r="AI179" s="112"/>
      <c r="AJ179" s="112"/>
      <c r="AK179" s="112"/>
      <c r="AL179" s="112">
        <v>24.216000000000001</v>
      </c>
      <c r="AM179" s="107"/>
      <c r="AN179" s="107"/>
      <c r="AO179" s="107"/>
      <c r="AP179" s="107"/>
      <c r="AQ179" s="107">
        <f>AL179+AQ80+AQ223+AQ222+AQ204+AQ221</f>
        <v>-20.446972112055079</v>
      </c>
      <c r="AR179" s="107"/>
      <c r="AS179" s="107"/>
      <c r="AT179" s="107"/>
      <c r="AU179" s="107"/>
      <c r="AV179" s="107">
        <f>AQ179+AV80+AV223+AV222+AV204+AV221</f>
        <v>-41.8052010216268</v>
      </c>
      <c r="AW179" s="107"/>
      <c r="AX179" s="107"/>
      <c r="AY179" s="107"/>
      <c r="AZ179" s="107"/>
      <c r="BA179" s="107">
        <f>AV179+BA80+BA223+BA222+BA204+BA221</f>
        <v>-58.778895273200561</v>
      </c>
      <c r="BC179" s="198">
        <v>0</v>
      </c>
      <c r="BD179" s="203"/>
    </row>
    <row r="180" spans="2:56" x14ac:dyDescent="0.2">
      <c r="B180" s="106" t="s">
        <v>74</v>
      </c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>
        <f>R179+R175+R177</f>
        <v>2648.1780000000003</v>
      </c>
      <c r="S180" s="107"/>
      <c r="T180" s="107"/>
      <c r="U180" s="107"/>
      <c r="V180" s="107"/>
      <c r="W180" s="107">
        <f>W179+W175+W177</f>
        <v>3056.3909999999996</v>
      </c>
      <c r="X180" s="107"/>
      <c r="Y180" s="107"/>
      <c r="Z180" s="107"/>
      <c r="AA180" s="107"/>
      <c r="AB180" s="107">
        <f>AB179+AB175+AB177</f>
        <v>2607.8020000000001</v>
      </c>
      <c r="AC180" s="107"/>
      <c r="AD180" s="107"/>
      <c r="AE180" s="107"/>
      <c r="AF180" s="107"/>
      <c r="AG180" s="107">
        <f>AG179+AG175+AG177</f>
        <v>2534.9189999999999</v>
      </c>
      <c r="AH180" s="107"/>
      <c r="AI180" s="107"/>
      <c r="AJ180" s="107"/>
      <c r="AK180" s="107"/>
      <c r="AL180" s="107">
        <f>AL179+AL175+AL177</f>
        <v>2428.4369999999999</v>
      </c>
      <c r="AM180" s="107">
        <f t="shared" ref="AM180:AZ180" si="456">AM179+AM175</f>
        <v>0</v>
      </c>
      <c r="AN180" s="107">
        <f t="shared" si="456"/>
        <v>0</v>
      </c>
      <c r="AO180" s="107">
        <f t="shared" si="456"/>
        <v>0</v>
      </c>
      <c r="AP180" s="107">
        <f t="shared" si="456"/>
        <v>0</v>
      </c>
      <c r="AQ180" s="107">
        <f>AQ179+AQ175+AQ177</f>
        <v>2563.3095541596758</v>
      </c>
      <c r="AR180" s="107">
        <f t="shared" si="456"/>
        <v>0</v>
      </c>
      <c r="AS180" s="107">
        <f t="shared" si="456"/>
        <v>0</v>
      </c>
      <c r="AT180" s="107">
        <f t="shared" si="456"/>
        <v>0</v>
      </c>
      <c r="AU180" s="107">
        <f t="shared" si="456"/>
        <v>0</v>
      </c>
      <c r="AV180" s="107">
        <f>AV179+AV175+AV177</f>
        <v>2624.7580379010074</v>
      </c>
      <c r="AW180" s="107">
        <f t="shared" si="456"/>
        <v>0</v>
      </c>
      <c r="AX180" s="107">
        <f t="shared" si="456"/>
        <v>0</v>
      </c>
      <c r="AY180" s="107">
        <f t="shared" si="456"/>
        <v>0</v>
      </c>
      <c r="AZ180" s="107">
        <f t="shared" si="456"/>
        <v>0</v>
      </c>
      <c r="BA180" s="107">
        <f>BA179+BA175+BA177</f>
        <v>2664.8065184939255</v>
      </c>
      <c r="BC180" s="198">
        <v>0</v>
      </c>
      <c r="BD180" s="203"/>
    </row>
    <row r="181" spans="2:56" ht="13.5" thickBot="1" x14ac:dyDescent="0.25">
      <c r="B181" s="116"/>
      <c r="C181" s="113"/>
      <c r="D181" s="113"/>
      <c r="E181" s="113"/>
      <c r="F181" s="113"/>
      <c r="G181" s="113"/>
      <c r="H181" s="214"/>
      <c r="I181" s="214"/>
      <c r="J181" s="214"/>
      <c r="K181" s="214"/>
      <c r="L181" s="214"/>
      <c r="M181" s="214"/>
      <c r="N181" s="214"/>
      <c r="O181" s="214"/>
      <c r="P181" s="214"/>
      <c r="Q181" s="214"/>
      <c r="R181" s="214"/>
      <c r="S181" s="214"/>
      <c r="T181" s="214"/>
      <c r="U181" s="214"/>
      <c r="V181" s="214"/>
      <c r="W181" s="214"/>
      <c r="X181" s="214"/>
      <c r="Y181" s="214"/>
      <c r="Z181" s="214"/>
      <c r="AA181" s="214"/>
      <c r="AB181" s="214"/>
      <c r="AC181" s="214"/>
      <c r="AD181" s="214"/>
      <c r="AE181" s="214"/>
      <c r="AF181" s="214"/>
      <c r="AG181" s="214"/>
      <c r="AH181" s="214"/>
      <c r="AI181" s="214"/>
      <c r="AJ181" s="214"/>
      <c r="AK181" s="214"/>
      <c r="AL181" s="214"/>
      <c r="AM181" s="214"/>
      <c r="AN181" s="214"/>
      <c r="AO181" s="214"/>
      <c r="AP181" s="214"/>
      <c r="AQ181" s="214"/>
      <c r="AR181" s="214"/>
      <c r="AS181" s="214"/>
      <c r="AT181" s="214"/>
      <c r="AU181" s="214"/>
      <c r="AV181" s="214"/>
      <c r="AW181" s="214"/>
      <c r="AX181" s="214"/>
      <c r="AY181" s="214"/>
      <c r="AZ181" s="214"/>
      <c r="BA181" s="214"/>
      <c r="BC181" s="198"/>
      <c r="BD181" s="203"/>
    </row>
    <row r="182" spans="2:56" x14ac:dyDescent="0.2"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  <c r="Y182" s="107"/>
      <c r="Z182" s="107"/>
      <c r="AA182" s="107"/>
      <c r="AB182" s="107"/>
      <c r="AC182" s="107"/>
      <c r="AD182" s="107"/>
      <c r="AE182" s="107"/>
      <c r="AF182" s="107"/>
      <c r="AG182" s="107"/>
      <c r="AH182" s="107"/>
      <c r="AI182" s="107"/>
      <c r="AJ182" s="107"/>
      <c r="AK182" s="107"/>
      <c r="AL182" s="107"/>
      <c r="AM182" s="107"/>
      <c r="AN182" s="107"/>
      <c r="AO182" s="107"/>
      <c r="AP182" s="107"/>
      <c r="AQ182" s="107"/>
      <c r="AR182" s="107"/>
      <c r="AS182" s="107"/>
      <c r="AT182" s="107"/>
      <c r="AU182" s="107"/>
      <c r="AV182" s="107"/>
      <c r="AW182" s="107"/>
      <c r="AX182" s="107"/>
      <c r="AY182" s="107"/>
      <c r="AZ182" s="107"/>
      <c r="BA182" s="107"/>
      <c r="BC182" s="198">
        <v>0</v>
      </c>
      <c r="BD182" s="203"/>
    </row>
    <row r="183" spans="2:56" x14ac:dyDescent="0.2">
      <c r="B183" s="213" t="s">
        <v>194</v>
      </c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  <c r="Y183" s="107"/>
      <c r="Z183" s="107"/>
      <c r="AA183" s="107"/>
      <c r="AB183" s="107"/>
      <c r="AC183" s="107"/>
      <c r="AD183" s="107"/>
      <c r="AE183" s="107"/>
      <c r="AF183" s="107"/>
      <c r="AG183" s="107"/>
      <c r="AH183" s="107"/>
      <c r="AI183" s="107"/>
      <c r="AJ183" s="107"/>
      <c r="AK183" s="107"/>
      <c r="AL183" s="107"/>
      <c r="AM183" s="107"/>
      <c r="AN183" s="107"/>
      <c r="AO183" s="107"/>
      <c r="AP183" s="107"/>
      <c r="AQ183" s="107"/>
      <c r="AR183" s="107"/>
      <c r="AS183" s="107"/>
      <c r="AT183" s="107"/>
      <c r="AU183" s="107"/>
      <c r="AV183" s="107"/>
      <c r="AW183" s="107"/>
      <c r="AX183" s="107"/>
      <c r="AY183" s="107"/>
      <c r="AZ183" s="107"/>
      <c r="BA183" s="107"/>
      <c r="BC183" s="198"/>
      <c r="BD183" s="203"/>
    </row>
    <row r="184" spans="2:56" x14ac:dyDescent="0.2">
      <c r="B184" s="88" t="s">
        <v>164</v>
      </c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>
        <f t="shared" ref="R184:AA184" si="457">R172+R169-R148</f>
        <v>725.80900000000008</v>
      </c>
      <c r="S184" s="107">
        <f t="shared" si="457"/>
        <v>0</v>
      </c>
      <c r="T184" s="107">
        <f t="shared" si="457"/>
        <v>0</v>
      </c>
      <c r="U184" s="107">
        <f t="shared" si="457"/>
        <v>0</v>
      </c>
      <c r="V184" s="107">
        <f t="shared" si="457"/>
        <v>0</v>
      </c>
      <c r="W184" s="107">
        <f t="shared" si="457"/>
        <v>775.99799999999993</v>
      </c>
      <c r="X184" s="107">
        <f t="shared" si="457"/>
        <v>0</v>
      </c>
      <c r="Y184" s="107">
        <f t="shared" si="457"/>
        <v>0</v>
      </c>
      <c r="Z184" s="107">
        <f t="shared" si="457"/>
        <v>0</v>
      </c>
      <c r="AA184" s="107">
        <f t="shared" si="457"/>
        <v>0</v>
      </c>
      <c r="AB184" s="107">
        <f>AB172+AB169-AB148</f>
        <v>1231.2930000000001</v>
      </c>
      <c r="AC184" s="107"/>
      <c r="AD184" s="107"/>
      <c r="AE184" s="107"/>
      <c r="AF184" s="107"/>
      <c r="AG184" s="107">
        <f>AG172+AG169-AG148</f>
        <v>1321.6319999999998</v>
      </c>
      <c r="AH184" s="107"/>
      <c r="AI184" s="107"/>
      <c r="AJ184" s="107"/>
      <c r="AK184" s="107"/>
      <c r="AL184" s="107">
        <f>AL172+AL169-AL148</f>
        <v>1405.768</v>
      </c>
      <c r="AM184" s="107"/>
      <c r="AN184" s="107"/>
      <c r="AO184" s="107"/>
      <c r="AP184" s="107"/>
      <c r="AQ184" s="107">
        <f ca="1">AQ172+AQ169-AQ148</f>
        <v>1349.0357764825524</v>
      </c>
      <c r="AR184" s="107"/>
      <c r="AS184" s="107"/>
      <c r="AT184" s="107"/>
      <c r="AU184" s="107"/>
      <c r="AV184" s="107">
        <f ca="1">AV172+AV169-AV148</f>
        <v>1350.2984018622042</v>
      </c>
      <c r="AW184" s="107"/>
      <c r="AX184" s="107"/>
      <c r="AY184" s="107"/>
      <c r="AZ184" s="107"/>
      <c r="BA184" s="107">
        <f ca="1">BA172+BA169-BA148</f>
        <v>1369.7940714004769</v>
      </c>
      <c r="BC184" s="198">
        <v>0</v>
      </c>
      <c r="BD184" s="203"/>
    </row>
    <row r="185" spans="2:56" x14ac:dyDescent="0.2">
      <c r="B185" s="88" t="s">
        <v>165</v>
      </c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>
        <f t="shared" ref="R185:AB185" si="458">R89</f>
        <v>350</v>
      </c>
      <c r="S185" s="107">
        <f t="shared" si="458"/>
        <v>0</v>
      </c>
      <c r="T185" s="107">
        <f t="shared" si="458"/>
        <v>0</v>
      </c>
      <c r="U185" s="107">
        <f t="shared" si="458"/>
        <v>0</v>
      </c>
      <c r="V185" s="107">
        <f t="shared" si="458"/>
        <v>0</v>
      </c>
      <c r="W185" s="107">
        <f t="shared" si="458"/>
        <v>383</v>
      </c>
      <c r="X185" s="107">
        <f t="shared" si="458"/>
        <v>0</v>
      </c>
      <c r="Y185" s="107">
        <f t="shared" si="458"/>
        <v>0</v>
      </c>
      <c r="Z185" s="107">
        <f t="shared" si="458"/>
        <v>0</v>
      </c>
      <c r="AA185" s="107">
        <f t="shared" si="458"/>
        <v>0</v>
      </c>
      <c r="AB185" s="107">
        <f t="shared" si="458"/>
        <v>404.11200000000002</v>
      </c>
      <c r="AC185" s="107"/>
      <c r="AD185" s="107"/>
      <c r="AE185" s="107"/>
      <c r="AF185" s="107"/>
      <c r="AG185" s="107">
        <f>AG89</f>
        <v>439.28699999999998</v>
      </c>
      <c r="AH185" s="107"/>
      <c r="AI185" s="107"/>
      <c r="AJ185" s="107"/>
      <c r="AK185" s="107"/>
      <c r="AL185" s="107">
        <f>AL89</f>
        <v>481.428</v>
      </c>
      <c r="AM185" s="107"/>
      <c r="AN185" s="107"/>
      <c r="AO185" s="107"/>
      <c r="AP185" s="107"/>
      <c r="AQ185" s="107">
        <f>AQ87</f>
        <v>551.2282146</v>
      </c>
      <c r="AR185" s="107"/>
      <c r="AS185" s="107"/>
      <c r="AT185" s="107"/>
      <c r="AU185" s="107"/>
      <c r="AV185" s="107">
        <f>AV89</f>
        <v>539.74381321280009</v>
      </c>
      <c r="AW185" s="107"/>
      <c r="AX185" s="107"/>
      <c r="AY185" s="107"/>
      <c r="AZ185" s="107"/>
      <c r="BA185" s="107">
        <f>BA89</f>
        <v>555.47360755125987</v>
      </c>
      <c r="BC185" s="198">
        <v>0</v>
      </c>
      <c r="BD185" s="203"/>
    </row>
    <row r="186" spans="2:56" x14ac:dyDescent="0.2">
      <c r="B186" s="88" t="s">
        <v>166</v>
      </c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28">
        <f>R184/R185</f>
        <v>2.0737400000000004</v>
      </c>
      <c r="S186" s="107"/>
      <c r="T186" s="107"/>
      <c r="U186" s="107"/>
      <c r="V186" s="107"/>
      <c r="W186" s="128">
        <f>W184/W185</f>
        <v>2.0261044386422973</v>
      </c>
      <c r="X186" s="107"/>
      <c r="Y186" s="107"/>
      <c r="Z186" s="107"/>
      <c r="AA186" s="107"/>
      <c r="AB186" s="128">
        <f>AB184/AB185</f>
        <v>3.046910262501485</v>
      </c>
      <c r="AC186" s="128"/>
      <c r="AD186" s="128"/>
      <c r="AE186" s="128"/>
      <c r="AF186" s="128"/>
      <c r="AG186" s="128">
        <f>AG184/AG185</f>
        <v>3.008584365118931</v>
      </c>
      <c r="AH186" s="128"/>
      <c r="AI186" s="128"/>
      <c r="AJ186" s="128"/>
      <c r="AK186" s="128"/>
      <c r="AL186" s="128">
        <f>AL184/AL185</f>
        <v>2.9199963442093106</v>
      </c>
      <c r="AM186" s="128"/>
      <c r="AN186" s="128"/>
      <c r="AO186" s="128"/>
      <c r="AP186" s="128"/>
      <c r="AQ186" s="128">
        <f ca="1">AQ184/AQ185</f>
        <v>2.4473271518974826</v>
      </c>
      <c r="AR186" s="128"/>
      <c r="AS186" s="128"/>
      <c r="AT186" s="128"/>
      <c r="AU186" s="128"/>
      <c r="AV186" s="128">
        <f ca="1">AV184/AV185</f>
        <v>2.5017394712217551</v>
      </c>
      <c r="AW186" s="128"/>
      <c r="AX186" s="128"/>
      <c r="AY186" s="128"/>
      <c r="AZ186" s="128"/>
      <c r="BA186" s="128">
        <f ca="1">BA184/BA185</f>
        <v>2.4659930783013313</v>
      </c>
      <c r="BC186" s="198">
        <v>0</v>
      </c>
      <c r="BD186" s="203"/>
    </row>
    <row r="187" spans="2:56" x14ac:dyDescent="0.2">
      <c r="B187" s="88" t="s">
        <v>167</v>
      </c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28">
        <f>R172/R185</f>
        <v>2.6341142857142859</v>
      </c>
      <c r="S187" s="107"/>
      <c r="T187" s="107"/>
      <c r="U187" s="107"/>
      <c r="V187" s="107"/>
      <c r="W187" s="128">
        <f>W172/W185</f>
        <v>3.6526527415143599</v>
      </c>
      <c r="X187" s="107"/>
      <c r="Y187" s="107"/>
      <c r="Z187" s="107"/>
      <c r="AA187" s="107"/>
      <c r="AB187" s="128">
        <f>AB172/AB185</f>
        <v>3.4503652452785367</v>
      </c>
      <c r="AC187" s="128"/>
      <c r="AD187" s="128"/>
      <c r="AE187" s="128"/>
      <c r="AF187" s="128"/>
      <c r="AG187" s="128">
        <f>AG172/AG185</f>
        <v>3.1624313945097398</v>
      </c>
      <c r="AH187" s="128"/>
      <c r="AI187" s="128"/>
      <c r="AJ187" s="128"/>
      <c r="AK187" s="128"/>
      <c r="AL187" s="128">
        <f>AL172/AL185</f>
        <v>3.1116220909461019</v>
      </c>
      <c r="AM187" s="107"/>
      <c r="AN187" s="107"/>
      <c r="AO187" s="107"/>
      <c r="AP187" s="107"/>
      <c r="AQ187" s="128">
        <f>AQ172/AQ185</f>
        <v>2.8219310238478492</v>
      </c>
      <c r="AR187" s="107"/>
      <c r="AS187" s="107"/>
      <c r="AT187" s="107"/>
      <c r="AU187" s="107"/>
      <c r="AV187" s="128">
        <f>AV172/AV185</f>
        <v>2.9746112149821022</v>
      </c>
      <c r="AW187" s="107"/>
      <c r="AX187" s="107"/>
      <c r="AY187" s="107"/>
      <c r="AZ187" s="107"/>
      <c r="BA187" s="128">
        <f>BA172/BA185</f>
        <v>2.9803900266264685</v>
      </c>
      <c r="BC187" s="198">
        <v>0</v>
      </c>
      <c r="BD187" s="203"/>
    </row>
    <row r="188" spans="2:56" x14ac:dyDescent="0.2">
      <c r="H188" s="107"/>
      <c r="I188" s="107"/>
      <c r="J188" s="107"/>
      <c r="K188" s="107"/>
      <c r="L188" s="107"/>
      <c r="M188" s="107"/>
      <c r="N188" s="107"/>
      <c r="O188" s="107"/>
      <c r="P188" s="107"/>
      <c r="Q188" s="107"/>
      <c r="R188" s="128"/>
      <c r="S188" s="107"/>
      <c r="T188" s="107"/>
      <c r="U188" s="107"/>
      <c r="V188" s="107"/>
      <c r="W188" s="128"/>
      <c r="X188" s="107"/>
      <c r="Y188" s="107"/>
      <c r="Z188" s="107"/>
      <c r="AA188" s="107"/>
      <c r="AB188" s="128"/>
      <c r="AC188" s="128"/>
      <c r="AD188" s="128"/>
      <c r="AE188" s="128"/>
      <c r="AF188" s="128"/>
      <c r="AG188" s="128"/>
      <c r="AH188" s="128"/>
      <c r="AI188" s="128"/>
      <c r="AJ188" s="128"/>
      <c r="AK188" s="128"/>
      <c r="AL188" s="128"/>
      <c r="AM188" s="107"/>
      <c r="AN188" s="107"/>
      <c r="AO188" s="107"/>
      <c r="AP188" s="107"/>
      <c r="AQ188" s="128"/>
      <c r="AR188" s="107"/>
      <c r="AS188" s="107"/>
      <c r="AT188" s="107"/>
      <c r="AU188" s="107"/>
      <c r="AV188" s="128"/>
      <c r="AW188" s="107"/>
      <c r="AX188" s="107"/>
      <c r="AY188" s="107"/>
      <c r="AZ188" s="107"/>
      <c r="BA188" s="128"/>
      <c r="BC188" s="198"/>
      <c r="BD188" s="203"/>
    </row>
    <row r="189" spans="2:56" x14ac:dyDescent="0.2">
      <c r="B189" s="88" t="s">
        <v>275</v>
      </c>
      <c r="H189" s="107"/>
      <c r="I189" s="107"/>
      <c r="J189" s="107"/>
      <c r="K189" s="107"/>
      <c r="L189" s="107"/>
      <c r="M189" s="107"/>
      <c r="N189" s="107"/>
      <c r="O189" s="107"/>
      <c r="P189" s="107"/>
      <c r="Q189" s="107"/>
      <c r="R189" s="128"/>
      <c r="S189" s="107"/>
      <c r="T189" s="107"/>
      <c r="U189" s="107"/>
      <c r="V189" s="107"/>
      <c r="W189" s="128"/>
      <c r="X189" s="107"/>
      <c r="Y189" s="107"/>
      <c r="Z189" s="107"/>
      <c r="AA189" s="107"/>
      <c r="AB189" s="128"/>
      <c r="AC189" s="128"/>
      <c r="AD189" s="128"/>
      <c r="AE189" s="128"/>
      <c r="AF189" s="128"/>
      <c r="AG189" s="128"/>
      <c r="AH189" s="128"/>
      <c r="AI189" s="128"/>
      <c r="AJ189" s="128"/>
      <c r="AK189" s="128"/>
      <c r="AL189" s="107">
        <f>SUM(AL148:AL150)+AL155</f>
        <v>1383.252</v>
      </c>
      <c r="AM189" s="107"/>
      <c r="AN189" s="107"/>
      <c r="AO189" s="107"/>
      <c r="AP189" s="107"/>
      <c r="AQ189" s="107">
        <f ca="1">SUM(AQ148:AQ150)+AQ155</f>
        <v>1514.5468764063367</v>
      </c>
      <c r="AR189" s="107"/>
      <c r="AS189" s="107"/>
      <c r="AT189" s="107"/>
      <c r="AU189" s="107"/>
      <c r="AV189" s="107">
        <f ca="1">SUM(AV148:AV150)+AV155</f>
        <v>1573.9205753315737</v>
      </c>
      <c r="AW189" s="107"/>
      <c r="AX189" s="107"/>
      <c r="AY189" s="107"/>
      <c r="AZ189" s="107"/>
      <c r="BA189" s="107">
        <f ca="1">SUM(BA148:BA150)+BA155</f>
        <v>1613.7257655921185</v>
      </c>
      <c r="BC189" s="198"/>
      <c r="BD189" s="203"/>
    </row>
    <row r="190" spans="2:56" x14ac:dyDescent="0.2">
      <c r="B190" s="88" t="s">
        <v>289</v>
      </c>
      <c r="H190" s="107"/>
      <c r="I190" s="107"/>
      <c r="J190" s="107"/>
      <c r="K190" s="107"/>
      <c r="L190" s="107"/>
      <c r="M190" s="107"/>
      <c r="N190" s="107"/>
      <c r="O190" s="107"/>
      <c r="P190" s="107"/>
      <c r="Q190" s="107"/>
      <c r="R190" s="128"/>
      <c r="S190" s="107"/>
      <c r="T190" s="107"/>
      <c r="U190" s="107"/>
      <c r="V190" s="107"/>
      <c r="W190" s="128"/>
      <c r="X190" s="107"/>
      <c r="Y190" s="107"/>
      <c r="Z190" s="107"/>
      <c r="AA190" s="107"/>
      <c r="AB190" s="128"/>
      <c r="AC190" s="128"/>
      <c r="AD190" s="128"/>
      <c r="AE190" s="128"/>
      <c r="AF190" s="128"/>
      <c r="AG190" s="128"/>
      <c r="AH190" s="128"/>
      <c r="AI190" s="128"/>
      <c r="AJ190" s="128"/>
      <c r="AK190" s="128"/>
      <c r="AL190" s="317">
        <f>Summary!G9/Model!AL189</f>
        <v>3.3679879009753826</v>
      </c>
      <c r="AM190" s="107"/>
      <c r="AN190" s="107"/>
      <c r="AO190" s="107"/>
      <c r="AP190" s="107"/>
      <c r="AQ190" s="128"/>
      <c r="AR190" s="107"/>
      <c r="AS190" s="107"/>
      <c r="AT190" s="107"/>
      <c r="AU190" s="107"/>
      <c r="AV190" s="128"/>
      <c r="AW190" s="107"/>
      <c r="AX190" s="107"/>
      <c r="AY190" s="107"/>
      <c r="AZ190" s="107"/>
      <c r="BA190" s="128"/>
      <c r="BC190" s="198"/>
      <c r="BD190" s="203"/>
    </row>
    <row r="191" spans="2:56" x14ac:dyDescent="0.2">
      <c r="H191" s="107"/>
      <c r="I191" s="107"/>
      <c r="J191" s="107"/>
      <c r="K191" s="107"/>
      <c r="L191" s="107"/>
      <c r="M191" s="107"/>
      <c r="N191" s="107"/>
      <c r="O191" s="107"/>
      <c r="P191" s="107"/>
      <c r="Q191" s="107"/>
      <c r="R191" s="107"/>
      <c r="S191" s="107"/>
      <c r="T191" s="107"/>
      <c r="U191" s="107"/>
      <c r="V191" s="107"/>
      <c r="W191" s="129"/>
      <c r="X191" s="129"/>
      <c r="Y191" s="129"/>
      <c r="Z191" s="129"/>
      <c r="AA191" s="129"/>
      <c r="AB191" s="129"/>
      <c r="AC191" s="129"/>
      <c r="AD191" s="129"/>
      <c r="AE191" s="129"/>
      <c r="AF191" s="129"/>
      <c r="AG191" s="129"/>
      <c r="AH191" s="128"/>
      <c r="AI191" s="128"/>
      <c r="AJ191" s="128"/>
      <c r="AK191" s="128"/>
      <c r="AL191" s="129"/>
      <c r="AM191" s="107"/>
      <c r="AN191" s="107"/>
      <c r="AO191" s="107"/>
      <c r="AP191" s="107"/>
      <c r="AQ191" s="107"/>
      <c r="AR191" s="107"/>
      <c r="AS191" s="107"/>
      <c r="AT191" s="107"/>
      <c r="AU191" s="107"/>
      <c r="AV191" s="107"/>
      <c r="AW191" s="107"/>
      <c r="AX191" s="107"/>
      <c r="AY191" s="107"/>
      <c r="AZ191" s="107"/>
      <c r="BA191" s="107"/>
      <c r="BC191" s="198">
        <v>0</v>
      </c>
      <c r="BD191" s="203"/>
    </row>
    <row r="192" spans="2:56" x14ac:dyDescent="0.2">
      <c r="B192" s="213" t="s">
        <v>193</v>
      </c>
      <c r="H192" s="107"/>
      <c r="I192" s="107"/>
      <c r="J192" s="107"/>
      <c r="K192" s="107"/>
      <c r="L192" s="107"/>
      <c r="M192" s="107"/>
      <c r="N192" s="107"/>
      <c r="O192" s="107"/>
      <c r="P192" s="107"/>
      <c r="Q192" s="107"/>
      <c r="R192" s="107"/>
      <c r="S192" s="107"/>
      <c r="T192" s="107"/>
      <c r="U192" s="107"/>
      <c r="V192" s="107"/>
      <c r="W192" s="129"/>
      <c r="X192" s="129"/>
      <c r="Y192" s="129"/>
      <c r="Z192" s="129"/>
      <c r="AA192" s="129"/>
      <c r="AB192" s="129"/>
      <c r="AC192" s="129"/>
      <c r="AD192" s="129"/>
      <c r="AE192" s="129"/>
      <c r="AF192" s="129"/>
      <c r="AG192" s="129"/>
      <c r="AH192" s="128"/>
      <c r="AI192" s="128"/>
      <c r="AJ192" s="128"/>
      <c r="AK192" s="128"/>
      <c r="AL192" s="129"/>
      <c r="AM192" s="107"/>
      <c r="AN192" s="107"/>
      <c r="AO192" s="107"/>
      <c r="AP192" s="107"/>
      <c r="AQ192" s="107"/>
      <c r="AR192" s="107"/>
      <c r="AS192" s="107"/>
      <c r="AT192" s="107"/>
      <c r="AU192" s="107"/>
      <c r="AV192" s="107"/>
      <c r="AW192" s="107"/>
      <c r="AX192" s="107"/>
      <c r="AY192" s="107"/>
      <c r="AZ192" s="107"/>
      <c r="BA192" s="107"/>
      <c r="BC192" s="198"/>
      <c r="BD192" s="203"/>
    </row>
    <row r="193" spans="1:56" x14ac:dyDescent="0.2">
      <c r="B193" s="88" t="s">
        <v>161</v>
      </c>
      <c r="H193" s="107"/>
      <c r="I193" s="107"/>
      <c r="J193" s="107"/>
      <c r="K193" s="107"/>
      <c r="L193" s="107"/>
      <c r="M193" s="107"/>
      <c r="N193" s="107"/>
      <c r="O193" s="107"/>
      <c r="P193" s="107"/>
      <c r="Q193" s="107"/>
      <c r="R193" s="148">
        <f>R149/R51*360</f>
        <v>6.5606712734452115</v>
      </c>
      <c r="S193" s="107"/>
      <c r="T193" s="107"/>
      <c r="U193" s="107"/>
      <c r="V193" s="107"/>
      <c r="W193" s="148">
        <f>W149/W51*360</f>
        <v>9.932971962616822</v>
      </c>
      <c r="X193" s="129"/>
      <c r="Y193" s="129"/>
      <c r="Z193" s="129"/>
      <c r="AA193" s="129"/>
      <c r="AB193" s="148">
        <f>AB149/AB51*360</f>
        <v>16.738378378378378</v>
      </c>
      <c r="AC193" s="149"/>
      <c r="AD193" s="149"/>
      <c r="AE193" s="149"/>
      <c r="AF193" s="149"/>
      <c r="AG193" s="148">
        <f>AG149/AG51*360</f>
        <v>18.010210981014517</v>
      </c>
      <c r="AH193" s="149"/>
      <c r="AI193" s="149"/>
      <c r="AJ193" s="149"/>
      <c r="AK193" s="149"/>
      <c r="AL193" s="148">
        <f>AL149/AL51*360</f>
        <v>18.172631885424757</v>
      </c>
      <c r="AM193" s="107"/>
      <c r="AN193" s="107"/>
      <c r="AO193" s="107"/>
      <c r="AP193" s="107"/>
      <c r="AQ193" s="112">
        <v>17</v>
      </c>
      <c r="AR193" s="112"/>
      <c r="AS193" s="112"/>
      <c r="AT193" s="112"/>
      <c r="AU193" s="112"/>
      <c r="AV193" s="112">
        <v>17</v>
      </c>
      <c r="AW193" s="112"/>
      <c r="AX193" s="112"/>
      <c r="AY193" s="112"/>
      <c r="AZ193" s="112"/>
      <c r="BA193" s="112">
        <v>17</v>
      </c>
      <c r="BC193" s="198">
        <v>0</v>
      </c>
      <c r="BD193" s="203"/>
    </row>
    <row r="194" spans="1:56" x14ac:dyDescent="0.2">
      <c r="B194" s="88" t="s">
        <v>162</v>
      </c>
      <c r="H194" s="107"/>
      <c r="I194" s="107"/>
      <c r="J194" s="107"/>
      <c r="K194" s="107"/>
      <c r="L194" s="107"/>
      <c r="M194" s="107"/>
      <c r="N194" s="107"/>
      <c r="O194" s="107"/>
      <c r="P194" s="107"/>
      <c r="Q194" s="107"/>
      <c r="R194" s="148">
        <f>R150/R51*360</f>
        <v>7.4533859822309969</v>
      </c>
      <c r="S194" s="107"/>
      <c r="T194" s="107"/>
      <c r="U194" s="107"/>
      <c r="V194" s="107"/>
      <c r="W194" s="148">
        <f>W150/W51*360</f>
        <v>7.4960747663551404</v>
      </c>
      <c r="X194" s="129"/>
      <c r="Y194" s="129"/>
      <c r="Z194" s="129"/>
      <c r="AA194" s="129"/>
      <c r="AB194" s="148">
        <f>AB150/AB51*360</f>
        <v>7.190270270270271</v>
      </c>
      <c r="AC194" s="149"/>
      <c r="AD194" s="149"/>
      <c r="AE194" s="149"/>
      <c r="AF194" s="149"/>
      <c r="AG194" s="148">
        <f>AG150/AG51*360</f>
        <v>6.4600146454350398</v>
      </c>
      <c r="AH194" s="149"/>
      <c r="AI194" s="149"/>
      <c r="AJ194" s="149"/>
      <c r="AK194" s="149"/>
      <c r="AL194" s="148">
        <f>AL150/AL51*360</f>
        <v>6.1336869371757157</v>
      </c>
      <c r="AM194" s="107"/>
      <c r="AN194" s="107"/>
      <c r="AO194" s="107"/>
      <c r="AP194" s="107"/>
      <c r="AQ194" s="112">
        <v>6</v>
      </c>
      <c r="AR194" s="112"/>
      <c r="AS194" s="112"/>
      <c r="AT194" s="112"/>
      <c r="AU194" s="112"/>
      <c r="AV194" s="112">
        <v>6</v>
      </c>
      <c r="AW194" s="112"/>
      <c r="AX194" s="112"/>
      <c r="AY194" s="112"/>
      <c r="AZ194" s="112"/>
      <c r="BA194" s="112">
        <v>6</v>
      </c>
      <c r="BC194" s="198">
        <v>0</v>
      </c>
      <c r="BD194" s="203"/>
    </row>
    <row r="195" spans="1:56" x14ac:dyDescent="0.2">
      <c r="B195" s="88" t="s">
        <v>163</v>
      </c>
      <c r="H195" s="107"/>
      <c r="I195" s="107"/>
      <c r="J195" s="107"/>
      <c r="K195" s="107"/>
      <c r="L195" s="107"/>
      <c r="M195" s="107"/>
      <c r="N195" s="107"/>
      <c r="O195" s="107"/>
      <c r="P195" s="107"/>
      <c r="Q195" s="107"/>
      <c r="R195" s="148">
        <f>SUM(R163)/R64*360</f>
        <v>12.429391304347828</v>
      </c>
      <c r="S195" s="107"/>
      <c r="T195" s="107"/>
      <c r="U195" s="107"/>
      <c r="V195" s="107"/>
      <c r="W195" s="148">
        <f>SUM(W163)/W64*360</f>
        <v>11.823252898777811</v>
      </c>
      <c r="X195" s="129"/>
      <c r="Y195" s="129"/>
      <c r="Z195" s="129"/>
      <c r="AA195" s="129"/>
      <c r="AB195" s="148">
        <f>SUM(AB163)/AB64*360</f>
        <v>12.705870130469789</v>
      </c>
      <c r="AC195" s="149"/>
      <c r="AD195" s="149"/>
      <c r="AE195" s="149"/>
      <c r="AF195" s="149"/>
      <c r="AG195" s="148">
        <f>SUM(AG163)/AG64*360</f>
        <v>8.2830932410845435</v>
      </c>
      <c r="AH195" s="149"/>
      <c r="AI195" s="149"/>
      <c r="AJ195" s="149"/>
      <c r="AK195" s="149"/>
      <c r="AL195" s="148">
        <f>SUM(AL163)/AL64*360</f>
        <v>11.495694047595261</v>
      </c>
      <c r="AM195" s="107"/>
      <c r="AN195" s="107"/>
      <c r="AO195" s="107"/>
      <c r="AP195" s="107"/>
      <c r="AQ195" s="112">
        <v>10</v>
      </c>
      <c r="AR195" s="112"/>
      <c r="AS195" s="112"/>
      <c r="AT195" s="112"/>
      <c r="AU195" s="112"/>
      <c r="AV195" s="112">
        <v>10</v>
      </c>
      <c r="AW195" s="112"/>
      <c r="AX195" s="112"/>
      <c r="AY195" s="112"/>
      <c r="AZ195" s="112"/>
      <c r="BA195" s="112">
        <v>10</v>
      </c>
      <c r="BC195" s="198">
        <v>0</v>
      </c>
      <c r="BD195" s="203"/>
    </row>
    <row r="196" spans="1:56" hidden="1" outlineLevel="1" x14ac:dyDescent="0.2">
      <c r="H196" s="107"/>
      <c r="I196" s="107"/>
      <c r="J196" s="107"/>
      <c r="K196" s="107"/>
      <c r="L196" s="107"/>
      <c r="M196" s="107"/>
      <c r="N196" s="107"/>
      <c r="O196" s="107"/>
      <c r="P196" s="107"/>
      <c r="Q196" s="107"/>
      <c r="R196" s="148"/>
      <c r="S196" s="107"/>
      <c r="T196" s="107"/>
      <c r="U196" s="107"/>
      <c r="V196" s="107"/>
      <c r="W196" s="148"/>
      <c r="X196" s="129"/>
      <c r="Y196" s="129"/>
      <c r="Z196" s="129"/>
      <c r="AA196" s="129"/>
      <c r="AB196" s="148"/>
      <c r="AC196" s="149"/>
      <c r="AD196" s="149"/>
      <c r="AE196" s="149"/>
      <c r="AF196" s="149"/>
      <c r="AG196" s="148"/>
      <c r="AH196" s="149"/>
      <c r="AI196" s="149"/>
      <c r="AJ196" s="149"/>
      <c r="AK196" s="149"/>
      <c r="AL196" s="148"/>
      <c r="AM196" s="107"/>
      <c r="AN196" s="107"/>
      <c r="AO196" s="107"/>
      <c r="AP196" s="107"/>
      <c r="AQ196" s="112"/>
      <c r="AR196" s="112"/>
      <c r="AS196" s="112"/>
      <c r="AT196" s="112"/>
      <c r="AU196" s="112"/>
      <c r="AV196" s="112"/>
      <c r="AW196" s="112"/>
      <c r="AX196" s="112"/>
      <c r="AY196" s="112"/>
      <c r="AZ196" s="112"/>
      <c r="BA196" s="112"/>
      <c r="BC196" s="198"/>
      <c r="BD196" s="203"/>
    </row>
    <row r="197" spans="1:56" hidden="1" outlineLevel="1" x14ac:dyDescent="0.2">
      <c r="B197" s="88" t="s">
        <v>206</v>
      </c>
      <c r="H197" s="107"/>
      <c r="I197" s="107"/>
      <c r="J197" s="107"/>
      <c r="K197" s="107"/>
      <c r="L197" s="107"/>
      <c r="M197" s="107"/>
      <c r="N197" s="107"/>
      <c r="O197" s="107"/>
      <c r="P197" s="107"/>
      <c r="Q197" s="107"/>
      <c r="R197" s="148">
        <f t="shared" ref="R197:BA197" si="459">(R153-R148)-(R170-R169)</f>
        <v>-108.351</v>
      </c>
      <c r="S197" s="148">
        <f t="shared" si="459"/>
        <v>0</v>
      </c>
      <c r="T197" s="148">
        <f t="shared" si="459"/>
        <v>0</v>
      </c>
      <c r="U197" s="148">
        <f t="shared" si="459"/>
        <v>0</v>
      </c>
      <c r="V197" s="148">
        <f t="shared" si="459"/>
        <v>0</v>
      </c>
      <c r="W197" s="148">
        <f t="shared" si="459"/>
        <v>-41.357000000000028</v>
      </c>
      <c r="X197" s="148">
        <f t="shared" si="459"/>
        <v>0</v>
      </c>
      <c r="Y197" s="148">
        <f t="shared" si="459"/>
        <v>0</v>
      </c>
      <c r="Z197" s="148">
        <f t="shared" si="459"/>
        <v>0</v>
      </c>
      <c r="AA197" s="148">
        <f t="shared" si="459"/>
        <v>0</v>
      </c>
      <c r="AB197" s="148">
        <f t="shared" si="459"/>
        <v>-25.988999999999976</v>
      </c>
      <c r="AC197" s="148">
        <f t="shared" si="459"/>
        <v>0</v>
      </c>
      <c r="AD197" s="148">
        <f t="shared" si="459"/>
        <v>0</v>
      </c>
      <c r="AE197" s="148">
        <f t="shared" si="459"/>
        <v>0</v>
      </c>
      <c r="AF197" s="148">
        <f t="shared" si="459"/>
        <v>0</v>
      </c>
      <c r="AG197" s="148">
        <f t="shared" si="459"/>
        <v>1.6649999999999636</v>
      </c>
      <c r="AH197" s="148">
        <f t="shared" si="459"/>
        <v>0</v>
      </c>
      <c r="AI197" s="148">
        <f t="shared" si="459"/>
        <v>0</v>
      </c>
      <c r="AJ197" s="148">
        <f t="shared" si="459"/>
        <v>0</v>
      </c>
      <c r="AK197" s="148">
        <f t="shared" si="459"/>
        <v>0</v>
      </c>
      <c r="AL197" s="148">
        <f t="shared" si="459"/>
        <v>-136.33500000000004</v>
      </c>
      <c r="AM197" s="148">
        <f t="shared" si="459"/>
        <v>0</v>
      </c>
      <c r="AN197" s="148">
        <f t="shared" si="459"/>
        <v>0</v>
      </c>
      <c r="AO197" s="148">
        <f t="shared" si="459"/>
        <v>0</v>
      </c>
      <c r="AP197" s="148">
        <f t="shared" si="459"/>
        <v>0</v>
      </c>
      <c r="AQ197" s="148">
        <f t="shared" ca="1" si="459"/>
        <v>-144.55013393750289</v>
      </c>
      <c r="AR197" s="148">
        <f t="shared" si="459"/>
        <v>0</v>
      </c>
      <c r="AS197" s="148">
        <f t="shared" si="459"/>
        <v>0</v>
      </c>
      <c r="AT197" s="148">
        <f t="shared" si="459"/>
        <v>0</v>
      </c>
      <c r="AU197" s="148">
        <f t="shared" si="459"/>
        <v>0</v>
      </c>
      <c r="AV197" s="148">
        <f t="shared" ca="1" si="459"/>
        <v>-149.72181641542289</v>
      </c>
      <c r="AW197" s="148">
        <f t="shared" si="459"/>
        <v>0</v>
      </c>
      <c r="AX197" s="148">
        <f t="shared" si="459"/>
        <v>0</v>
      </c>
      <c r="AY197" s="148">
        <f t="shared" si="459"/>
        <v>0</v>
      </c>
      <c r="AZ197" s="148">
        <f t="shared" si="459"/>
        <v>0</v>
      </c>
      <c r="BA197" s="148">
        <f t="shared" ca="1" si="459"/>
        <v>-151.9231676418637</v>
      </c>
      <c r="BC197" s="198"/>
      <c r="BD197" s="203"/>
    </row>
    <row r="198" spans="1:56" hidden="1" outlineLevel="1" x14ac:dyDescent="0.2">
      <c r="B198" s="117" t="s">
        <v>207</v>
      </c>
      <c r="H198" s="107"/>
      <c r="I198" s="107"/>
      <c r="J198" s="107"/>
      <c r="K198" s="107"/>
      <c r="L198" s="107"/>
      <c r="M198" s="107"/>
      <c r="N198" s="107"/>
      <c r="O198" s="107"/>
      <c r="P198" s="107"/>
      <c r="Q198" s="107"/>
      <c r="R198" s="148"/>
      <c r="S198" s="148"/>
      <c r="T198" s="148"/>
      <c r="U198" s="148"/>
      <c r="V198" s="148"/>
      <c r="W198" s="245">
        <f>R197-W197</f>
        <v>-66.993999999999971</v>
      </c>
      <c r="X198" s="245">
        <f t="shared" ref="X198:AZ198" si="460">S197-X197</f>
        <v>0</v>
      </c>
      <c r="Y198" s="245">
        <f t="shared" si="460"/>
        <v>0</v>
      </c>
      <c r="Z198" s="245">
        <f t="shared" si="460"/>
        <v>0</v>
      </c>
      <c r="AA198" s="245">
        <f t="shared" si="460"/>
        <v>0</v>
      </c>
      <c r="AB198" s="245">
        <f t="shared" si="460"/>
        <v>-15.368000000000052</v>
      </c>
      <c r="AC198" s="245">
        <f t="shared" si="460"/>
        <v>0</v>
      </c>
      <c r="AD198" s="245">
        <f t="shared" si="460"/>
        <v>0</v>
      </c>
      <c r="AE198" s="245">
        <f t="shared" si="460"/>
        <v>0</v>
      </c>
      <c r="AF198" s="245">
        <f t="shared" si="460"/>
        <v>0</v>
      </c>
      <c r="AG198" s="245">
        <f t="shared" si="460"/>
        <v>-27.65399999999994</v>
      </c>
      <c r="AH198" s="245">
        <f t="shared" si="460"/>
        <v>0</v>
      </c>
      <c r="AI198" s="245">
        <f t="shared" si="460"/>
        <v>0</v>
      </c>
      <c r="AJ198" s="245">
        <f t="shared" si="460"/>
        <v>0</v>
      </c>
      <c r="AK198" s="245">
        <f t="shared" si="460"/>
        <v>0</v>
      </c>
      <c r="AL198" s="245">
        <f t="shared" si="460"/>
        <v>138</v>
      </c>
      <c r="AM198" s="245">
        <f t="shared" si="460"/>
        <v>0</v>
      </c>
      <c r="AN198" s="245">
        <f t="shared" si="460"/>
        <v>0</v>
      </c>
      <c r="AO198" s="245">
        <f t="shared" si="460"/>
        <v>0</v>
      </c>
      <c r="AP198" s="245">
        <f t="shared" si="460"/>
        <v>0</v>
      </c>
      <c r="AQ198" s="245">
        <f ca="1">AL197-AQ197</f>
        <v>8.2151339375028556</v>
      </c>
      <c r="AR198" s="245">
        <f t="shared" si="460"/>
        <v>0</v>
      </c>
      <c r="AS198" s="245">
        <f t="shared" si="460"/>
        <v>0</v>
      </c>
      <c r="AT198" s="245">
        <f t="shared" si="460"/>
        <v>0</v>
      </c>
      <c r="AU198" s="245">
        <f t="shared" si="460"/>
        <v>0</v>
      </c>
      <c r="AV198" s="245">
        <f ca="1">AQ197-AV197</f>
        <v>5.171682477920001</v>
      </c>
      <c r="AW198" s="245">
        <f t="shared" si="460"/>
        <v>0</v>
      </c>
      <c r="AX198" s="245">
        <f t="shared" si="460"/>
        <v>0</v>
      </c>
      <c r="AY198" s="245">
        <f t="shared" si="460"/>
        <v>0</v>
      </c>
      <c r="AZ198" s="245">
        <f t="shared" si="460"/>
        <v>0</v>
      </c>
      <c r="BA198" s="245">
        <f ca="1">AV197-BA197</f>
        <v>2.2013512264408064</v>
      </c>
      <c r="BC198" s="198"/>
      <c r="BD198" s="203"/>
    </row>
    <row r="199" spans="1:56" collapsed="1" x14ac:dyDescent="0.2">
      <c r="H199" s="107"/>
      <c r="I199" s="107"/>
      <c r="J199" s="107"/>
      <c r="K199" s="107"/>
      <c r="L199" s="107"/>
      <c r="M199" s="107"/>
      <c r="N199" s="107"/>
      <c r="O199" s="107"/>
      <c r="P199" s="107"/>
      <c r="Q199" s="107"/>
      <c r="R199" s="107"/>
      <c r="S199" s="107"/>
      <c r="T199" s="107"/>
      <c r="U199" s="107"/>
      <c r="V199" s="107"/>
      <c r="W199" s="107"/>
      <c r="X199" s="107"/>
      <c r="Y199" s="107"/>
      <c r="Z199" s="107"/>
      <c r="AA199" s="107"/>
      <c r="AB199" s="107"/>
      <c r="AC199" s="107"/>
      <c r="AD199" s="107"/>
      <c r="AE199" s="107"/>
      <c r="AF199" s="107"/>
      <c r="AG199" s="107"/>
      <c r="AH199" s="107"/>
      <c r="AI199" s="107"/>
      <c r="AJ199" s="107"/>
      <c r="AK199" s="107"/>
      <c r="AL199" s="107"/>
      <c r="AM199" s="107"/>
      <c r="AN199" s="107"/>
      <c r="AO199" s="107"/>
      <c r="AP199" s="107"/>
      <c r="AQ199" s="107"/>
      <c r="AR199" s="107"/>
      <c r="AS199" s="107"/>
      <c r="AT199" s="107"/>
      <c r="AU199" s="107"/>
      <c r="AV199" s="107"/>
      <c r="AW199" s="107"/>
      <c r="AX199" s="107"/>
      <c r="AY199" s="107"/>
      <c r="AZ199" s="107"/>
      <c r="BA199" s="124"/>
      <c r="BC199" s="198">
        <v>0</v>
      </c>
      <c r="BD199" s="203"/>
    </row>
    <row r="200" spans="1:56" s="272" customFormat="1" ht="18" x14ac:dyDescent="0.25">
      <c r="A200" s="269"/>
      <c r="B200" s="256" t="s">
        <v>75</v>
      </c>
      <c r="C200" s="257"/>
      <c r="D200" s="257"/>
      <c r="E200" s="257"/>
      <c r="F200" s="257"/>
      <c r="G200" s="257"/>
      <c r="H200" s="257"/>
      <c r="I200" s="257"/>
      <c r="J200" s="257"/>
      <c r="K200" s="257"/>
      <c r="L200" s="257"/>
      <c r="M200" s="257"/>
      <c r="N200" s="257"/>
      <c r="O200" s="257"/>
      <c r="P200" s="257"/>
      <c r="Q200" s="257"/>
      <c r="R200" s="257"/>
      <c r="S200" s="257"/>
      <c r="T200" s="257"/>
      <c r="U200" s="257"/>
      <c r="V200" s="257"/>
      <c r="W200" s="257"/>
      <c r="X200" s="257"/>
      <c r="Y200" s="257"/>
      <c r="Z200" s="257"/>
      <c r="AA200" s="257"/>
      <c r="AB200" s="257"/>
      <c r="AC200" s="257"/>
      <c r="AD200" s="257"/>
      <c r="AE200" s="257"/>
      <c r="AF200" s="257"/>
      <c r="AG200" s="257"/>
      <c r="AH200" s="257"/>
      <c r="AI200" s="257"/>
      <c r="AJ200" s="257"/>
      <c r="AK200" s="257"/>
      <c r="AL200" s="257"/>
      <c r="AM200" s="257"/>
      <c r="AN200" s="257"/>
      <c r="AO200" s="257"/>
      <c r="AP200" s="257"/>
      <c r="AQ200" s="257"/>
      <c r="AR200" s="257"/>
      <c r="AS200" s="257"/>
      <c r="AT200" s="257"/>
      <c r="AU200" s="257"/>
      <c r="AV200" s="257"/>
      <c r="AW200" s="257"/>
      <c r="AX200" s="257"/>
      <c r="AY200" s="257"/>
      <c r="AZ200" s="257"/>
      <c r="BA200" s="258"/>
      <c r="BB200" s="270"/>
      <c r="BC200" s="260">
        <v>0</v>
      </c>
      <c r="BD200" s="271"/>
    </row>
    <row r="201" spans="1:56" x14ac:dyDescent="0.2">
      <c r="W201" s="150"/>
      <c r="AB201" s="150"/>
      <c r="AG201" s="150"/>
      <c r="AL201" s="150"/>
      <c r="BC201" s="198">
        <v>0</v>
      </c>
      <c r="BD201" s="203"/>
    </row>
    <row r="202" spans="1:56" x14ac:dyDescent="0.2">
      <c r="B202" s="88" t="s">
        <v>111</v>
      </c>
      <c r="H202" s="107"/>
      <c r="I202" s="107"/>
      <c r="J202" s="107"/>
      <c r="K202" s="107"/>
      <c r="L202" s="107"/>
      <c r="M202" s="107"/>
      <c r="N202" s="107"/>
      <c r="O202" s="107"/>
      <c r="P202" s="107"/>
      <c r="Q202" s="107"/>
      <c r="R202" s="112">
        <v>13.145</v>
      </c>
      <c r="S202" s="107"/>
      <c r="T202" s="107"/>
      <c r="U202" s="107"/>
      <c r="V202" s="107"/>
      <c r="W202" s="112">
        <v>403.03899999999999</v>
      </c>
      <c r="X202" s="112"/>
      <c r="Y202" s="112"/>
      <c r="Z202" s="112"/>
      <c r="AA202" s="112"/>
      <c r="AB202" s="112">
        <v>156.87299999999999</v>
      </c>
      <c r="AC202" s="112"/>
      <c r="AD202" s="112"/>
      <c r="AE202" s="112"/>
      <c r="AF202" s="112"/>
      <c r="AG202" s="112">
        <v>114.03400000000001</v>
      </c>
      <c r="AH202" s="112"/>
      <c r="AI202" s="112"/>
      <c r="AJ202" s="112"/>
      <c r="AK202" s="112"/>
      <c r="AL202" s="112">
        <v>192.85499999999999</v>
      </c>
      <c r="AM202" s="107"/>
      <c r="AN202" s="107"/>
      <c r="AO202" s="107"/>
      <c r="AP202" s="107"/>
      <c r="AQ202" s="107">
        <f>AQ80-AQ79</f>
        <v>195.43717090799998</v>
      </c>
      <c r="AR202" s="107"/>
      <c r="AS202" s="107"/>
      <c r="AT202" s="107"/>
      <c r="AU202" s="107"/>
      <c r="AV202" s="107">
        <f>AV80-AV79</f>
        <v>208.45719270230404</v>
      </c>
      <c r="AW202" s="107"/>
      <c r="AX202" s="107"/>
      <c r="AY202" s="107"/>
      <c r="AZ202" s="107"/>
      <c r="BA202" s="107">
        <f>BA80-BA79</f>
        <v>234.84198580156433</v>
      </c>
      <c r="BC202" s="198">
        <v>0</v>
      </c>
      <c r="BD202" s="203"/>
    </row>
    <row r="203" spans="1:56" x14ac:dyDescent="0.2">
      <c r="B203" s="88" t="s">
        <v>112</v>
      </c>
      <c r="H203" s="107"/>
      <c r="I203" s="107"/>
      <c r="J203" s="107"/>
      <c r="K203" s="107"/>
      <c r="L203" s="107"/>
      <c r="M203" s="107"/>
      <c r="N203" s="107"/>
      <c r="O203" s="107"/>
      <c r="P203" s="107"/>
      <c r="Q203" s="107"/>
      <c r="R203" s="112">
        <v>168.999</v>
      </c>
      <c r="S203" s="107"/>
      <c r="T203" s="107"/>
      <c r="U203" s="107"/>
      <c r="V203" s="107"/>
      <c r="W203" s="112">
        <v>148.04499999999999</v>
      </c>
      <c r="X203" s="112"/>
      <c r="Y203" s="112"/>
      <c r="Z203" s="112"/>
      <c r="AA203" s="112"/>
      <c r="AB203" s="112">
        <v>128.07499999999999</v>
      </c>
      <c r="AC203" s="112"/>
      <c r="AD203" s="112"/>
      <c r="AE203" s="112"/>
      <c r="AF203" s="112"/>
      <c r="AG203" s="112">
        <v>108.107</v>
      </c>
      <c r="AH203" s="112"/>
      <c r="AI203" s="112"/>
      <c r="AJ203" s="112"/>
      <c r="AK203" s="112"/>
      <c r="AL203" s="112">
        <v>107.411</v>
      </c>
      <c r="AM203" s="107"/>
      <c r="AN203" s="107"/>
      <c r="AO203" s="107"/>
      <c r="AP203" s="107"/>
      <c r="AQ203" s="107">
        <f>AQ69</f>
        <v>114.01048300000001</v>
      </c>
      <c r="AR203" s="107"/>
      <c r="AS203" s="107"/>
      <c r="AT203" s="107"/>
      <c r="AU203" s="107"/>
      <c r="AV203" s="107">
        <f>AV69</f>
        <v>118.85938035200003</v>
      </c>
      <c r="AW203" s="107"/>
      <c r="AX203" s="107"/>
      <c r="AY203" s="107"/>
      <c r="AZ203" s="107"/>
      <c r="BA203" s="107">
        <f>BA69</f>
        <v>121.70855072338</v>
      </c>
      <c r="BC203" s="198">
        <v>0</v>
      </c>
      <c r="BD203" s="203"/>
    </row>
    <row r="204" spans="1:56" x14ac:dyDescent="0.2">
      <c r="B204" s="88" t="s">
        <v>113</v>
      </c>
      <c r="H204" s="107"/>
      <c r="I204" s="107"/>
      <c r="J204" s="107"/>
      <c r="K204" s="107"/>
      <c r="L204" s="107"/>
      <c r="M204" s="107"/>
      <c r="N204" s="107"/>
      <c r="O204" s="107"/>
      <c r="P204" s="107"/>
      <c r="Q204" s="107"/>
      <c r="R204" s="107">
        <v>54.261000000000003</v>
      </c>
      <c r="S204" s="107"/>
      <c r="T204" s="107"/>
      <c r="U204" s="107"/>
      <c r="V204" s="107"/>
      <c r="W204" s="112">
        <v>62.875</v>
      </c>
      <c r="X204" s="112"/>
      <c r="Y204" s="112"/>
      <c r="Z204" s="112"/>
      <c r="AA204" s="112"/>
      <c r="AB204" s="112">
        <v>27.033999999999999</v>
      </c>
      <c r="AC204" s="112"/>
      <c r="AD204" s="112"/>
      <c r="AE204" s="112"/>
      <c r="AF204" s="112"/>
      <c r="AG204" s="112">
        <v>140.03800000000001</v>
      </c>
      <c r="AH204" s="112"/>
      <c r="AI204" s="112"/>
      <c r="AJ204" s="112"/>
      <c r="AK204" s="112"/>
      <c r="AL204" s="112">
        <v>56.232999999999997</v>
      </c>
      <c r="AM204" s="107"/>
      <c r="AN204" s="107"/>
      <c r="AO204" s="107"/>
      <c r="AP204" s="107"/>
      <c r="AQ204" s="107">
        <f>AQ60</f>
        <v>50</v>
      </c>
      <c r="AR204" s="107"/>
      <c r="AS204" s="107"/>
      <c r="AT204" s="107"/>
      <c r="AU204" s="107"/>
      <c r="AV204" s="107">
        <f>AV60</f>
        <v>50</v>
      </c>
      <c r="AW204" s="107"/>
      <c r="AX204" s="107"/>
      <c r="AY204" s="107"/>
      <c r="AZ204" s="107"/>
      <c r="BA204" s="107">
        <f>BA60</f>
        <v>20</v>
      </c>
      <c r="BC204" s="198">
        <v>0</v>
      </c>
      <c r="BD204" s="203"/>
    </row>
    <row r="205" spans="1:56" x14ac:dyDescent="0.2">
      <c r="B205" s="203" t="s">
        <v>143</v>
      </c>
      <c r="H205" s="107"/>
      <c r="I205" s="107"/>
      <c r="J205" s="107"/>
      <c r="K205" s="107"/>
      <c r="L205" s="107"/>
      <c r="M205" s="107"/>
      <c r="N205" s="107"/>
      <c r="O205" s="107"/>
      <c r="P205" s="107"/>
      <c r="Q205" s="107"/>
      <c r="R205" s="112">
        <v>-14.701000000000001</v>
      </c>
      <c r="S205" s="107"/>
      <c r="T205" s="107"/>
      <c r="U205" s="107"/>
      <c r="V205" s="107"/>
      <c r="W205" s="112">
        <v>-194.167</v>
      </c>
      <c r="X205" s="112"/>
      <c r="Y205" s="112"/>
      <c r="Z205" s="112"/>
      <c r="AA205" s="112"/>
      <c r="AB205" s="112">
        <v>34.914999999999999</v>
      </c>
      <c r="AC205" s="112"/>
      <c r="AD205" s="112"/>
      <c r="AE205" s="112"/>
      <c r="AF205" s="112"/>
      <c r="AG205" s="112">
        <v>33.290999999999997</v>
      </c>
      <c r="AH205" s="112"/>
      <c r="AI205" s="112"/>
      <c r="AJ205" s="112"/>
      <c r="AK205" s="112"/>
      <c r="AL205" s="112">
        <v>54.496000000000002</v>
      </c>
      <c r="AM205" s="107"/>
      <c r="AN205" s="107"/>
      <c r="AO205" s="107"/>
      <c r="AP205" s="107"/>
      <c r="AQ205" s="107">
        <f>AQ134</f>
        <v>114.78056069199999</v>
      </c>
      <c r="AR205" s="107">
        <f>(AM152-AR152)+(AR168-AM168)</f>
        <v>0</v>
      </c>
      <c r="AS205" s="107">
        <f>(AN152-AS152)+(AS168-AN168)</f>
        <v>0</v>
      </c>
      <c r="AT205" s="107">
        <f>(AO152-AT152)+(AT168-AO168)</f>
        <v>0</v>
      </c>
      <c r="AU205" s="107">
        <f>(AP152-AU152)+(AU168-AP168)</f>
        <v>0</v>
      </c>
      <c r="AV205" s="107">
        <f>AV134</f>
        <v>19.43064930800001</v>
      </c>
      <c r="AW205" s="107">
        <f>(AR152-AW152)+(AW168-AR168)</f>
        <v>0</v>
      </c>
      <c r="AX205" s="107">
        <f>(AS152-AX152)+(AX168-AS168)</f>
        <v>0</v>
      </c>
      <c r="AY205" s="107">
        <f>(AT152-AY152)+(AY168-AT168)</f>
        <v>0</v>
      </c>
      <c r="AZ205" s="107">
        <f>(AU152-AZ152)+(AZ168-AU168)</f>
        <v>0</v>
      </c>
      <c r="BA205" s="107">
        <f>BA134</f>
        <v>0</v>
      </c>
      <c r="BC205" s="198">
        <v>0</v>
      </c>
      <c r="BD205" s="203"/>
    </row>
    <row r="206" spans="1:56" x14ac:dyDescent="0.2">
      <c r="B206" s="88" t="s">
        <v>197</v>
      </c>
      <c r="H206" s="107"/>
      <c r="I206" s="107"/>
      <c r="J206" s="107"/>
      <c r="K206" s="107"/>
      <c r="L206" s="107"/>
      <c r="M206" s="107"/>
      <c r="N206" s="107"/>
      <c r="O206" s="107"/>
      <c r="P206" s="107"/>
      <c r="Q206" s="107"/>
      <c r="R206" s="107">
        <f>R213-R212-R204-R203-R202</f>
        <v>33.611000000000033</v>
      </c>
      <c r="S206" s="107"/>
      <c r="T206" s="107"/>
      <c r="U206" s="107"/>
      <c r="V206" s="107"/>
      <c r="W206" s="107">
        <f>W213-W212-W204-W203-W202</f>
        <v>-248.66</v>
      </c>
      <c r="X206" s="107"/>
      <c r="Y206" s="107"/>
      <c r="Z206" s="107"/>
      <c r="AA206" s="107"/>
      <c r="AB206" s="107">
        <f>AB213-AB212-AB204-AB203-AB202</f>
        <v>51.049000000000035</v>
      </c>
      <c r="AC206" s="107"/>
      <c r="AD206" s="107"/>
      <c r="AE206" s="107"/>
      <c r="AF206" s="107"/>
      <c r="AG206" s="107">
        <f>AG213-AG212-AG204-AG203-AG202</f>
        <v>30.900999999999968</v>
      </c>
      <c r="AH206" s="107"/>
      <c r="AI206" s="107"/>
      <c r="AJ206" s="107"/>
      <c r="AK206" s="107"/>
      <c r="AL206" s="107">
        <f>AL213-AL212-AL204-AL203-AL202</f>
        <v>83.705000000000013</v>
      </c>
      <c r="AM206" s="107"/>
      <c r="AN206" s="107"/>
      <c r="AO206" s="107"/>
      <c r="AP206" s="107"/>
      <c r="AQ206" s="112">
        <v>2.6059999999999999</v>
      </c>
      <c r="AR206" s="107"/>
      <c r="AS206" s="107"/>
      <c r="AT206" s="107"/>
      <c r="AU206" s="107"/>
      <c r="AV206" s="112">
        <v>2.4849999999999999</v>
      </c>
      <c r="AW206" s="107"/>
      <c r="AX206" s="107"/>
      <c r="AY206" s="107"/>
      <c r="AZ206" s="107"/>
      <c r="BA206" s="112">
        <v>2.4359999999999999</v>
      </c>
      <c r="BC206" s="198">
        <v>0</v>
      </c>
      <c r="BD206" s="203"/>
    </row>
    <row r="207" spans="1:56" hidden="1" outlineLevel="1" x14ac:dyDescent="0.2">
      <c r="B207" s="125" t="s">
        <v>114</v>
      </c>
      <c r="H207" s="107"/>
      <c r="I207" s="107"/>
      <c r="J207" s="107"/>
      <c r="K207" s="107"/>
      <c r="L207" s="107"/>
      <c r="M207" s="107"/>
      <c r="N207" s="107"/>
      <c r="O207" s="107"/>
      <c r="P207" s="107"/>
      <c r="Q207" s="107"/>
      <c r="R207" s="112">
        <v>0.84399999999999997</v>
      </c>
      <c r="S207" s="107"/>
      <c r="T207" s="107"/>
      <c r="U207" s="107"/>
      <c r="V207" s="107"/>
      <c r="W207" s="112">
        <v>-10.497</v>
      </c>
      <c r="X207" s="112"/>
      <c r="Y207" s="112"/>
      <c r="Z207" s="112"/>
      <c r="AA207" s="112"/>
      <c r="AB207" s="112">
        <v>-22.146000000000001</v>
      </c>
      <c r="AC207" s="112"/>
      <c r="AD207" s="112"/>
      <c r="AE207" s="112"/>
      <c r="AF207" s="112"/>
      <c r="AG207" s="112">
        <v>-7.7640000000000002</v>
      </c>
      <c r="AH207" s="112"/>
      <c r="AI207" s="112"/>
      <c r="AJ207" s="112"/>
      <c r="AK207" s="112"/>
      <c r="AL207" s="112">
        <v>-6.0720000000000001</v>
      </c>
      <c r="AM207" s="107"/>
      <c r="AN207" s="107"/>
      <c r="AO207" s="107"/>
      <c r="AP207" s="107"/>
      <c r="AQ207" s="107">
        <f t="shared" ref="AQ207:BA207" si="461">AL149-AQ149</f>
        <v>0.46384277777777072</v>
      </c>
      <c r="AR207" s="107">
        <f t="shared" si="461"/>
        <v>0</v>
      </c>
      <c r="AS207" s="107">
        <f t="shared" si="461"/>
        <v>0</v>
      </c>
      <c r="AT207" s="107">
        <f t="shared" si="461"/>
        <v>0</v>
      </c>
      <c r="AU207" s="107">
        <f t="shared" si="461"/>
        <v>0</v>
      </c>
      <c r="AV207" s="107">
        <f t="shared" si="461"/>
        <v>-2.6938318622222255</v>
      </c>
      <c r="AW207" s="107">
        <f t="shared" si="461"/>
        <v>0</v>
      </c>
      <c r="AX207" s="107">
        <f t="shared" si="461"/>
        <v>0</v>
      </c>
      <c r="AY207" s="107">
        <f t="shared" si="461"/>
        <v>0</v>
      </c>
      <c r="AZ207" s="107">
        <f t="shared" si="461"/>
        <v>0</v>
      </c>
      <c r="BA207" s="107">
        <f t="shared" si="461"/>
        <v>-1.5828724285444338</v>
      </c>
      <c r="BC207" s="198">
        <v>0</v>
      </c>
      <c r="BD207" s="203"/>
    </row>
    <row r="208" spans="1:56" hidden="1" outlineLevel="1" x14ac:dyDescent="0.2">
      <c r="B208" s="125" t="s">
        <v>140</v>
      </c>
      <c r="H208" s="107"/>
      <c r="I208" s="107"/>
      <c r="J208" s="107"/>
      <c r="K208" s="107"/>
      <c r="L208" s="107"/>
      <c r="M208" s="107"/>
      <c r="N208" s="107"/>
      <c r="O208" s="107"/>
      <c r="P208" s="107"/>
      <c r="Q208" s="107"/>
      <c r="R208" s="112">
        <v>-0.54900000000000004</v>
      </c>
      <c r="S208" s="107"/>
      <c r="T208" s="107"/>
      <c r="U208" s="107"/>
      <c r="V208" s="107"/>
      <c r="W208" s="112">
        <v>-2.3519999999999999</v>
      </c>
      <c r="X208" s="112"/>
      <c r="Y208" s="112"/>
      <c r="Z208" s="112"/>
      <c r="AA208" s="112"/>
      <c r="AB208" s="112">
        <v>-2.0619999999999998</v>
      </c>
      <c r="AC208" s="112"/>
      <c r="AD208" s="112"/>
      <c r="AE208" s="112"/>
      <c r="AF208" s="112"/>
      <c r="AG208" s="112">
        <v>-5.7439999999999998</v>
      </c>
      <c r="AH208" s="112"/>
      <c r="AI208" s="112"/>
      <c r="AJ208" s="112"/>
      <c r="AK208" s="112"/>
      <c r="AL208" s="112">
        <v>0.30599999999999999</v>
      </c>
      <c r="AM208" s="107"/>
      <c r="AN208" s="107"/>
      <c r="AO208" s="107"/>
      <c r="AP208" s="107"/>
      <c r="AQ208" s="107">
        <f t="shared" ref="AQ208:BA208" si="462">(AL150+AL151+AL152)-(AQ150+AQ151+AQ152)</f>
        <v>-3.444489816014169</v>
      </c>
      <c r="AR208" s="107">
        <f t="shared" si="462"/>
        <v>0</v>
      </c>
      <c r="AS208" s="107">
        <f t="shared" si="462"/>
        <v>0</v>
      </c>
      <c r="AT208" s="107">
        <f t="shared" si="462"/>
        <v>0</v>
      </c>
      <c r="AU208" s="107">
        <f t="shared" si="462"/>
        <v>0</v>
      </c>
      <c r="AV208" s="107">
        <f t="shared" si="462"/>
        <v>-2.8860403264811367</v>
      </c>
      <c r="AW208" s="107">
        <f t="shared" si="462"/>
        <v>0</v>
      </c>
      <c r="AX208" s="107">
        <f t="shared" si="462"/>
        <v>0</v>
      </c>
      <c r="AY208" s="107">
        <f t="shared" si="462"/>
        <v>0</v>
      </c>
      <c r="AZ208" s="107">
        <f t="shared" si="462"/>
        <v>0</v>
      </c>
      <c r="BA208" s="107">
        <f t="shared" si="462"/>
        <v>-1.6958124686690184</v>
      </c>
      <c r="BC208" s="198">
        <v>0</v>
      </c>
      <c r="BD208" s="203"/>
    </row>
    <row r="209" spans="1:56" hidden="1" outlineLevel="1" x14ac:dyDescent="0.2">
      <c r="B209" s="125" t="s">
        <v>141</v>
      </c>
      <c r="H209" s="107"/>
      <c r="I209" s="107"/>
      <c r="J209" s="107"/>
      <c r="K209" s="107"/>
      <c r="L209" s="107"/>
      <c r="M209" s="107"/>
      <c r="N209" s="107"/>
      <c r="O209" s="107"/>
      <c r="P209" s="107"/>
      <c r="Q209" s="107"/>
      <c r="R209" s="112">
        <v>6.1509999999999998</v>
      </c>
      <c r="S209" s="107"/>
      <c r="T209" s="107"/>
      <c r="U209" s="107"/>
      <c r="V209" s="107"/>
      <c r="W209" s="112">
        <v>5.4390000000000001</v>
      </c>
      <c r="X209" s="112"/>
      <c r="Y209" s="112"/>
      <c r="Z209" s="112"/>
      <c r="AA209" s="112"/>
      <c r="AB209" s="112">
        <v>0.47299999999999998</v>
      </c>
      <c r="AC209" s="112"/>
      <c r="AD209" s="112"/>
      <c r="AE209" s="112"/>
      <c r="AF209" s="112"/>
      <c r="AG209" s="112">
        <v>-0.48599999999999999</v>
      </c>
      <c r="AH209" s="112"/>
      <c r="AI209" s="112"/>
      <c r="AJ209" s="112"/>
      <c r="AK209" s="112"/>
      <c r="AL209" s="112">
        <v>-2.4649999999999999</v>
      </c>
      <c r="AM209" s="107"/>
      <c r="AN209" s="107"/>
      <c r="AO209" s="107"/>
      <c r="AP209" s="107"/>
      <c r="AQ209" s="107">
        <f>AL151-AQ151</f>
        <v>-2.6244931493475079</v>
      </c>
      <c r="AR209" s="107">
        <v>0</v>
      </c>
      <c r="AS209" s="107">
        <v>0</v>
      </c>
      <c r="AT209" s="107">
        <v>0</v>
      </c>
      <c r="AU209" s="107">
        <v>0</v>
      </c>
      <c r="AV209" s="107">
        <f>AQ151-AV151</f>
        <v>-1.9352761398144622</v>
      </c>
      <c r="AW209" s="107">
        <v>0</v>
      </c>
      <c r="AX209" s="107">
        <v>0</v>
      </c>
      <c r="AY209" s="107">
        <v>0</v>
      </c>
      <c r="AZ209" s="107">
        <v>0</v>
      </c>
      <c r="BA209" s="107">
        <v>0</v>
      </c>
      <c r="BC209" s="198">
        <v>0</v>
      </c>
      <c r="BD209" s="203"/>
    </row>
    <row r="210" spans="1:56" hidden="1" outlineLevel="1" x14ac:dyDescent="0.2">
      <c r="B210" s="125" t="s">
        <v>116</v>
      </c>
      <c r="H210" s="107"/>
      <c r="I210" s="107"/>
      <c r="J210" s="107"/>
      <c r="K210" s="107"/>
      <c r="L210" s="107"/>
      <c r="M210" s="107"/>
      <c r="N210" s="107"/>
      <c r="O210" s="107"/>
      <c r="P210" s="107"/>
      <c r="Q210" s="107"/>
      <c r="R210" s="112">
        <v>0.81699999999999995</v>
      </c>
      <c r="S210" s="107"/>
      <c r="T210" s="107"/>
      <c r="U210" s="107"/>
      <c r="V210" s="107"/>
      <c r="W210" s="112">
        <v>12.455</v>
      </c>
      <c r="X210" s="112"/>
      <c r="Y210" s="112"/>
      <c r="Z210" s="112"/>
      <c r="AA210" s="112"/>
      <c r="AB210" s="112">
        <v>12.147</v>
      </c>
      <c r="AC210" s="112"/>
      <c r="AD210" s="112"/>
      <c r="AE210" s="112"/>
      <c r="AF210" s="112"/>
      <c r="AG210" s="112">
        <v>13.292999999999999</v>
      </c>
      <c r="AH210" s="112"/>
      <c r="AI210" s="112"/>
      <c r="AJ210" s="112"/>
      <c r="AK210" s="112"/>
      <c r="AL210" s="112">
        <v>41.774999999999999</v>
      </c>
      <c r="AM210" s="107"/>
      <c r="AN210" s="107"/>
      <c r="AO210" s="107"/>
      <c r="AP210" s="107"/>
      <c r="AQ210" s="107">
        <f t="shared" ref="AQ210:BA210" si="463">SUM(AQ163:AQ165)-SUM(AL163:AL165)</f>
        <v>3.1135245941763259</v>
      </c>
      <c r="AR210" s="107">
        <f t="shared" si="463"/>
        <v>0</v>
      </c>
      <c r="AS210" s="107">
        <f t="shared" si="463"/>
        <v>0</v>
      </c>
      <c r="AT210" s="107">
        <f t="shared" si="463"/>
        <v>0</v>
      </c>
      <c r="AU210" s="107">
        <f t="shared" si="463"/>
        <v>0</v>
      </c>
      <c r="AV210" s="107">
        <f t="shared" si="463"/>
        <v>4.7917761337698863</v>
      </c>
      <c r="AW210" s="107">
        <f t="shared" si="463"/>
        <v>0</v>
      </c>
      <c r="AX210" s="107">
        <f t="shared" si="463"/>
        <v>0</v>
      </c>
      <c r="AY210" s="107">
        <f t="shared" si="463"/>
        <v>0</v>
      </c>
      <c r="AZ210" s="107">
        <f t="shared" si="463"/>
        <v>0</v>
      </c>
      <c r="BA210" s="107">
        <f t="shared" si="463"/>
        <v>1.9781215267639141</v>
      </c>
      <c r="BC210" s="198">
        <v>0</v>
      </c>
      <c r="BD210" s="203"/>
    </row>
    <row r="211" spans="1:56" hidden="1" outlineLevel="1" x14ac:dyDescent="0.2">
      <c r="B211" s="125" t="s">
        <v>142</v>
      </c>
      <c r="H211" s="107"/>
      <c r="I211" s="107"/>
      <c r="J211" s="107"/>
      <c r="K211" s="107"/>
      <c r="L211" s="107"/>
      <c r="M211" s="107"/>
      <c r="N211" s="107"/>
      <c r="O211" s="107"/>
      <c r="P211" s="107"/>
      <c r="Q211" s="107"/>
      <c r="R211" s="112">
        <v>-2.3420000000000001</v>
      </c>
      <c r="S211" s="107"/>
      <c r="T211" s="107"/>
      <c r="U211" s="107"/>
      <c r="V211" s="107"/>
      <c r="W211" s="112">
        <v>1.288</v>
      </c>
      <c r="X211" s="112"/>
      <c r="Y211" s="112"/>
      <c r="Z211" s="112"/>
      <c r="AA211" s="112"/>
      <c r="AB211" s="112">
        <v>17.239000000000001</v>
      </c>
      <c r="AC211" s="112"/>
      <c r="AD211" s="112"/>
      <c r="AE211" s="112"/>
      <c r="AF211" s="112"/>
      <c r="AG211" s="112">
        <v>-5.6000000000000001E-2</v>
      </c>
      <c r="AH211" s="112"/>
      <c r="AI211" s="112"/>
      <c r="AJ211" s="112"/>
      <c r="AK211" s="112"/>
      <c r="AL211" s="112">
        <v>1.2999999999999999E-2</v>
      </c>
      <c r="AM211" s="107"/>
      <c r="AN211" s="107"/>
      <c r="AO211" s="107"/>
      <c r="AP211" s="107"/>
      <c r="AQ211" s="107">
        <f t="shared" ref="AQ211:BA211" si="464">AQ166-AL166</f>
        <v>0</v>
      </c>
      <c r="AR211" s="107">
        <f t="shared" si="464"/>
        <v>0</v>
      </c>
      <c r="AS211" s="107">
        <f t="shared" si="464"/>
        <v>0</v>
      </c>
      <c r="AT211" s="107">
        <f t="shared" si="464"/>
        <v>0</v>
      </c>
      <c r="AU211" s="107">
        <f t="shared" si="464"/>
        <v>0</v>
      </c>
      <c r="AV211" s="107">
        <f t="shared" si="464"/>
        <v>0</v>
      </c>
      <c r="AW211" s="107">
        <f t="shared" si="464"/>
        <v>0</v>
      </c>
      <c r="AX211" s="107">
        <f t="shared" si="464"/>
        <v>0</v>
      </c>
      <c r="AY211" s="107">
        <f t="shared" si="464"/>
        <v>0</v>
      </c>
      <c r="AZ211" s="107">
        <f t="shared" si="464"/>
        <v>0</v>
      </c>
      <c r="BA211" s="107">
        <f t="shared" si="464"/>
        <v>0</v>
      </c>
      <c r="BC211" s="198">
        <v>0</v>
      </c>
      <c r="BD211" s="203"/>
    </row>
    <row r="212" spans="1:56" s="137" customFormat="1" collapsed="1" x14ac:dyDescent="0.2">
      <c r="A212" s="140"/>
      <c r="B212" s="137" t="s">
        <v>117</v>
      </c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>
        <f t="shared" ref="R212:AP212" si="465">SUM(R207:R211)</f>
        <v>4.9209999999999994</v>
      </c>
      <c r="S212" s="139">
        <f t="shared" si="465"/>
        <v>0</v>
      </c>
      <c r="T212" s="139">
        <f t="shared" si="465"/>
        <v>0</v>
      </c>
      <c r="U212" s="139">
        <f t="shared" si="465"/>
        <v>0</v>
      </c>
      <c r="V212" s="139">
        <f t="shared" si="465"/>
        <v>0</v>
      </c>
      <c r="W212" s="139">
        <f t="shared" si="465"/>
        <v>6.3330000000000002</v>
      </c>
      <c r="X212" s="139">
        <f t="shared" si="465"/>
        <v>0</v>
      </c>
      <c r="Y212" s="139">
        <f t="shared" si="465"/>
        <v>0</v>
      </c>
      <c r="Z212" s="139">
        <f t="shared" si="465"/>
        <v>0</v>
      </c>
      <c r="AA212" s="139">
        <f t="shared" si="465"/>
        <v>0</v>
      </c>
      <c r="AB212" s="139">
        <f t="shared" si="465"/>
        <v>5.650999999999998</v>
      </c>
      <c r="AC212" s="139">
        <f t="shared" si="465"/>
        <v>0</v>
      </c>
      <c r="AD212" s="139">
        <f t="shared" si="465"/>
        <v>0</v>
      </c>
      <c r="AE212" s="139">
        <f t="shared" si="465"/>
        <v>0</v>
      </c>
      <c r="AF212" s="139">
        <f t="shared" si="465"/>
        <v>0</v>
      </c>
      <c r="AG212" s="139">
        <f t="shared" si="465"/>
        <v>-0.75700000000000056</v>
      </c>
      <c r="AH212" s="139">
        <f t="shared" si="465"/>
        <v>0</v>
      </c>
      <c r="AI212" s="139">
        <f t="shared" si="465"/>
        <v>0</v>
      </c>
      <c r="AJ212" s="139">
        <f t="shared" si="465"/>
        <v>0</v>
      </c>
      <c r="AK212" s="139">
        <f t="shared" si="465"/>
        <v>0</v>
      </c>
      <c r="AL212" s="139">
        <f t="shared" si="465"/>
        <v>33.556999999999995</v>
      </c>
      <c r="AM212" s="139">
        <f t="shared" si="465"/>
        <v>0</v>
      </c>
      <c r="AN212" s="139">
        <f t="shared" si="465"/>
        <v>0</v>
      </c>
      <c r="AO212" s="139">
        <f t="shared" si="465"/>
        <v>0</v>
      </c>
      <c r="AP212" s="139">
        <f t="shared" si="465"/>
        <v>0</v>
      </c>
      <c r="AQ212" s="139">
        <f ca="1">AQ198</f>
        <v>8.2151339375028556</v>
      </c>
      <c r="AR212" s="139">
        <f>SUM(AR207:AR211)</f>
        <v>0</v>
      </c>
      <c r="AS212" s="139">
        <f>SUM(AS207:AS211)</f>
        <v>0</v>
      </c>
      <c r="AT212" s="139">
        <f>SUM(AT207:AT211)</f>
        <v>0</v>
      </c>
      <c r="AU212" s="139">
        <f>SUM(AU207:AU211)</f>
        <v>0</v>
      </c>
      <c r="AV212" s="139">
        <f ca="1">AV198</f>
        <v>5.171682477920001</v>
      </c>
      <c r="AW212" s="139">
        <f>SUM(AW207:AW211)</f>
        <v>0</v>
      </c>
      <c r="AX212" s="139">
        <f>SUM(AX207:AX211)</f>
        <v>0</v>
      </c>
      <c r="AY212" s="139">
        <f>SUM(AY207:AY211)</f>
        <v>0</v>
      </c>
      <c r="AZ212" s="139">
        <f>SUM(AZ207:AZ211)</f>
        <v>0</v>
      </c>
      <c r="BA212" s="139">
        <f ca="1">BA198</f>
        <v>2.2013512264408064</v>
      </c>
      <c r="BB212" s="195"/>
      <c r="BC212" s="198">
        <v>0</v>
      </c>
      <c r="BD212" s="204"/>
    </row>
    <row r="213" spans="1:56" x14ac:dyDescent="0.2">
      <c r="B213" s="106" t="s">
        <v>118</v>
      </c>
      <c r="H213" s="107"/>
      <c r="I213" s="107"/>
      <c r="J213" s="107"/>
      <c r="K213" s="107"/>
      <c r="L213" s="107"/>
      <c r="M213" s="107"/>
      <c r="N213" s="107"/>
      <c r="O213" s="107"/>
      <c r="P213" s="107"/>
      <c r="Q213" s="107"/>
      <c r="R213" s="112">
        <v>274.93700000000001</v>
      </c>
      <c r="S213" s="107"/>
      <c r="T213" s="107"/>
      <c r="U213" s="107"/>
      <c r="V213" s="107"/>
      <c r="W213" s="112">
        <v>371.63200000000001</v>
      </c>
      <c r="X213" s="112"/>
      <c r="Y213" s="112"/>
      <c r="Z213" s="112"/>
      <c r="AA213" s="112"/>
      <c r="AB213" s="112">
        <v>368.68200000000002</v>
      </c>
      <c r="AC213" s="112"/>
      <c r="AD213" s="112"/>
      <c r="AE213" s="112"/>
      <c r="AF213" s="112"/>
      <c r="AG213" s="112">
        <v>392.32299999999998</v>
      </c>
      <c r="AH213" s="112"/>
      <c r="AI213" s="112"/>
      <c r="AJ213" s="112"/>
      <c r="AK213" s="112"/>
      <c r="AL213" s="112">
        <v>473.76100000000002</v>
      </c>
      <c r="AM213" s="107"/>
      <c r="AN213" s="107"/>
      <c r="AO213" s="107"/>
      <c r="AP213" s="107"/>
      <c r="AQ213" s="107">
        <f ca="1">AQ212+SUM(AQ202:AQ206)</f>
        <v>485.04934853750285</v>
      </c>
      <c r="AR213" s="107"/>
      <c r="AS213" s="107"/>
      <c r="AT213" s="107"/>
      <c r="AU213" s="107"/>
      <c r="AV213" s="107">
        <f ca="1">AV212+SUM(AV202:AV206)</f>
        <v>404.40390484022407</v>
      </c>
      <c r="AW213" s="107"/>
      <c r="AX213" s="107"/>
      <c r="AY213" s="107"/>
      <c r="AZ213" s="107"/>
      <c r="BA213" s="107">
        <f ca="1">BA212+SUM(BA202:BA206)</f>
        <v>381.18788775138512</v>
      </c>
      <c r="BC213" s="198">
        <v>0</v>
      </c>
      <c r="BD213" s="203"/>
    </row>
    <row r="214" spans="1:56" x14ac:dyDescent="0.2">
      <c r="H214" s="107"/>
      <c r="I214" s="107"/>
      <c r="J214" s="107"/>
      <c r="K214" s="107"/>
      <c r="L214" s="107"/>
      <c r="M214" s="107"/>
      <c r="N214" s="107"/>
      <c r="O214" s="107"/>
      <c r="P214" s="107"/>
      <c r="Q214" s="107"/>
      <c r="R214" s="107"/>
      <c r="S214" s="107"/>
      <c r="T214" s="107"/>
      <c r="U214" s="107"/>
      <c r="V214" s="107"/>
      <c r="W214" s="107"/>
      <c r="X214" s="107"/>
      <c r="Y214" s="107"/>
      <c r="Z214" s="107"/>
      <c r="AA214" s="107"/>
      <c r="AB214" s="107"/>
      <c r="AC214" s="107"/>
      <c r="AD214" s="107"/>
      <c r="AE214" s="107"/>
      <c r="AF214" s="107"/>
      <c r="AG214" s="107"/>
      <c r="AH214" s="107"/>
      <c r="AI214" s="107"/>
      <c r="AJ214" s="107"/>
      <c r="AK214" s="107"/>
      <c r="AL214" s="107"/>
      <c r="AM214" s="107"/>
      <c r="AN214" s="107"/>
      <c r="AO214" s="107"/>
      <c r="AP214" s="107"/>
      <c r="AQ214" s="107"/>
      <c r="AR214" s="107"/>
      <c r="AS214" s="107"/>
      <c r="AT214" s="107"/>
      <c r="AU214" s="107"/>
      <c r="AV214" s="107"/>
      <c r="AW214" s="107"/>
      <c r="AX214" s="107"/>
      <c r="AY214" s="107"/>
      <c r="AZ214" s="107"/>
      <c r="BA214" s="107"/>
      <c r="BC214" s="198">
        <v>0</v>
      </c>
      <c r="BD214" s="203"/>
    </row>
    <row r="215" spans="1:56" x14ac:dyDescent="0.2">
      <c r="B215" s="88" t="s">
        <v>119</v>
      </c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12">
        <v>-91.68</v>
      </c>
      <c r="S215" s="107"/>
      <c r="T215" s="107"/>
      <c r="U215" s="107"/>
      <c r="V215" s="107"/>
      <c r="W215" s="112">
        <v>-99.989000000000004</v>
      </c>
      <c r="X215" s="112"/>
      <c r="Y215" s="112"/>
      <c r="Z215" s="112"/>
      <c r="AA215" s="112"/>
      <c r="AB215" s="112">
        <v>-101.85299999999999</v>
      </c>
      <c r="AC215" s="112"/>
      <c r="AD215" s="112"/>
      <c r="AE215" s="112"/>
      <c r="AF215" s="112"/>
      <c r="AG215" s="112">
        <v>-108.66</v>
      </c>
      <c r="AH215" s="112"/>
      <c r="AI215" s="112"/>
      <c r="AJ215" s="112"/>
      <c r="AK215" s="112"/>
      <c r="AL215" s="112">
        <v>-114.37</v>
      </c>
      <c r="AM215" s="107"/>
      <c r="AN215" s="107"/>
      <c r="AO215" s="107"/>
      <c r="AP215" s="107"/>
      <c r="AQ215" s="107">
        <f>(-9%*AQ51)-17.5</f>
        <v>-138.216982</v>
      </c>
      <c r="AR215" s="107"/>
      <c r="AS215" s="107"/>
      <c r="AT215" s="107"/>
      <c r="AU215" s="107"/>
      <c r="AV215" s="107">
        <f>AV236*AV51</f>
        <v>-125.85110860800002</v>
      </c>
      <c r="AW215" s="107"/>
      <c r="AX215" s="107"/>
      <c r="AY215" s="107"/>
      <c r="AZ215" s="107"/>
      <c r="BA215" s="107">
        <f>BA236*BA51</f>
        <v>-128.86787723651997</v>
      </c>
      <c r="BC215" s="198">
        <v>0</v>
      </c>
      <c r="BD215" s="203" t="s">
        <v>307</v>
      </c>
    </row>
    <row r="216" spans="1:56" s="137" customFormat="1" x14ac:dyDescent="0.2">
      <c r="A216" s="140"/>
      <c r="B216" s="137" t="s">
        <v>115</v>
      </c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>
        <f>R217-R215</f>
        <v>3.152000000000001</v>
      </c>
      <c r="S216" s="139"/>
      <c r="T216" s="139"/>
      <c r="U216" s="139"/>
      <c r="V216" s="139"/>
      <c r="W216" s="139">
        <f>W217-W215</f>
        <v>72.332000000000008</v>
      </c>
      <c r="X216" s="139"/>
      <c r="Y216" s="139"/>
      <c r="Z216" s="139"/>
      <c r="AA216" s="139"/>
      <c r="AB216" s="139">
        <f>AB217-AB215</f>
        <v>-0.45000000000000284</v>
      </c>
      <c r="AC216" s="139"/>
      <c r="AD216" s="139"/>
      <c r="AE216" s="139"/>
      <c r="AF216" s="139"/>
      <c r="AG216" s="139">
        <f>AG217-AG215</f>
        <v>10.331999999999994</v>
      </c>
      <c r="AH216" s="139"/>
      <c r="AI216" s="139"/>
      <c r="AJ216" s="139"/>
      <c r="AK216" s="139"/>
      <c r="AL216" s="139">
        <f>AL217-AL215</f>
        <v>4.7019999999999982</v>
      </c>
      <c r="AM216" s="139"/>
      <c r="AN216" s="139"/>
      <c r="AO216" s="139"/>
      <c r="AP216" s="139"/>
      <c r="AQ216" s="136">
        <v>0</v>
      </c>
      <c r="AR216" s="136"/>
      <c r="AS216" s="136"/>
      <c r="AT216" s="136"/>
      <c r="AU216" s="136"/>
      <c r="AV216" s="136">
        <v>0</v>
      </c>
      <c r="AW216" s="136"/>
      <c r="AX216" s="136"/>
      <c r="AY216" s="136"/>
      <c r="AZ216" s="136"/>
      <c r="BA216" s="136">
        <v>0</v>
      </c>
      <c r="BB216" s="195"/>
      <c r="BC216" s="198">
        <v>0</v>
      </c>
      <c r="BD216" s="204"/>
    </row>
    <row r="217" spans="1:56" x14ac:dyDescent="0.2">
      <c r="B217" s="106" t="s">
        <v>120</v>
      </c>
      <c r="H217" s="107"/>
      <c r="I217" s="107"/>
      <c r="J217" s="107"/>
      <c r="K217" s="107"/>
      <c r="L217" s="107"/>
      <c r="M217" s="107"/>
      <c r="N217" s="107"/>
      <c r="O217" s="107"/>
      <c r="P217" s="107"/>
      <c r="Q217" s="107"/>
      <c r="R217" s="112">
        <v>-88.528000000000006</v>
      </c>
      <c r="S217" s="107"/>
      <c r="T217" s="107"/>
      <c r="U217" s="107"/>
      <c r="V217" s="107"/>
      <c r="W217" s="112">
        <v>-27.657</v>
      </c>
      <c r="X217" s="112"/>
      <c r="Y217" s="112"/>
      <c r="Z217" s="112"/>
      <c r="AA217" s="112"/>
      <c r="AB217" s="112">
        <v>-102.303</v>
      </c>
      <c r="AC217" s="112"/>
      <c r="AD217" s="112"/>
      <c r="AE217" s="112"/>
      <c r="AF217" s="112"/>
      <c r="AG217" s="112">
        <v>-98.328000000000003</v>
      </c>
      <c r="AH217" s="112"/>
      <c r="AI217" s="112"/>
      <c r="AJ217" s="112"/>
      <c r="AK217" s="112"/>
      <c r="AL217" s="112">
        <v>-109.66800000000001</v>
      </c>
      <c r="AM217" s="107"/>
      <c r="AN217" s="107"/>
      <c r="AO217" s="107"/>
      <c r="AP217" s="107"/>
      <c r="AQ217" s="107">
        <f>SUM(AQ215:AQ216)</f>
        <v>-138.216982</v>
      </c>
      <c r="AR217" s="107">
        <f t="shared" ref="AR217:BA217" si="466">SUM(AR215:AR216)</f>
        <v>0</v>
      </c>
      <c r="AS217" s="107">
        <f t="shared" si="466"/>
        <v>0</v>
      </c>
      <c r="AT217" s="107">
        <f t="shared" si="466"/>
        <v>0</v>
      </c>
      <c r="AU217" s="107">
        <f t="shared" si="466"/>
        <v>0</v>
      </c>
      <c r="AV217" s="107">
        <f t="shared" si="466"/>
        <v>-125.85110860800002</v>
      </c>
      <c r="AW217" s="107">
        <f t="shared" si="466"/>
        <v>0</v>
      </c>
      <c r="AX217" s="107">
        <f t="shared" si="466"/>
        <v>0</v>
      </c>
      <c r="AY217" s="107">
        <f t="shared" si="466"/>
        <v>0</v>
      </c>
      <c r="AZ217" s="107">
        <f t="shared" si="466"/>
        <v>0</v>
      </c>
      <c r="BA217" s="107">
        <f t="shared" si="466"/>
        <v>-128.86787723651997</v>
      </c>
      <c r="BC217" s="198">
        <v>0</v>
      </c>
      <c r="BD217" s="203"/>
    </row>
    <row r="218" spans="1:56" x14ac:dyDescent="0.2">
      <c r="H218" s="107"/>
      <c r="I218" s="107"/>
      <c r="J218" s="107"/>
      <c r="K218" s="107"/>
      <c r="L218" s="107"/>
      <c r="M218" s="107"/>
      <c r="N218" s="107"/>
      <c r="O218" s="107"/>
      <c r="P218" s="107"/>
      <c r="Q218" s="107"/>
      <c r="R218" s="107"/>
      <c r="S218" s="107"/>
      <c r="T218" s="107"/>
      <c r="U218" s="107"/>
      <c r="V218" s="107"/>
      <c r="W218" s="107"/>
      <c r="X218" s="107"/>
      <c r="Y218" s="107"/>
      <c r="Z218" s="107"/>
      <c r="AA218" s="107"/>
      <c r="AB218" s="107"/>
      <c r="AC218" s="107"/>
      <c r="AD218" s="107"/>
      <c r="AE218" s="107"/>
      <c r="AF218" s="107"/>
      <c r="AG218" s="107"/>
      <c r="AH218" s="107"/>
      <c r="AI218" s="107"/>
      <c r="AJ218" s="107"/>
      <c r="AK218" s="107"/>
      <c r="AL218" s="107"/>
      <c r="AM218" s="107"/>
      <c r="AN218" s="107"/>
      <c r="AO218" s="107"/>
      <c r="AP218" s="107"/>
      <c r="AQ218" s="107"/>
      <c r="AR218" s="107"/>
      <c r="AS218" s="107"/>
      <c r="AT218" s="107"/>
      <c r="AU218" s="107"/>
      <c r="AV218" s="107"/>
      <c r="AW218" s="107"/>
      <c r="AX218" s="107"/>
      <c r="AY218" s="107"/>
      <c r="AZ218" s="107"/>
      <c r="BA218" s="107"/>
      <c r="BC218" s="198">
        <v>0</v>
      </c>
      <c r="BD218" s="203"/>
    </row>
    <row r="219" spans="1:56" x14ac:dyDescent="0.2">
      <c r="B219" s="88" t="s">
        <v>121</v>
      </c>
      <c r="H219" s="107"/>
      <c r="I219" s="107"/>
      <c r="J219" s="107"/>
      <c r="K219" s="107"/>
      <c r="L219" s="107"/>
      <c r="M219" s="107"/>
      <c r="N219" s="107"/>
      <c r="O219" s="107"/>
      <c r="P219" s="107"/>
      <c r="Q219" s="107"/>
      <c r="R219" s="112">
        <v>-959.41200000000003</v>
      </c>
      <c r="S219" s="107"/>
      <c r="T219" s="107"/>
      <c r="U219" s="107"/>
      <c r="V219" s="107"/>
      <c r="W219" s="112">
        <v>-353.23</v>
      </c>
      <c r="X219" s="112"/>
      <c r="Y219" s="112"/>
      <c r="Z219" s="112"/>
      <c r="AA219" s="112"/>
      <c r="AB219" s="112">
        <v>-6.2759999999999998</v>
      </c>
      <c r="AC219" s="112"/>
      <c r="AD219" s="112"/>
      <c r="AE219" s="112"/>
      <c r="AF219" s="112"/>
      <c r="AG219" s="112">
        <v>-6.3079999999999998</v>
      </c>
      <c r="AH219" s="112"/>
      <c r="AI219" s="112"/>
      <c r="AJ219" s="112"/>
      <c r="AK219" s="112"/>
      <c r="AL219" s="112">
        <v>-710.56500000000005</v>
      </c>
      <c r="AM219" s="107"/>
      <c r="AN219" s="107"/>
      <c r="AO219" s="107"/>
      <c r="AP219" s="107"/>
      <c r="AQ219" s="107">
        <v>0</v>
      </c>
      <c r="AR219" s="107"/>
      <c r="AS219" s="107"/>
      <c r="AT219" s="107"/>
      <c r="AU219" s="107"/>
      <c r="AV219" s="107">
        <v>0</v>
      </c>
      <c r="AW219" s="107"/>
      <c r="AX219" s="107"/>
      <c r="AY219" s="107"/>
      <c r="AZ219" s="107"/>
      <c r="BA219" s="107">
        <v>0</v>
      </c>
      <c r="BC219" s="198">
        <v>0</v>
      </c>
      <c r="BD219" s="203"/>
    </row>
    <row r="220" spans="1:56" x14ac:dyDescent="0.2">
      <c r="B220" s="88" t="s">
        <v>122</v>
      </c>
      <c r="H220" s="107"/>
      <c r="I220" s="107"/>
      <c r="J220" s="107"/>
      <c r="K220" s="107"/>
      <c r="L220" s="107"/>
      <c r="M220" s="107"/>
      <c r="N220" s="107"/>
      <c r="O220" s="107"/>
      <c r="P220" s="107"/>
      <c r="Q220" s="107"/>
      <c r="R220" s="112">
        <v>934.4</v>
      </c>
      <c r="S220" s="107"/>
      <c r="T220" s="107"/>
      <c r="U220" s="107"/>
      <c r="V220" s="107"/>
      <c r="W220" s="112">
        <v>800</v>
      </c>
      <c r="X220" s="112"/>
      <c r="Y220" s="112"/>
      <c r="Z220" s="112"/>
      <c r="AA220" s="112"/>
      <c r="AB220" s="112">
        <v>0</v>
      </c>
      <c r="AC220" s="112"/>
      <c r="AD220" s="112"/>
      <c r="AE220" s="112"/>
      <c r="AF220" s="112"/>
      <c r="AG220" s="112">
        <v>0</v>
      </c>
      <c r="AH220" s="112"/>
      <c r="AI220" s="112"/>
      <c r="AJ220" s="112"/>
      <c r="AK220" s="112"/>
      <c r="AL220" s="112">
        <v>834.25</v>
      </c>
      <c r="AM220" s="107"/>
      <c r="AN220" s="107"/>
      <c r="AO220" s="107"/>
      <c r="AP220" s="107"/>
      <c r="AQ220" s="112">
        <v>50</v>
      </c>
      <c r="AR220" s="112"/>
      <c r="AS220" s="112"/>
      <c r="AT220" s="112"/>
      <c r="AU220" s="112"/>
      <c r="AV220" s="112">
        <v>50</v>
      </c>
      <c r="AW220" s="112"/>
      <c r="AX220" s="112"/>
      <c r="AY220" s="112"/>
      <c r="AZ220" s="112"/>
      <c r="BA220" s="112">
        <v>50</v>
      </c>
      <c r="BC220" s="198">
        <v>0</v>
      </c>
      <c r="BD220" s="203"/>
    </row>
    <row r="221" spans="1:56" x14ac:dyDescent="0.2">
      <c r="B221" s="88" t="s">
        <v>123</v>
      </c>
      <c r="H221" s="107"/>
      <c r="I221" s="107"/>
      <c r="J221" s="107"/>
      <c r="K221" s="107"/>
      <c r="L221" s="107"/>
      <c r="M221" s="107"/>
      <c r="N221" s="107"/>
      <c r="O221" s="107"/>
      <c r="P221" s="107"/>
      <c r="Q221" s="107"/>
      <c r="R221" s="112">
        <v>9.6999999999999993</v>
      </c>
      <c r="S221" s="107"/>
      <c r="T221" s="107"/>
      <c r="U221" s="107"/>
      <c r="V221" s="107"/>
      <c r="W221" s="112">
        <v>40.929000000000002</v>
      </c>
      <c r="X221" s="112"/>
      <c r="Y221" s="112"/>
      <c r="Z221" s="112"/>
      <c r="AA221" s="112"/>
      <c r="AB221" s="112">
        <v>30.86</v>
      </c>
      <c r="AC221" s="112"/>
      <c r="AD221" s="112"/>
      <c r="AE221" s="112"/>
      <c r="AF221" s="112"/>
      <c r="AG221" s="112">
        <v>38.840000000000003</v>
      </c>
      <c r="AH221" s="112"/>
      <c r="AI221" s="112"/>
      <c r="AJ221" s="112"/>
      <c r="AK221" s="112"/>
      <c r="AL221" s="112">
        <v>40.530999999999999</v>
      </c>
      <c r="AM221" s="107"/>
      <c r="AN221" s="107"/>
      <c r="AO221" s="107"/>
      <c r="AP221" s="107"/>
      <c r="AQ221" s="112">
        <v>40</v>
      </c>
      <c r="AR221" s="107"/>
      <c r="AS221" s="107"/>
      <c r="AT221" s="107"/>
      <c r="AU221" s="107"/>
      <c r="AV221" s="112">
        <v>40</v>
      </c>
      <c r="AW221" s="107"/>
      <c r="AX221" s="107"/>
      <c r="AY221" s="107"/>
      <c r="AZ221" s="107"/>
      <c r="BA221" s="112">
        <v>40</v>
      </c>
      <c r="BC221" s="198">
        <v>0</v>
      </c>
      <c r="BD221" s="203"/>
    </row>
    <row r="222" spans="1:56" x14ac:dyDescent="0.2">
      <c r="B222" s="88" t="s">
        <v>124</v>
      </c>
      <c r="H222" s="107"/>
      <c r="I222" s="107"/>
      <c r="J222" s="107"/>
      <c r="K222" s="107"/>
      <c r="L222" s="107"/>
      <c r="M222" s="107"/>
      <c r="N222" s="107"/>
      <c r="O222" s="107"/>
      <c r="P222" s="107"/>
      <c r="Q222" s="107"/>
      <c r="R222" s="112">
        <v>-60</v>
      </c>
      <c r="S222" s="107"/>
      <c r="T222" s="107"/>
      <c r="U222" s="107"/>
      <c r="V222" s="107"/>
      <c r="W222" s="112">
        <v>-231.98400000000001</v>
      </c>
      <c r="X222" s="112"/>
      <c r="Y222" s="112"/>
      <c r="Z222" s="112"/>
      <c r="AA222" s="112"/>
      <c r="AB222" s="112">
        <v>-523.58900000000006</v>
      </c>
      <c r="AC222" s="112"/>
      <c r="AD222" s="112"/>
      <c r="AE222" s="112"/>
      <c r="AF222" s="112"/>
      <c r="AG222" s="112">
        <v>-195.35300000000001</v>
      </c>
      <c r="AH222" s="112"/>
      <c r="AI222" s="112"/>
      <c r="AJ222" s="112"/>
      <c r="AK222" s="112"/>
      <c r="AL222" s="112">
        <v>-245.114</v>
      </c>
      <c r="AM222" s="107"/>
      <c r="AN222" s="107"/>
      <c r="AO222" s="107"/>
      <c r="AP222" s="107"/>
      <c r="AQ222" s="112">
        <v>-75</v>
      </c>
      <c r="AR222" s="112"/>
      <c r="AS222" s="112"/>
      <c r="AT222" s="112"/>
      <c r="AU222" s="112"/>
      <c r="AV222" s="112">
        <v>-50</v>
      </c>
      <c r="AW222" s="112"/>
      <c r="AX222" s="112"/>
      <c r="AY222" s="112"/>
      <c r="AZ222" s="112"/>
      <c r="BA222" s="112">
        <v>-25</v>
      </c>
      <c r="BC222" s="198">
        <v>0</v>
      </c>
      <c r="BD222" s="203"/>
    </row>
    <row r="223" spans="1:56" x14ac:dyDescent="0.2">
      <c r="B223" s="88" t="s">
        <v>125</v>
      </c>
      <c r="H223" s="107"/>
      <c r="I223" s="107"/>
      <c r="J223" s="107"/>
      <c r="K223" s="107"/>
      <c r="L223" s="107"/>
      <c r="M223" s="107"/>
      <c r="N223" s="107"/>
      <c r="O223" s="107"/>
      <c r="P223" s="107"/>
      <c r="Q223" s="107"/>
      <c r="R223" s="112">
        <v>-9.7910000000000004</v>
      </c>
      <c r="S223" s="107"/>
      <c r="T223" s="107"/>
      <c r="U223" s="107"/>
      <c r="V223" s="107"/>
      <c r="W223" s="112">
        <v>-148.286</v>
      </c>
      <c r="X223" s="112"/>
      <c r="Y223" s="112"/>
      <c r="Z223" s="112"/>
      <c r="AA223" s="112"/>
      <c r="AB223" s="112">
        <v>-176.17099999999999</v>
      </c>
      <c r="AC223" s="112"/>
      <c r="AD223" s="112"/>
      <c r="AE223" s="112"/>
      <c r="AF223" s="112"/>
      <c r="AG223" s="112">
        <v>-184.3</v>
      </c>
      <c r="AH223" s="112"/>
      <c r="AI223" s="112"/>
      <c r="AJ223" s="112"/>
      <c r="AK223" s="112"/>
      <c r="AL223" s="112">
        <v>-200.95699999999999</v>
      </c>
      <c r="AM223" s="107"/>
      <c r="AN223" s="107"/>
      <c r="AO223" s="107"/>
      <c r="AP223" s="107"/>
      <c r="AQ223" s="112">
        <f>-AQ111*AQ83</f>
        <v>-217.10014302005507</v>
      </c>
      <c r="AR223" s="107"/>
      <c r="AS223" s="107"/>
      <c r="AT223" s="107"/>
      <c r="AU223" s="107"/>
      <c r="AV223" s="112">
        <f>-AV111*AV83</f>
        <v>-231.81542161187576</v>
      </c>
      <c r="AW223" s="107"/>
      <c r="AX223" s="107"/>
      <c r="AY223" s="107"/>
      <c r="AZ223" s="107"/>
      <c r="BA223" s="112">
        <f>-BA111*BA83</f>
        <v>-248.8156800531381</v>
      </c>
      <c r="BC223" s="198">
        <v>0</v>
      </c>
      <c r="BD223" s="203"/>
    </row>
    <row r="224" spans="1:56" x14ac:dyDescent="0.2">
      <c r="B224" s="88" t="s">
        <v>126</v>
      </c>
      <c r="H224" s="107"/>
      <c r="I224" s="107"/>
      <c r="J224" s="107"/>
      <c r="K224" s="107"/>
      <c r="L224" s="107"/>
      <c r="M224" s="107"/>
      <c r="N224" s="107"/>
      <c r="O224" s="107"/>
      <c r="P224" s="107"/>
      <c r="Q224" s="107"/>
      <c r="R224" s="112">
        <v>-35.988</v>
      </c>
      <c r="S224" s="107"/>
      <c r="T224" s="107"/>
      <c r="U224" s="107"/>
      <c r="V224" s="107"/>
      <c r="W224" s="112">
        <v>-38.012</v>
      </c>
      <c r="X224" s="112"/>
      <c r="Y224" s="112"/>
      <c r="Z224" s="112"/>
      <c r="AA224" s="112"/>
      <c r="AB224" s="112">
        <v>-37.451999999999998</v>
      </c>
      <c r="AC224" s="112"/>
      <c r="AD224" s="112"/>
      <c r="AE224" s="112"/>
      <c r="AF224" s="112"/>
      <c r="AG224" s="112">
        <v>-38.012</v>
      </c>
      <c r="AH224" s="112"/>
      <c r="AI224" s="112"/>
      <c r="AJ224" s="112"/>
      <c r="AK224" s="112"/>
      <c r="AL224" s="112">
        <v>-38.164999999999999</v>
      </c>
      <c r="AM224" s="107"/>
      <c r="AN224" s="107"/>
      <c r="AO224" s="107"/>
      <c r="AP224" s="107"/>
      <c r="AQ224" s="112">
        <v>-38</v>
      </c>
      <c r="AR224" s="107"/>
      <c r="AS224" s="107"/>
      <c r="AT224" s="107"/>
      <c r="AU224" s="107"/>
      <c r="AV224" s="112">
        <v>-38</v>
      </c>
      <c r="AW224" s="107"/>
      <c r="AX224" s="107"/>
      <c r="AY224" s="107"/>
      <c r="AZ224" s="107"/>
      <c r="BA224" s="112">
        <v>-38</v>
      </c>
      <c r="BC224" s="198">
        <v>0</v>
      </c>
      <c r="BD224" s="203"/>
    </row>
    <row r="225" spans="1:56" s="137" customFormat="1" x14ac:dyDescent="0.2">
      <c r="A225" s="140"/>
      <c r="B225" s="137" t="s">
        <v>115</v>
      </c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>
        <f>R226-SUM(R219:R224)</f>
        <v>-18.513999999999939</v>
      </c>
      <c r="S225" s="139"/>
      <c r="T225" s="139"/>
      <c r="U225" s="139"/>
      <c r="V225" s="139"/>
      <c r="W225" s="139">
        <f>W226-SUM(W219:W224)</f>
        <v>-17.738999999999947</v>
      </c>
      <c r="X225" s="139"/>
      <c r="Y225" s="139"/>
      <c r="Z225" s="139"/>
      <c r="AA225" s="139"/>
      <c r="AB225" s="139">
        <f>AB226-SUM(AB219:AB224)</f>
        <v>-12.501999999999953</v>
      </c>
      <c r="AC225" s="139"/>
      <c r="AD225" s="139"/>
      <c r="AE225" s="139"/>
      <c r="AF225" s="139"/>
      <c r="AG225" s="139">
        <f>AG226-SUM(AG219:AG224)</f>
        <v>-1.9000000000005457E-2</v>
      </c>
      <c r="AH225" s="139"/>
      <c r="AI225" s="139"/>
      <c r="AJ225" s="139"/>
      <c r="AK225" s="139"/>
      <c r="AL225" s="139">
        <f>AL226-SUM(AL219:AL224)</f>
        <v>-13.467999999999961</v>
      </c>
      <c r="AM225" s="139"/>
      <c r="AN225" s="139"/>
      <c r="AO225" s="139"/>
      <c r="AP225" s="139"/>
      <c r="AQ225" s="139">
        <v>0</v>
      </c>
      <c r="AR225" s="139"/>
      <c r="AS225" s="139"/>
      <c r="AT225" s="139"/>
      <c r="AU225" s="139"/>
      <c r="AV225" s="139">
        <v>0</v>
      </c>
      <c r="AW225" s="139"/>
      <c r="AX225" s="139"/>
      <c r="AY225" s="139"/>
      <c r="AZ225" s="139"/>
      <c r="BA225" s="139">
        <v>0</v>
      </c>
      <c r="BB225" s="195"/>
      <c r="BC225" s="198">
        <v>0</v>
      </c>
      <c r="BD225" s="204"/>
    </row>
    <row r="226" spans="1:56" x14ac:dyDescent="0.2">
      <c r="B226" s="106" t="s">
        <v>127</v>
      </c>
      <c r="H226" s="107"/>
      <c r="I226" s="107"/>
      <c r="J226" s="107"/>
      <c r="K226" s="107"/>
      <c r="L226" s="107"/>
      <c r="M226" s="107"/>
      <c r="N226" s="107"/>
      <c r="O226" s="107"/>
      <c r="P226" s="107"/>
      <c r="Q226" s="107"/>
      <c r="R226" s="112">
        <v>-139.60499999999999</v>
      </c>
      <c r="S226" s="107"/>
      <c r="T226" s="107"/>
      <c r="U226" s="107"/>
      <c r="V226" s="107"/>
      <c r="W226" s="112">
        <v>51.677999999999997</v>
      </c>
      <c r="X226" s="112"/>
      <c r="Y226" s="112"/>
      <c r="Z226" s="112"/>
      <c r="AA226" s="112"/>
      <c r="AB226" s="112">
        <v>-725.13</v>
      </c>
      <c r="AC226" s="112"/>
      <c r="AD226" s="112"/>
      <c r="AE226" s="112"/>
      <c r="AF226" s="112"/>
      <c r="AG226" s="112">
        <v>-385.15199999999999</v>
      </c>
      <c r="AH226" s="112"/>
      <c r="AI226" s="112"/>
      <c r="AJ226" s="112"/>
      <c r="AK226" s="112"/>
      <c r="AL226" s="112">
        <v>-333.488</v>
      </c>
      <c r="AM226" s="107"/>
      <c r="AN226" s="107"/>
      <c r="AO226" s="107"/>
      <c r="AP226" s="107"/>
      <c r="AQ226" s="107">
        <f>SUM(AQ219:AQ225)</f>
        <v>-240.10014302005507</v>
      </c>
      <c r="AR226" s="107">
        <f t="shared" ref="AR226:BA226" si="467">SUM(AR219:AR225)</f>
        <v>0</v>
      </c>
      <c r="AS226" s="107">
        <f t="shared" si="467"/>
        <v>0</v>
      </c>
      <c r="AT226" s="107">
        <f t="shared" si="467"/>
        <v>0</v>
      </c>
      <c r="AU226" s="107">
        <f t="shared" si="467"/>
        <v>0</v>
      </c>
      <c r="AV226" s="107">
        <f t="shared" si="467"/>
        <v>-229.81542161187576</v>
      </c>
      <c r="AW226" s="107">
        <f t="shared" si="467"/>
        <v>0</v>
      </c>
      <c r="AX226" s="107">
        <f t="shared" si="467"/>
        <v>0</v>
      </c>
      <c r="AY226" s="107">
        <f t="shared" si="467"/>
        <v>0</v>
      </c>
      <c r="AZ226" s="107">
        <f t="shared" si="467"/>
        <v>0</v>
      </c>
      <c r="BA226" s="107">
        <f t="shared" si="467"/>
        <v>-221.8156800531381</v>
      </c>
      <c r="BC226" s="198">
        <v>0</v>
      </c>
      <c r="BD226" s="203"/>
    </row>
    <row r="227" spans="1:56" x14ac:dyDescent="0.2">
      <c r="H227" s="107"/>
      <c r="I227" s="107"/>
      <c r="J227" s="107"/>
      <c r="K227" s="107"/>
      <c r="L227" s="107"/>
      <c r="M227" s="107"/>
      <c r="N227" s="107"/>
      <c r="O227" s="107"/>
      <c r="P227" s="107"/>
      <c r="Q227" s="107"/>
      <c r="R227" s="107"/>
      <c r="S227" s="107"/>
      <c r="T227" s="107"/>
      <c r="U227" s="107"/>
      <c r="V227" s="107"/>
      <c r="W227" s="107"/>
      <c r="X227" s="107"/>
      <c r="Y227" s="107"/>
      <c r="Z227" s="107"/>
      <c r="AA227" s="107"/>
      <c r="AB227" s="107"/>
      <c r="AC227" s="107"/>
      <c r="AD227" s="107"/>
      <c r="AE227" s="107"/>
      <c r="AF227" s="107"/>
      <c r="AG227" s="107"/>
      <c r="AH227" s="107"/>
      <c r="AI227" s="107"/>
      <c r="AJ227" s="107"/>
      <c r="AK227" s="107"/>
      <c r="AL227" s="107"/>
      <c r="AM227" s="107"/>
      <c r="AN227" s="107"/>
      <c r="AO227" s="107"/>
      <c r="AP227" s="107"/>
      <c r="AQ227" s="107"/>
      <c r="AR227" s="107"/>
      <c r="AS227" s="107"/>
      <c r="AT227" s="107"/>
      <c r="AU227" s="107"/>
      <c r="AV227" s="107"/>
      <c r="AW227" s="107"/>
      <c r="AX227" s="107"/>
      <c r="AY227" s="107"/>
      <c r="AZ227" s="107"/>
      <c r="BA227" s="107"/>
      <c r="BC227" s="198">
        <v>0</v>
      </c>
      <c r="BD227" s="203"/>
    </row>
    <row r="228" spans="1:56" x14ac:dyDescent="0.2">
      <c r="B228" s="88" t="s">
        <v>128</v>
      </c>
      <c r="H228" s="107"/>
      <c r="I228" s="107"/>
      <c r="J228" s="107"/>
      <c r="K228" s="107"/>
      <c r="L228" s="107"/>
      <c r="M228" s="107"/>
      <c r="N228" s="107"/>
      <c r="O228" s="107"/>
      <c r="P228" s="107"/>
      <c r="Q228" s="107"/>
      <c r="R228" s="112">
        <v>-2.4380000000000002</v>
      </c>
      <c r="S228" s="107"/>
      <c r="T228" s="107"/>
      <c r="U228" s="107"/>
      <c r="V228" s="107"/>
      <c r="W228" s="112">
        <v>2.1280000000000001</v>
      </c>
      <c r="X228" s="112"/>
      <c r="Y228" s="112"/>
      <c r="Z228" s="112"/>
      <c r="AA228" s="112"/>
      <c r="AB228" s="112">
        <v>-1.147</v>
      </c>
      <c r="AC228" s="112"/>
      <c r="AD228" s="112"/>
      <c r="AE228" s="112"/>
      <c r="AF228" s="112"/>
      <c r="AG228" s="112">
        <v>-4.2690000000000001</v>
      </c>
      <c r="AH228" s="112"/>
      <c r="AI228" s="112"/>
      <c r="AJ228" s="112"/>
      <c r="AK228" s="112"/>
      <c r="AL228" s="112">
        <v>-4.7290000000000001</v>
      </c>
      <c r="AM228" s="107"/>
      <c r="AN228" s="107"/>
      <c r="AO228" s="107"/>
      <c r="AP228" s="107"/>
      <c r="AQ228" s="107">
        <v>0</v>
      </c>
      <c r="AR228" s="107"/>
      <c r="AS228" s="107"/>
      <c r="AT228" s="107"/>
      <c r="AU228" s="107"/>
      <c r="AV228" s="107">
        <v>0</v>
      </c>
      <c r="AW228" s="107"/>
      <c r="AX228" s="107"/>
      <c r="AY228" s="107"/>
      <c r="AZ228" s="107"/>
      <c r="BA228" s="107">
        <v>0</v>
      </c>
      <c r="BC228" s="198">
        <v>0</v>
      </c>
      <c r="BD228" s="203"/>
    </row>
    <row r="229" spans="1:56" x14ac:dyDescent="0.2">
      <c r="B229" s="88" t="s">
        <v>129</v>
      </c>
      <c r="H229" s="107"/>
      <c r="I229" s="107"/>
      <c r="J229" s="107"/>
      <c r="K229" s="107"/>
      <c r="L229" s="107"/>
      <c r="M229" s="107"/>
      <c r="N229" s="107"/>
      <c r="O229" s="107"/>
      <c r="P229" s="107"/>
      <c r="Q229" s="107"/>
      <c r="R229" s="107">
        <f>R228+R226+R217+R213</f>
        <v>44.366000000000042</v>
      </c>
      <c r="S229" s="107"/>
      <c r="T229" s="107"/>
      <c r="U229" s="107"/>
      <c r="V229" s="107"/>
      <c r="W229" s="107">
        <f>W228+W226+W217+W213</f>
        <v>397.78100000000001</v>
      </c>
      <c r="X229" s="107"/>
      <c r="Y229" s="107"/>
      <c r="Z229" s="107"/>
      <c r="AA229" s="107"/>
      <c r="AB229" s="107">
        <f>AB228+AB226+AB217+AB213</f>
        <v>-459.89800000000002</v>
      </c>
      <c r="AC229" s="107"/>
      <c r="AD229" s="107"/>
      <c r="AE229" s="107"/>
      <c r="AF229" s="107"/>
      <c r="AG229" s="107">
        <f>AG228+AG226+AG217+AG213</f>
        <v>-95.426000000000045</v>
      </c>
      <c r="AH229" s="107"/>
      <c r="AI229" s="107"/>
      <c r="AJ229" s="107"/>
      <c r="AK229" s="107"/>
      <c r="AL229" s="107">
        <f>AL228+AL226+AL217+AL213</f>
        <v>25.876000000000033</v>
      </c>
      <c r="AM229" s="107">
        <f t="shared" ref="AM229:AZ229" si="468">AM228+AM226+AM217+AM213</f>
        <v>0</v>
      </c>
      <c r="AN229" s="107">
        <f t="shared" si="468"/>
        <v>0</v>
      </c>
      <c r="AO229" s="107">
        <f t="shared" si="468"/>
        <v>0</v>
      </c>
      <c r="AP229" s="107">
        <f t="shared" si="468"/>
        <v>0</v>
      </c>
      <c r="AQ229" s="107">
        <f ca="1">AQ228+AQ226+AQ217+AQ213</f>
        <v>106.73222351744778</v>
      </c>
      <c r="AR229" s="107">
        <f t="shared" si="468"/>
        <v>0</v>
      </c>
      <c r="AS229" s="107">
        <f t="shared" si="468"/>
        <v>0</v>
      </c>
      <c r="AT229" s="107">
        <f t="shared" si="468"/>
        <v>0</v>
      </c>
      <c r="AU229" s="107">
        <f t="shared" si="468"/>
        <v>0</v>
      </c>
      <c r="AV229" s="107">
        <f ca="1">AV228+AV226+AV217+AV213</f>
        <v>48.737374620348305</v>
      </c>
      <c r="AW229" s="107">
        <f t="shared" si="468"/>
        <v>0</v>
      </c>
      <c r="AX229" s="107">
        <f t="shared" si="468"/>
        <v>0</v>
      </c>
      <c r="AY229" s="107">
        <f t="shared" si="468"/>
        <v>0</v>
      </c>
      <c r="AZ229" s="107">
        <f t="shared" si="468"/>
        <v>0</v>
      </c>
      <c r="BA229" s="107">
        <f ca="1">BA228+BA226+BA217+BA213</f>
        <v>30.504330461727022</v>
      </c>
      <c r="BC229" s="198">
        <v>0</v>
      </c>
      <c r="BD229" s="203"/>
    </row>
    <row r="230" spans="1:56" x14ac:dyDescent="0.2">
      <c r="B230" s="88" t="s">
        <v>131</v>
      </c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12">
        <v>187.06100000000001</v>
      </c>
      <c r="S230" s="107"/>
      <c r="T230" s="107"/>
      <c r="U230" s="107"/>
      <c r="V230" s="107"/>
      <c r="W230" s="107">
        <f>231.427</f>
        <v>231.42699999999999</v>
      </c>
      <c r="X230" s="107"/>
      <c r="Y230" s="107"/>
      <c r="Z230" s="107"/>
      <c r="AA230" s="107"/>
      <c r="AB230" s="107">
        <f>W231</f>
        <v>629.20799999999997</v>
      </c>
      <c r="AC230" s="107"/>
      <c r="AD230" s="107"/>
      <c r="AE230" s="107"/>
      <c r="AF230" s="107"/>
      <c r="AG230" s="107">
        <f>AB231</f>
        <v>169.30999999999995</v>
      </c>
      <c r="AH230" s="107"/>
      <c r="AI230" s="107"/>
      <c r="AJ230" s="107"/>
      <c r="AK230" s="107"/>
      <c r="AL230" s="107">
        <f>AG231</f>
        <v>73.883999999999901</v>
      </c>
      <c r="AM230" s="107">
        <f t="shared" ref="AM230:AZ230" si="469">AH231</f>
        <v>0</v>
      </c>
      <c r="AN230" s="107">
        <f t="shared" si="469"/>
        <v>0</v>
      </c>
      <c r="AO230" s="107">
        <f t="shared" si="469"/>
        <v>0</v>
      </c>
      <c r="AP230" s="107">
        <f t="shared" si="469"/>
        <v>0</v>
      </c>
      <c r="AQ230" s="107">
        <f t="shared" si="469"/>
        <v>99.759999999999934</v>
      </c>
      <c r="AR230" s="107">
        <f t="shared" si="469"/>
        <v>0</v>
      </c>
      <c r="AS230" s="107">
        <f t="shared" si="469"/>
        <v>0</v>
      </c>
      <c r="AT230" s="107">
        <f t="shared" si="469"/>
        <v>0</v>
      </c>
      <c r="AU230" s="107">
        <f t="shared" si="469"/>
        <v>0</v>
      </c>
      <c r="AV230" s="107">
        <f ca="1">AQ231</f>
        <v>206.49222351744771</v>
      </c>
      <c r="AW230" s="107">
        <f t="shared" si="469"/>
        <v>0</v>
      </c>
      <c r="AX230" s="107">
        <f t="shared" si="469"/>
        <v>0</v>
      </c>
      <c r="AY230" s="107">
        <f t="shared" si="469"/>
        <v>0</v>
      </c>
      <c r="AZ230" s="107">
        <f t="shared" si="469"/>
        <v>0</v>
      </c>
      <c r="BA230" s="107">
        <f ca="1">AV231</f>
        <v>255.22959813779596</v>
      </c>
      <c r="BC230" s="198">
        <v>0</v>
      </c>
      <c r="BD230" s="203"/>
    </row>
    <row r="231" spans="1:56" x14ac:dyDescent="0.2">
      <c r="B231" s="88" t="s">
        <v>130</v>
      </c>
      <c r="H231" s="107"/>
      <c r="I231" s="107"/>
      <c r="J231" s="107"/>
      <c r="K231" s="107"/>
      <c r="L231" s="107"/>
      <c r="M231" s="107"/>
      <c r="N231" s="107"/>
      <c r="O231" s="107"/>
      <c r="P231" s="107"/>
      <c r="Q231" s="107"/>
      <c r="R231" s="107">
        <f>R229+R230</f>
        <v>231.42700000000005</v>
      </c>
      <c r="S231" s="107"/>
      <c r="T231" s="107"/>
      <c r="U231" s="107"/>
      <c r="V231" s="107"/>
      <c r="W231" s="107">
        <f>W229+W230</f>
        <v>629.20799999999997</v>
      </c>
      <c r="X231" s="107"/>
      <c r="Y231" s="107"/>
      <c r="Z231" s="107"/>
      <c r="AA231" s="107"/>
      <c r="AB231" s="107">
        <f>AB229+AB230</f>
        <v>169.30999999999995</v>
      </c>
      <c r="AC231" s="107"/>
      <c r="AD231" s="107"/>
      <c r="AE231" s="107"/>
      <c r="AF231" s="107"/>
      <c r="AG231" s="107">
        <f>AG229+AG230</f>
        <v>73.883999999999901</v>
      </c>
      <c r="AH231" s="107"/>
      <c r="AI231" s="107"/>
      <c r="AJ231" s="107"/>
      <c r="AK231" s="107"/>
      <c r="AL231" s="107">
        <f>AL229+AL230</f>
        <v>99.759999999999934</v>
      </c>
      <c r="AM231" s="107">
        <f t="shared" ref="AM231:AZ231" si="470">AM229+AM230</f>
        <v>0</v>
      </c>
      <c r="AN231" s="107">
        <f t="shared" si="470"/>
        <v>0</v>
      </c>
      <c r="AO231" s="107">
        <f t="shared" si="470"/>
        <v>0</v>
      </c>
      <c r="AP231" s="107">
        <f t="shared" si="470"/>
        <v>0</v>
      </c>
      <c r="AQ231" s="107">
        <f ca="1">AQ229+AQ230</f>
        <v>206.49222351744771</v>
      </c>
      <c r="AR231" s="107">
        <f t="shared" si="470"/>
        <v>0</v>
      </c>
      <c r="AS231" s="107">
        <f t="shared" si="470"/>
        <v>0</v>
      </c>
      <c r="AT231" s="107">
        <f t="shared" si="470"/>
        <v>0</v>
      </c>
      <c r="AU231" s="107">
        <f t="shared" si="470"/>
        <v>0</v>
      </c>
      <c r="AV231" s="107">
        <f ca="1">AV229+AV230</f>
        <v>255.22959813779602</v>
      </c>
      <c r="AW231" s="107">
        <f t="shared" si="470"/>
        <v>0</v>
      </c>
      <c r="AX231" s="107">
        <f t="shared" si="470"/>
        <v>0</v>
      </c>
      <c r="AY231" s="107">
        <f t="shared" si="470"/>
        <v>0</v>
      </c>
      <c r="AZ231" s="107">
        <f t="shared" si="470"/>
        <v>0</v>
      </c>
      <c r="BA231" s="107">
        <f ca="1">BA229+BA230</f>
        <v>285.73392859952298</v>
      </c>
      <c r="BC231" s="198">
        <v>0</v>
      </c>
      <c r="BD231" s="203"/>
    </row>
    <row r="232" spans="1:56" x14ac:dyDescent="0.2">
      <c r="H232" s="107"/>
      <c r="I232" s="107"/>
      <c r="J232" s="107"/>
      <c r="K232" s="107"/>
      <c r="L232" s="107"/>
      <c r="M232" s="107"/>
      <c r="N232" s="107"/>
      <c r="O232" s="107"/>
      <c r="P232" s="107"/>
      <c r="Q232" s="107"/>
      <c r="R232" s="107"/>
      <c r="S232" s="107"/>
      <c r="T232" s="107"/>
      <c r="U232" s="107"/>
      <c r="V232" s="107"/>
      <c r="W232" s="107"/>
      <c r="X232" s="107"/>
      <c r="Y232" s="107"/>
      <c r="Z232" s="107"/>
      <c r="AA232" s="107"/>
      <c r="AB232" s="107"/>
      <c r="AC232" s="107"/>
      <c r="AD232" s="107"/>
      <c r="AE232" s="107"/>
      <c r="AF232" s="107"/>
      <c r="AG232" s="107"/>
      <c r="AH232" s="107"/>
      <c r="AI232" s="107"/>
      <c r="AJ232" s="107"/>
      <c r="AK232" s="107"/>
      <c r="AL232" s="107"/>
      <c r="AM232" s="107"/>
      <c r="AN232" s="107"/>
      <c r="AO232" s="107"/>
      <c r="AP232" s="107"/>
      <c r="AQ232" s="107"/>
      <c r="AR232" s="107"/>
      <c r="AS232" s="107"/>
      <c r="AT232" s="107"/>
      <c r="AU232" s="107"/>
      <c r="AV232" s="107"/>
      <c r="AW232" s="107"/>
      <c r="AX232" s="107"/>
      <c r="AY232" s="107"/>
      <c r="AZ232" s="107"/>
      <c r="BA232" s="107"/>
      <c r="BC232" s="198">
        <v>0</v>
      </c>
      <c r="BD232" s="203"/>
    </row>
    <row r="233" spans="1:56" x14ac:dyDescent="0.2">
      <c r="B233" s="88" t="s">
        <v>132</v>
      </c>
      <c r="H233" s="107"/>
      <c r="I233" s="107"/>
      <c r="J233" s="107"/>
      <c r="K233" s="107"/>
      <c r="L233" s="107"/>
      <c r="M233" s="107"/>
      <c r="N233" s="107"/>
      <c r="O233" s="107"/>
      <c r="P233" s="107"/>
      <c r="Q233" s="107"/>
      <c r="R233" s="112">
        <v>58.935000000000002</v>
      </c>
      <c r="S233" s="107"/>
      <c r="T233" s="107"/>
      <c r="U233" s="107"/>
      <c r="V233" s="107"/>
      <c r="W233" s="112">
        <v>42.545000000000002</v>
      </c>
      <c r="X233" s="112"/>
      <c r="Y233" s="112"/>
      <c r="Z233" s="112"/>
      <c r="AA233" s="112"/>
      <c r="AB233" s="112">
        <v>52.268000000000001</v>
      </c>
      <c r="AC233" s="112"/>
      <c r="AD233" s="112"/>
      <c r="AE233" s="112"/>
      <c r="AF233" s="112"/>
      <c r="AG233" s="112">
        <v>67.144999999999996</v>
      </c>
      <c r="AH233" s="112"/>
      <c r="AI233" s="112"/>
      <c r="AJ233" s="112"/>
      <c r="AK233" s="112"/>
      <c r="AL233" s="112">
        <v>70.817999999999998</v>
      </c>
      <c r="AM233" s="107"/>
      <c r="AN233" s="107"/>
      <c r="AO233" s="107"/>
      <c r="AP233" s="107"/>
      <c r="AQ233" s="107">
        <v>-72</v>
      </c>
      <c r="AR233" s="107"/>
      <c r="AS233" s="107"/>
      <c r="AT233" s="107"/>
      <c r="AU233" s="107"/>
      <c r="AV233" s="107">
        <v>-72</v>
      </c>
      <c r="AW233" s="107"/>
      <c r="AX233" s="107"/>
      <c r="AY233" s="107"/>
      <c r="AZ233" s="107"/>
      <c r="BA233" s="107">
        <v>-72</v>
      </c>
      <c r="BC233" s="198">
        <v>0</v>
      </c>
      <c r="BD233" s="203"/>
    </row>
    <row r="234" spans="1:56" x14ac:dyDescent="0.2">
      <c r="B234" s="88" t="s">
        <v>133</v>
      </c>
      <c r="H234" s="107"/>
      <c r="I234" s="107"/>
      <c r="J234" s="107"/>
      <c r="K234" s="107"/>
      <c r="L234" s="107"/>
      <c r="M234" s="107"/>
      <c r="N234" s="107"/>
      <c r="O234" s="107"/>
      <c r="P234" s="107"/>
      <c r="Q234" s="107"/>
      <c r="R234" s="112">
        <v>7.9450000000000003</v>
      </c>
      <c r="S234" s="107"/>
      <c r="T234" s="107"/>
      <c r="U234" s="107"/>
      <c r="V234" s="107"/>
      <c r="W234" s="112">
        <v>9.4350000000000005</v>
      </c>
      <c r="X234" s="112"/>
      <c r="Y234" s="112"/>
      <c r="Z234" s="112"/>
      <c r="AA234" s="112"/>
      <c r="AB234" s="112">
        <v>13.768000000000001</v>
      </c>
      <c r="AC234" s="112"/>
      <c r="AD234" s="112"/>
      <c r="AE234" s="112"/>
      <c r="AF234" s="112"/>
      <c r="AG234" s="112">
        <v>16.771999999999998</v>
      </c>
      <c r="AH234" s="112"/>
      <c r="AI234" s="112"/>
      <c r="AJ234" s="112"/>
      <c r="AK234" s="112"/>
      <c r="AL234" s="112">
        <v>14.975</v>
      </c>
      <c r="AM234" s="107"/>
      <c r="AN234" s="107"/>
      <c r="AO234" s="107"/>
      <c r="AP234" s="107"/>
      <c r="AQ234" s="107">
        <v>-17.5</v>
      </c>
      <c r="AR234" s="107"/>
      <c r="AS234" s="107"/>
      <c r="AT234" s="107"/>
      <c r="AU234" s="107"/>
      <c r="AV234" s="107">
        <v>-17.5</v>
      </c>
      <c r="AW234" s="107"/>
      <c r="AX234" s="107"/>
      <c r="AY234" s="107"/>
      <c r="AZ234" s="107"/>
      <c r="BA234" s="107">
        <v>-17.5</v>
      </c>
      <c r="BC234" s="198">
        <v>0</v>
      </c>
      <c r="BD234" s="203"/>
    </row>
    <row r="235" spans="1:56" x14ac:dyDescent="0.2">
      <c r="H235" s="107"/>
      <c r="I235" s="107"/>
      <c r="J235" s="107"/>
      <c r="K235" s="107"/>
      <c r="L235" s="107"/>
      <c r="M235" s="107"/>
      <c r="N235" s="107"/>
      <c r="O235" s="107"/>
      <c r="P235" s="107"/>
      <c r="Q235" s="107"/>
      <c r="R235" s="107"/>
      <c r="S235" s="107"/>
      <c r="T235" s="107"/>
      <c r="U235" s="107"/>
      <c r="V235" s="107"/>
      <c r="AM235" s="107"/>
      <c r="AN235" s="107"/>
      <c r="AO235" s="107"/>
      <c r="AP235" s="107"/>
      <c r="AQ235" s="107"/>
      <c r="AR235" s="107"/>
      <c r="AS235" s="107"/>
      <c r="AT235" s="107"/>
      <c r="AU235" s="107"/>
      <c r="AV235" s="107"/>
      <c r="AW235" s="107"/>
      <c r="AX235" s="107"/>
      <c r="AY235" s="107"/>
      <c r="AZ235" s="107"/>
      <c r="BA235" s="107"/>
      <c r="BC235" s="198">
        <v>0</v>
      </c>
      <c r="BD235" s="203"/>
    </row>
    <row r="236" spans="1:56" x14ac:dyDescent="0.2">
      <c r="B236" s="141" t="s">
        <v>202</v>
      </c>
      <c r="H236" s="107"/>
      <c r="I236" s="107"/>
      <c r="J236" s="107"/>
      <c r="K236" s="107"/>
      <c r="L236" s="107"/>
      <c r="M236" s="107"/>
      <c r="N236" s="107"/>
      <c r="O236" s="107"/>
      <c r="P236" s="107"/>
      <c r="Q236" s="107"/>
      <c r="R236" s="124">
        <f>R215/R51</f>
        <v>-9.0503455083909182E-2</v>
      </c>
      <c r="S236" s="107"/>
      <c r="T236" s="107"/>
      <c r="U236" s="107"/>
      <c r="V236" s="107"/>
      <c r="W236" s="124">
        <f t="shared" ref="W236:AU236" si="471">W215/W51</f>
        <v>-9.3447663551401869E-2</v>
      </c>
      <c r="X236" s="124">
        <f t="shared" si="471"/>
        <v>0</v>
      </c>
      <c r="Y236" s="124">
        <f t="shared" si="471"/>
        <v>0</v>
      </c>
      <c r="Z236" s="124">
        <f t="shared" si="471"/>
        <v>0</v>
      </c>
      <c r="AA236" s="124">
        <f t="shared" si="471"/>
        <v>0</v>
      </c>
      <c r="AB236" s="124">
        <f t="shared" si="471"/>
        <v>-9.1759459459459458E-2</v>
      </c>
      <c r="AC236" s="124">
        <f t="shared" si="471"/>
        <v>0</v>
      </c>
      <c r="AD236" s="124">
        <f t="shared" si="471"/>
        <v>0</v>
      </c>
      <c r="AE236" s="124">
        <f t="shared" si="471"/>
        <v>0</v>
      </c>
      <c r="AF236" s="124">
        <f t="shared" si="471"/>
        <v>0</v>
      </c>
      <c r="AG236" s="124">
        <f t="shared" si="471"/>
        <v>-9.2414225973449407E-2</v>
      </c>
      <c r="AH236" s="124">
        <f t="shared" si="471"/>
        <v>0</v>
      </c>
      <c r="AI236" s="124">
        <f t="shared" si="471"/>
        <v>0</v>
      </c>
      <c r="AJ236" s="124">
        <f t="shared" si="471"/>
        <v>0</v>
      </c>
      <c r="AK236" s="124">
        <f t="shared" si="471"/>
        <v>0</v>
      </c>
      <c r="AL236" s="124">
        <f t="shared" si="471"/>
        <v>-9.048703338296657E-2</v>
      </c>
      <c r="AM236" s="124" t="e">
        <f t="shared" si="471"/>
        <v>#DIV/0!</v>
      </c>
      <c r="AN236" s="124" t="e">
        <f t="shared" si="471"/>
        <v>#DIV/0!</v>
      </c>
      <c r="AO236" s="124" t="e">
        <f t="shared" si="471"/>
        <v>#DIV/0!</v>
      </c>
      <c r="AP236" s="124" t="e">
        <f t="shared" si="471"/>
        <v>#DIV/0!</v>
      </c>
      <c r="AQ236" s="124">
        <f t="shared" si="471"/>
        <v>-0.10304704585805501</v>
      </c>
      <c r="AR236" s="124" t="e">
        <f t="shared" si="471"/>
        <v>#DIV/0!</v>
      </c>
      <c r="AS236" s="124" t="e">
        <f t="shared" si="471"/>
        <v>#DIV/0!</v>
      </c>
      <c r="AT236" s="124" t="e">
        <f t="shared" si="471"/>
        <v>#DIV/0!</v>
      </c>
      <c r="AU236" s="124" t="e">
        <f t="shared" si="471"/>
        <v>#DIV/0!</v>
      </c>
      <c r="AV236" s="147">
        <v>-0.09</v>
      </c>
      <c r="AW236" s="124" t="e">
        <f>AW215/AW51</f>
        <v>#DIV/0!</v>
      </c>
      <c r="AX236" s="124" t="e">
        <f>AX215/AX51</f>
        <v>#DIV/0!</v>
      </c>
      <c r="AY236" s="124" t="e">
        <f>AY215/AY51</f>
        <v>#DIV/0!</v>
      </c>
      <c r="AZ236" s="124" t="e">
        <f>AZ215/AZ51</f>
        <v>#DIV/0!</v>
      </c>
      <c r="BA236" s="147">
        <v>-0.09</v>
      </c>
      <c r="BB236" s="196"/>
      <c r="BC236" s="198">
        <v>0</v>
      </c>
      <c r="BD236" s="203"/>
    </row>
    <row r="237" spans="1:56" x14ac:dyDescent="0.2">
      <c r="B237" s="141" t="s">
        <v>201</v>
      </c>
      <c r="H237" s="107"/>
      <c r="I237" s="107"/>
      <c r="J237" s="107"/>
      <c r="K237" s="107"/>
      <c r="L237" s="107"/>
      <c r="M237" s="107"/>
      <c r="N237" s="107"/>
      <c r="O237" s="107"/>
      <c r="P237" s="107"/>
      <c r="Q237" s="107"/>
      <c r="R237" s="124">
        <f t="shared" ref="R237:AP237" si="472">R215/R89</f>
        <v>-0.26194285714285714</v>
      </c>
      <c r="S237" s="124" t="e">
        <f t="shared" si="472"/>
        <v>#DIV/0!</v>
      </c>
      <c r="T237" s="124" t="e">
        <f t="shared" si="472"/>
        <v>#DIV/0!</v>
      </c>
      <c r="U237" s="124" t="e">
        <f t="shared" si="472"/>
        <v>#DIV/0!</v>
      </c>
      <c r="V237" s="124" t="e">
        <f t="shared" si="472"/>
        <v>#DIV/0!</v>
      </c>
      <c r="W237" s="124">
        <f t="shared" si="472"/>
        <v>-0.26106788511749346</v>
      </c>
      <c r="X237" s="124" t="e">
        <f t="shared" si="472"/>
        <v>#DIV/0!</v>
      </c>
      <c r="Y237" s="124" t="e">
        <f t="shared" si="472"/>
        <v>#DIV/0!</v>
      </c>
      <c r="Z237" s="124" t="e">
        <f t="shared" si="472"/>
        <v>#DIV/0!</v>
      </c>
      <c r="AA237" s="124" t="e">
        <f t="shared" si="472"/>
        <v>#DIV/0!</v>
      </c>
      <c r="AB237" s="124">
        <f t="shared" si="472"/>
        <v>-0.25204151324385315</v>
      </c>
      <c r="AC237" s="124" t="e">
        <f t="shared" si="472"/>
        <v>#DIV/0!</v>
      </c>
      <c r="AD237" s="124" t="e">
        <f t="shared" si="472"/>
        <v>#DIV/0!</v>
      </c>
      <c r="AE237" s="124" t="e">
        <f t="shared" si="472"/>
        <v>#DIV/0!</v>
      </c>
      <c r="AF237" s="124" t="e">
        <f t="shared" si="472"/>
        <v>#DIV/0!</v>
      </c>
      <c r="AG237" s="124">
        <f t="shared" si="472"/>
        <v>-0.24735537359402851</v>
      </c>
      <c r="AH237" s="124">
        <f t="shared" si="472"/>
        <v>0</v>
      </c>
      <c r="AI237" s="124">
        <f t="shared" si="472"/>
        <v>0</v>
      </c>
      <c r="AJ237" s="124">
        <f t="shared" si="472"/>
        <v>0</v>
      </c>
      <c r="AK237" s="124">
        <f t="shared" si="472"/>
        <v>0</v>
      </c>
      <c r="AL237" s="124">
        <f t="shared" si="472"/>
        <v>-0.23756408019475395</v>
      </c>
      <c r="AM237" s="124" t="e">
        <f t="shared" si="472"/>
        <v>#DIV/0!</v>
      </c>
      <c r="AN237" s="124" t="e">
        <f t="shared" si="472"/>
        <v>#DIV/0!</v>
      </c>
      <c r="AO237" s="124" t="e">
        <f t="shared" si="472"/>
        <v>#DIV/0!</v>
      </c>
      <c r="AP237" s="124" t="e">
        <f t="shared" si="472"/>
        <v>#DIV/0!</v>
      </c>
      <c r="AQ237" s="124">
        <f>AQ215/AQ87</f>
        <v>-0.25074366358459621</v>
      </c>
      <c r="AR237" s="124" t="e">
        <f t="shared" ref="AR237:BA237" si="473">AR215/AR89</f>
        <v>#DIV/0!</v>
      </c>
      <c r="AS237" s="124" t="e">
        <f t="shared" si="473"/>
        <v>#DIV/0!</v>
      </c>
      <c r="AT237" s="124" t="e">
        <f t="shared" si="473"/>
        <v>#DIV/0!</v>
      </c>
      <c r="AU237" s="124" t="e">
        <f t="shared" si="473"/>
        <v>#DIV/0!</v>
      </c>
      <c r="AV237" s="124">
        <f t="shared" si="473"/>
        <v>-0.23316822819862837</v>
      </c>
      <c r="AW237" s="124" t="e">
        <f t="shared" si="473"/>
        <v>#DIV/0!</v>
      </c>
      <c r="AX237" s="124" t="e">
        <f t="shared" si="473"/>
        <v>#DIV/0!</v>
      </c>
      <c r="AY237" s="124" t="e">
        <f t="shared" si="473"/>
        <v>#DIV/0!</v>
      </c>
      <c r="AZ237" s="124" t="e">
        <f t="shared" si="473"/>
        <v>#DIV/0!</v>
      </c>
      <c r="BA237" s="124">
        <f t="shared" si="473"/>
        <v>-0.231996399981304</v>
      </c>
      <c r="BB237" s="196"/>
      <c r="BC237" s="198"/>
      <c r="BD237" s="203"/>
    </row>
    <row r="238" spans="1:56" x14ac:dyDescent="0.2">
      <c r="B238" s="141" t="s">
        <v>159</v>
      </c>
      <c r="H238" s="107"/>
      <c r="I238" s="107"/>
      <c r="J238" s="107"/>
      <c r="K238" s="107"/>
      <c r="L238" s="107"/>
      <c r="M238" s="107"/>
      <c r="N238" s="107"/>
      <c r="O238" s="107"/>
      <c r="P238" s="107"/>
      <c r="Q238" s="107"/>
      <c r="R238" s="124">
        <f>R215/R203</f>
        <v>-0.54248841709122542</v>
      </c>
      <c r="S238" s="107"/>
      <c r="T238" s="107"/>
      <c r="U238" s="107"/>
      <c r="V238" s="107"/>
      <c r="W238" s="124">
        <f t="shared" ref="W238:BA238" si="474">W215/W203</f>
        <v>-0.67539599446114362</v>
      </c>
      <c r="X238" s="124" t="e">
        <f t="shared" si="474"/>
        <v>#DIV/0!</v>
      </c>
      <c r="Y238" s="124" t="e">
        <f t="shared" si="474"/>
        <v>#DIV/0!</v>
      </c>
      <c r="Z238" s="124" t="e">
        <f t="shared" si="474"/>
        <v>#DIV/0!</v>
      </c>
      <c r="AA238" s="124" t="e">
        <f t="shared" si="474"/>
        <v>#DIV/0!</v>
      </c>
      <c r="AB238" s="124">
        <f t="shared" si="474"/>
        <v>-0.79526058949834089</v>
      </c>
      <c r="AC238" s="124" t="e">
        <f t="shared" si="474"/>
        <v>#DIV/0!</v>
      </c>
      <c r="AD238" s="124" t="e">
        <f t="shared" si="474"/>
        <v>#DIV/0!</v>
      </c>
      <c r="AE238" s="124" t="e">
        <f t="shared" si="474"/>
        <v>#DIV/0!</v>
      </c>
      <c r="AF238" s="124" t="e">
        <f t="shared" si="474"/>
        <v>#DIV/0!</v>
      </c>
      <c r="AG238" s="124">
        <f t="shared" si="474"/>
        <v>-1.00511530243185</v>
      </c>
      <c r="AH238" s="124" t="e">
        <f t="shared" si="474"/>
        <v>#DIV/0!</v>
      </c>
      <c r="AI238" s="124" t="e">
        <f t="shared" si="474"/>
        <v>#DIV/0!</v>
      </c>
      <c r="AJ238" s="124" t="e">
        <f t="shared" si="474"/>
        <v>#DIV/0!</v>
      </c>
      <c r="AK238" s="124" t="e">
        <f t="shared" si="474"/>
        <v>#DIV/0!</v>
      </c>
      <c r="AL238" s="124">
        <f t="shared" si="474"/>
        <v>-1.064788522590796</v>
      </c>
      <c r="AM238" s="124" t="e">
        <f t="shared" si="474"/>
        <v>#DIV/0!</v>
      </c>
      <c r="AN238" s="124" t="e">
        <f t="shared" si="474"/>
        <v>#DIV/0!</v>
      </c>
      <c r="AO238" s="124" t="e">
        <f t="shared" si="474"/>
        <v>#DIV/0!</v>
      </c>
      <c r="AP238" s="124" t="e">
        <f t="shared" si="474"/>
        <v>#DIV/0!</v>
      </c>
      <c r="AQ238" s="124">
        <f t="shared" si="474"/>
        <v>-1.212318186565353</v>
      </c>
      <c r="AR238" s="124" t="e">
        <f t="shared" si="474"/>
        <v>#DIV/0!</v>
      </c>
      <c r="AS238" s="124" t="e">
        <f t="shared" si="474"/>
        <v>#DIV/0!</v>
      </c>
      <c r="AT238" s="124" t="e">
        <f t="shared" si="474"/>
        <v>#DIV/0!</v>
      </c>
      <c r="AU238" s="124" t="e">
        <f t="shared" si="474"/>
        <v>#DIV/0!</v>
      </c>
      <c r="AV238" s="124">
        <f t="shared" si="474"/>
        <v>-1.0588235294117645</v>
      </c>
      <c r="AW238" s="124" t="e">
        <f t="shared" si="474"/>
        <v>#DIV/0!</v>
      </c>
      <c r="AX238" s="124" t="e">
        <f t="shared" si="474"/>
        <v>#DIV/0!</v>
      </c>
      <c r="AY238" s="124" t="e">
        <f t="shared" si="474"/>
        <v>#DIV/0!</v>
      </c>
      <c r="AZ238" s="124" t="e">
        <f t="shared" si="474"/>
        <v>#DIV/0!</v>
      </c>
      <c r="BA238" s="124">
        <f t="shared" si="474"/>
        <v>-1.0588235294117645</v>
      </c>
      <c r="BB238" s="196"/>
      <c r="BC238" s="198">
        <v>0</v>
      </c>
      <c r="BD238" s="203"/>
    </row>
    <row r="239" spans="1:56" x14ac:dyDescent="0.2">
      <c r="BC239" s="198">
        <v>0</v>
      </c>
      <c r="BD239" s="203"/>
    </row>
    <row r="240" spans="1:56" s="272" customFormat="1" ht="18" x14ac:dyDescent="0.25">
      <c r="A240" s="269"/>
      <c r="B240" s="256" t="s">
        <v>144</v>
      </c>
      <c r="C240" s="257"/>
      <c r="D240" s="257"/>
      <c r="E240" s="257"/>
      <c r="F240" s="257"/>
      <c r="G240" s="257"/>
      <c r="H240" s="257"/>
      <c r="I240" s="257"/>
      <c r="J240" s="257"/>
      <c r="K240" s="257"/>
      <c r="L240" s="257"/>
      <c r="M240" s="257"/>
      <c r="N240" s="257"/>
      <c r="O240" s="257"/>
      <c r="P240" s="257"/>
      <c r="Q240" s="257"/>
      <c r="R240" s="257"/>
      <c r="S240" s="257"/>
      <c r="T240" s="257"/>
      <c r="U240" s="257"/>
      <c r="V240" s="257"/>
      <c r="W240" s="257"/>
      <c r="X240" s="257"/>
      <c r="Y240" s="257"/>
      <c r="Z240" s="257"/>
      <c r="AA240" s="257"/>
      <c r="AB240" s="257"/>
      <c r="AC240" s="257"/>
      <c r="AD240" s="257"/>
      <c r="AE240" s="257"/>
      <c r="AF240" s="257"/>
      <c r="AG240" s="257"/>
      <c r="AH240" s="257"/>
      <c r="AI240" s="257"/>
      <c r="AJ240" s="257"/>
      <c r="AK240" s="257"/>
      <c r="AL240" s="257"/>
      <c r="AM240" s="257"/>
      <c r="AN240" s="257"/>
      <c r="AO240" s="257"/>
      <c r="AP240" s="257"/>
      <c r="AQ240" s="257"/>
      <c r="AR240" s="257"/>
      <c r="AS240" s="257"/>
      <c r="AT240" s="257"/>
      <c r="AU240" s="257"/>
      <c r="AV240" s="257"/>
      <c r="AW240" s="257"/>
      <c r="AX240" s="257"/>
      <c r="AY240" s="257"/>
      <c r="AZ240" s="257"/>
      <c r="BA240" s="258"/>
      <c r="BB240" s="270"/>
      <c r="BC240" s="260">
        <v>0</v>
      </c>
      <c r="BD240" s="271"/>
    </row>
    <row r="241" spans="1:56" x14ac:dyDescent="0.2">
      <c r="BC241" s="198">
        <v>0</v>
      </c>
      <c r="BD241" s="203"/>
    </row>
    <row r="242" spans="1:56" x14ac:dyDescent="0.2">
      <c r="B242" s="88" t="s">
        <v>254</v>
      </c>
      <c r="AG242" s="112">
        <v>570.54399999999998</v>
      </c>
      <c r="AH242" s="112"/>
      <c r="AI242" s="112"/>
      <c r="AJ242" s="112"/>
      <c r="AK242" s="112"/>
      <c r="AL242" s="112">
        <v>696.5</v>
      </c>
      <c r="BC242" s="198">
        <v>0</v>
      </c>
      <c r="BD242" s="203"/>
    </row>
    <row r="243" spans="1:56" x14ac:dyDescent="0.2">
      <c r="B243" s="88" t="s">
        <v>255</v>
      </c>
      <c r="AG243" s="112">
        <v>800</v>
      </c>
      <c r="AH243" s="112"/>
      <c r="AI243" s="112"/>
      <c r="AJ243" s="112"/>
      <c r="AK243" s="112"/>
      <c r="AL243" s="112">
        <v>800</v>
      </c>
      <c r="BC243" s="198">
        <v>0</v>
      </c>
      <c r="BD243" s="203"/>
    </row>
    <row r="244" spans="1:56" x14ac:dyDescent="0.2">
      <c r="B244" s="88" t="s">
        <v>256</v>
      </c>
      <c r="AG244" s="112">
        <v>30.187000000000001</v>
      </c>
      <c r="AH244" s="112"/>
      <c r="AI244" s="112"/>
      <c r="AJ244" s="112"/>
      <c r="AK244" s="112"/>
      <c r="AL244" s="112">
        <v>29.667000000000002</v>
      </c>
      <c r="BC244" s="198">
        <v>0</v>
      </c>
      <c r="BD244" s="203"/>
    </row>
    <row r="245" spans="1:56" x14ac:dyDescent="0.2">
      <c r="B245" s="88" t="s">
        <v>145</v>
      </c>
      <c r="AG245" s="112">
        <v>-5.2149999999999999</v>
      </c>
      <c r="AH245" s="112"/>
      <c r="AI245" s="112"/>
      <c r="AJ245" s="112"/>
      <c r="AK245" s="112"/>
      <c r="AL245" s="112">
        <v>-3.2810000000000001</v>
      </c>
      <c r="BC245" s="198">
        <v>0</v>
      </c>
      <c r="BD245" s="203"/>
    </row>
    <row r="246" spans="1:56" x14ac:dyDescent="0.2">
      <c r="B246" s="137" t="s">
        <v>146</v>
      </c>
      <c r="AG246" s="136">
        <v>-15.61</v>
      </c>
      <c r="AH246" s="136"/>
      <c r="AI246" s="136"/>
      <c r="AJ246" s="136"/>
      <c r="AK246" s="136"/>
      <c r="AL246" s="136">
        <v>-17.358000000000001</v>
      </c>
      <c r="BC246" s="198">
        <v>0</v>
      </c>
      <c r="BD246" s="203"/>
    </row>
    <row r="247" spans="1:56" s="106" customFormat="1" x14ac:dyDescent="0.2">
      <c r="A247" s="138"/>
      <c r="B247" s="106" t="s">
        <v>147</v>
      </c>
      <c r="AG247" s="126">
        <f>SUM(AG242:AG246)</f>
        <v>1379.9059999999999</v>
      </c>
      <c r="AH247" s="126"/>
      <c r="AI247" s="126"/>
      <c r="AJ247" s="126"/>
      <c r="AK247" s="126"/>
      <c r="AL247" s="126">
        <f>SUM(AL242:AL246)</f>
        <v>1505.528</v>
      </c>
      <c r="BB247" s="197"/>
      <c r="BC247" s="198">
        <v>0</v>
      </c>
      <c r="BD247" s="205"/>
    </row>
    <row r="248" spans="1:56" x14ac:dyDescent="0.2">
      <c r="B248" s="137" t="s">
        <v>148</v>
      </c>
      <c r="AG248" s="139">
        <v>-6.3010000000000002</v>
      </c>
      <c r="AH248" s="107"/>
      <c r="AI248" s="107"/>
      <c r="AJ248" s="107"/>
      <c r="AK248" s="107"/>
      <c r="AL248" s="139">
        <v>-7.5060000000000002</v>
      </c>
      <c r="BC248" s="198">
        <v>0</v>
      </c>
      <c r="BD248" s="203"/>
    </row>
    <row r="249" spans="1:56" x14ac:dyDescent="0.2">
      <c r="B249" s="106" t="s">
        <v>149</v>
      </c>
      <c r="AG249" s="126">
        <f>AG247+AG248</f>
        <v>1373.605</v>
      </c>
      <c r="AH249" s="126"/>
      <c r="AI249" s="126"/>
      <c r="AJ249" s="126"/>
      <c r="AK249" s="126"/>
      <c r="AL249" s="126">
        <f>AL247+AL248</f>
        <v>1498.0219999999999</v>
      </c>
      <c r="BC249" s="198">
        <v>0</v>
      </c>
      <c r="BD249" s="203"/>
    </row>
    <row r="250" spans="1:56" x14ac:dyDescent="0.2">
      <c r="B250" s="106"/>
      <c r="AG250" s="126"/>
      <c r="AH250" s="126"/>
      <c r="AI250" s="126"/>
      <c r="AJ250" s="126"/>
      <c r="AK250" s="126"/>
      <c r="AL250" s="126"/>
      <c r="BC250" s="198"/>
      <c r="BD250" s="203"/>
    </row>
    <row r="251" spans="1:56" ht="18" x14ac:dyDescent="0.2">
      <c r="B251" s="256" t="s">
        <v>309</v>
      </c>
      <c r="C251" s="257"/>
      <c r="D251" s="257"/>
      <c r="E251" s="257"/>
      <c r="F251" s="257"/>
      <c r="G251" s="257"/>
      <c r="H251" s="257"/>
      <c r="I251" s="257"/>
      <c r="J251" s="257"/>
      <c r="K251" s="257"/>
      <c r="L251" s="257"/>
      <c r="M251" s="257"/>
      <c r="N251" s="257"/>
      <c r="O251" s="257"/>
      <c r="P251" s="257"/>
      <c r="Q251" s="257"/>
      <c r="R251" s="257"/>
      <c r="S251" s="257"/>
      <c r="T251" s="257"/>
      <c r="U251" s="257"/>
      <c r="V251" s="257"/>
      <c r="W251" s="257"/>
      <c r="X251" s="257"/>
      <c r="Y251" s="257"/>
      <c r="Z251" s="257"/>
      <c r="AA251" s="257"/>
      <c r="AB251" s="257"/>
      <c r="AC251" s="257"/>
      <c r="AD251" s="257"/>
      <c r="AE251" s="257"/>
      <c r="AF251" s="257"/>
      <c r="AG251" s="257"/>
      <c r="AH251" s="257"/>
      <c r="AI251" s="257"/>
      <c r="AJ251" s="257"/>
      <c r="AK251" s="257"/>
      <c r="AL251" s="257"/>
      <c r="AM251" s="257"/>
      <c r="AN251" s="257"/>
      <c r="AO251" s="257"/>
      <c r="AP251" s="257"/>
      <c r="AQ251" s="257"/>
      <c r="AR251" s="257"/>
      <c r="AS251" s="257"/>
      <c r="AT251" s="257"/>
      <c r="AU251" s="257"/>
      <c r="AV251" s="257"/>
      <c r="AW251" s="257"/>
      <c r="AX251" s="257"/>
      <c r="AY251" s="257"/>
      <c r="AZ251" s="257"/>
      <c r="BA251" s="258"/>
      <c r="BC251" s="178"/>
      <c r="BD251" s="203"/>
    </row>
    <row r="252" spans="1:56" x14ac:dyDescent="0.2">
      <c r="BC252" s="178"/>
      <c r="BD252" s="203"/>
    </row>
    <row r="253" spans="1:56" x14ac:dyDescent="0.2">
      <c r="B253" s="88" t="s">
        <v>271</v>
      </c>
      <c r="AG253" s="112">
        <v>54</v>
      </c>
      <c r="BC253" s="178"/>
      <c r="BD253" s="203"/>
    </row>
    <row r="254" spans="1:56" x14ac:dyDescent="0.2">
      <c r="BC254" s="178"/>
      <c r="BD254" s="203"/>
    </row>
    <row r="255" spans="1:56" x14ac:dyDescent="0.2">
      <c r="B255" s="213" t="s">
        <v>264</v>
      </c>
      <c r="BC255" s="178"/>
      <c r="BD255" s="203"/>
    </row>
    <row r="256" spans="1:56" x14ac:dyDescent="0.2">
      <c r="B256" s="88" t="s">
        <v>262</v>
      </c>
      <c r="AG256" s="88">
        <v>5.8620000000000001</v>
      </c>
      <c r="BC256" s="178"/>
      <c r="BD256" s="203"/>
    </row>
    <row r="257" spans="2:56" x14ac:dyDescent="0.2">
      <c r="B257" s="88" t="s">
        <v>260</v>
      </c>
      <c r="AG257" s="123">
        <v>30.89</v>
      </c>
      <c r="BC257" s="178"/>
      <c r="BD257" s="203"/>
    </row>
    <row r="258" spans="2:56" x14ac:dyDescent="0.2">
      <c r="B258" s="88" t="s">
        <v>261</v>
      </c>
      <c r="AG258" s="281">
        <v>140.97900000000001</v>
      </c>
      <c r="BC258" s="178"/>
      <c r="BD258" s="203"/>
    </row>
    <row r="259" spans="2:56" x14ac:dyDescent="0.2">
      <c r="AG259" s="281"/>
      <c r="BC259" s="178"/>
      <c r="BD259" s="203"/>
    </row>
    <row r="260" spans="2:56" x14ac:dyDescent="0.2">
      <c r="B260" s="88" t="s">
        <v>263</v>
      </c>
      <c r="AG260" s="282">
        <v>2.4449999999999998</v>
      </c>
      <c r="BC260" s="178"/>
      <c r="BD260" s="203"/>
    </row>
    <row r="261" spans="2:56" x14ac:dyDescent="0.2">
      <c r="B261" s="88" t="s">
        <v>260</v>
      </c>
      <c r="AG261" s="123">
        <v>21.24</v>
      </c>
      <c r="BC261" s="178"/>
      <c r="BD261" s="203"/>
    </row>
    <row r="262" spans="2:56" x14ac:dyDescent="0.2">
      <c r="B262" s="88" t="s">
        <v>261</v>
      </c>
      <c r="AG262" s="281">
        <v>82.412999999999997</v>
      </c>
      <c r="BC262" s="178"/>
      <c r="BD262" s="203"/>
    </row>
    <row r="263" spans="2:56" x14ac:dyDescent="0.2">
      <c r="AG263" s="123"/>
      <c r="BC263" s="178"/>
      <c r="BD263" s="203"/>
    </row>
    <row r="264" spans="2:56" x14ac:dyDescent="0.2">
      <c r="B264" s="88" t="s">
        <v>221</v>
      </c>
      <c r="AG264" s="88">
        <v>1.8109999999999999</v>
      </c>
      <c r="BD264" s="203"/>
    </row>
    <row r="265" spans="2:56" x14ac:dyDescent="0.2">
      <c r="B265" s="88" t="s">
        <v>260</v>
      </c>
      <c r="BD265" s="203"/>
    </row>
    <row r="266" spans="2:56" x14ac:dyDescent="0.2">
      <c r="BD266" s="203"/>
    </row>
    <row r="267" spans="2:56" x14ac:dyDescent="0.2">
      <c r="B267" s="88" t="s">
        <v>222</v>
      </c>
      <c r="AG267" s="88">
        <v>6.5259999999999998</v>
      </c>
      <c r="BD267" s="203"/>
    </row>
    <row r="268" spans="2:56" x14ac:dyDescent="0.2">
      <c r="B268" s="88" t="s">
        <v>223</v>
      </c>
      <c r="AG268" s="88">
        <f>SUM(AG264:AG267)</f>
        <v>8.3369999999999997</v>
      </c>
      <c r="BD268" s="203"/>
    </row>
    <row r="269" spans="2:56" x14ac:dyDescent="0.2">
      <c r="BD269" s="203"/>
    </row>
    <row r="270" spans="2:56" x14ac:dyDescent="0.2">
      <c r="B270" s="88" t="s">
        <v>270</v>
      </c>
      <c r="AG270" s="284">
        <f>1.5*52</f>
        <v>78</v>
      </c>
      <c r="BD270" s="203"/>
    </row>
    <row r="271" spans="2:56" x14ac:dyDescent="0.2">
      <c r="BD271" s="203"/>
    </row>
    <row r="272" spans="2:56" x14ac:dyDescent="0.2">
      <c r="B272" s="88" t="s">
        <v>265</v>
      </c>
      <c r="AG272" s="88">
        <v>1.3140000000000001</v>
      </c>
      <c r="BD272" s="203"/>
    </row>
    <row r="273" spans="2:56" x14ac:dyDescent="0.2">
      <c r="B273" s="88" t="s">
        <v>266</v>
      </c>
      <c r="AG273" s="284">
        <f>139.9+17.9</f>
        <v>157.80000000000001</v>
      </c>
      <c r="BD273" s="203"/>
    </row>
    <row r="274" spans="2:56" x14ac:dyDescent="0.2">
      <c r="AG274" s="273"/>
      <c r="BD274" s="203"/>
    </row>
    <row r="275" spans="2:56" x14ac:dyDescent="0.2">
      <c r="B275" s="88" t="s">
        <v>267</v>
      </c>
      <c r="AG275" s="273"/>
      <c r="BD275" s="203"/>
    </row>
    <row r="276" spans="2:56" x14ac:dyDescent="0.2">
      <c r="B276" s="88" t="s">
        <v>268</v>
      </c>
      <c r="AG276" s="273">
        <v>2.4</v>
      </c>
      <c r="BD276" s="203"/>
    </row>
    <row r="277" spans="2:56" x14ac:dyDescent="0.2">
      <c r="B277" s="88" t="s">
        <v>269</v>
      </c>
      <c r="AG277" s="283">
        <v>132</v>
      </c>
      <c r="BD277" s="203"/>
    </row>
    <row r="278" spans="2:56" x14ac:dyDescent="0.2">
      <c r="BD278" s="203"/>
    </row>
    <row r="279" spans="2:56" ht="18" x14ac:dyDescent="0.2">
      <c r="B279" s="256" t="s">
        <v>308</v>
      </c>
      <c r="C279" s="257"/>
      <c r="D279" s="257"/>
      <c r="E279" s="257"/>
      <c r="F279" s="257"/>
      <c r="G279" s="257"/>
      <c r="H279" s="257"/>
      <c r="I279" s="257"/>
      <c r="J279" s="257"/>
      <c r="K279" s="257"/>
      <c r="L279" s="257"/>
      <c r="M279" s="257"/>
      <c r="N279" s="257"/>
      <c r="O279" s="257"/>
      <c r="P279" s="257"/>
      <c r="Q279" s="257"/>
      <c r="R279" s="257"/>
      <c r="S279" s="257"/>
      <c r="T279" s="257"/>
      <c r="U279" s="257"/>
      <c r="V279" s="257"/>
      <c r="W279" s="257"/>
      <c r="X279" s="257"/>
      <c r="Y279" s="257"/>
      <c r="Z279" s="257"/>
      <c r="AA279" s="257"/>
      <c r="AB279" s="257"/>
      <c r="AC279" s="257"/>
      <c r="AD279" s="257"/>
      <c r="AE279" s="257"/>
      <c r="AF279" s="257"/>
      <c r="AG279" s="257"/>
      <c r="AH279" s="257"/>
      <c r="AI279" s="257"/>
      <c r="AJ279" s="257"/>
      <c r="AK279" s="257"/>
      <c r="AL279" s="257"/>
      <c r="AM279" s="257"/>
      <c r="AN279" s="257"/>
      <c r="AO279" s="257"/>
      <c r="AP279" s="257"/>
      <c r="AQ279" s="257"/>
      <c r="AR279" s="257"/>
      <c r="AS279" s="257"/>
      <c r="AT279" s="257"/>
      <c r="AU279" s="257"/>
      <c r="AV279" s="257"/>
      <c r="AW279" s="257"/>
      <c r="AX279" s="257"/>
      <c r="AY279" s="257"/>
      <c r="AZ279" s="257"/>
      <c r="BA279" s="258"/>
      <c r="BD279" s="203"/>
    </row>
    <row r="280" spans="2:56" x14ac:dyDescent="0.2">
      <c r="BD280" s="203"/>
    </row>
    <row r="281" spans="2:56" x14ac:dyDescent="0.2">
      <c r="BD281" s="203"/>
    </row>
    <row r="282" spans="2:56" x14ac:dyDescent="0.2">
      <c r="B282" s="88" t="s">
        <v>219</v>
      </c>
      <c r="AB282" s="273">
        <v>13.2</v>
      </c>
      <c r="AC282" s="273"/>
      <c r="AD282" s="273"/>
      <c r="AE282" s="273"/>
      <c r="AF282" s="273"/>
      <c r="AG282" s="112">
        <v>12.8</v>
      </c>
      <c r="AH282" s="112"/>
      <c r="AI282" s="112"/>
      <c r="AJ282" s="112"/>
      <c r="AK282" s="112"/>
      <c r="AL282" s="112">
        <v>11.9</v>
      </c>
      <c r="BD282" s="203"/>
    </row>
    <row r="283" spans="2:56" x14ac:dyDescent="0.2">
      <c r="B283" s="125" t="s">
        <v>220</v>
      </c>
      <c r="AB283" s="88">
        <f>AB282*8</f>
        <v>105.6</v>
      </c>
      <c r="AC283" s="88">
        <f t="shared" ref="AC283:AL283" si="475">AC282*8</f>
        <v>0</v>
      </c>
      <c r="AD283" s="88">
        <f t="shared" si="475"/>
        <v>0</v>
      </c>
      <c r="AE283" s="88">
        <f t="shared" si="475"/>
        <v>0</v>
      </c>
      <c r="AF283" s="88">
        <f t="shared" si="475"/>
        <v>0</v>
      </c>
      <c r="AG283" s="88">
        <f t="shared" si="475"/>
        <v>102.4</v>
      </c>
      <c r="AH283" s="88">
        <f t="shared" si="475"/>
        <v>0</v>
      </c>
      <c r="AI283" s="88">
        <f t="shared" si="475"/>
        <v>0</v>
      </c>
      <c r="AJ283" s="88">
        <f t="shared" si="475"/>
        <v>0</v>
      </c>
      <c r="AK283" s="88">
        <f t="shared" si="475"/>
        <v>0</v>
      </c>
      <c r="AL283" s="88">
        <f t="shared" si="475"/>
        <v>95.2</v>
      </c>
      <c r="BD283" s="203"/>
    </row>
    <row r="284" spans="2:56" x14ac:dyDescent="0.2">
      <c r="B284" s="88" t="s">
        <v>218</v>
      </c>
      <c r="AG284" s="107"/>
      <c r="AH284" s="107"/>
      <c r="AI284" s="107"/>
      <c r="AJ284" s="107"/>
      <c r="AK284" s="107"/>
      <c r="AL284" s="107"/>
      <c r="BD284" s="203"/>
    </row>
    <row r="285" spans="2:56" x14ac:dyDescent="0.2">
      <c r="BD285" s="203"/>
    </row>
    <row r="286" spans="2:56" x14ac:dyDescent="0.2">
      <c r="B286" s="88" t="s">
        <v>252</v>
      </c>
      <c r="AB286" s="88">
        <v>61.2</v>
      </c>
      <c r="AG286" s="88">
        <v>63.2</v>
      </c>
      <c r="AL286" s="88">
        <v>62.8</v>
      </c>
      <c r="BD286" s="203"/>
    </row>
    <row r="287" spans="2:56" x14ac:dyDescent="0.2">
      <c r="B287" s="125" t="s">
        <v>253</v>
      </c>
      <c r="AB287" s="124">
        <f t="shared" ref="AB287:AL287" si="476">AB286/AB51</f>
        <v>5.5135135135135141E-2</v>
      </c>
      <c r="AC287" s="124">
        <f t="shared" si="476"/>
        <v>0</v>
      </c>
      <c r="AD287" s="124">
        <f t="shared" si="476"/>
        <v>0</v>
      </c>
      <c r="AE287" s="124">
        <f t="shared" si="476"/>
        <v>0</v>
      </c>
      <c r="AF287" s="124">
        <f t="shared" si="476"/>
        <v>0</v>
      </c>
      <c r="AG287" s="124">
        <f t="shared" si="476"/>
        <v>5.3750957864181881E-2</v>
      </c>
      <c r="AH287" s="124">
        <f t="shared" si="476"/>
        <v>0</v>
      </c>
      <c r="AI287" s="124">
        <f t="shared" si="476"/>
        <v>0</v>
      </c>
      <c r="AJ287" s="124">
        <f t="shared" si="476"/>
        <v>0</v>
      </c>
      <c r="AK287" s="124">
        <f t="shared" si="476"/>
        <v>0</v>
      </c>
      <c r="AL287" s="124">
        <f t="shared" si="476"/>
        <v>4.9685981432633558E-2</v>
      </c>
      <c r="BD287" s="203"/>
    </row>
    <row r="288" spans="2:56" x14ac:dyDescent="0.2">
      <c r="BD288" s="203"/>
    </row>
    <row r="289" spans="56:56" x14ac:dyDescent="0.2">
      <c r="BD289" s="203"/>
    </row>
    <row r="290" spans="56:56" x14ac:dyDescent="0.2">
      <c r="BD290" s="203"/>
    </row>
    <row r="291" spans="56:56" x14ac:dyDescent="0.2">
      <c r="BD291" s="203"/>
    </row>
    <row r="292" spans="56:56" x14ac:dyDescent="0.2">
      <c r="BD292" s="203"/>
    </row>
    <row r="293" spans="56:56" x14ac:dyDescent="0.2">
      <c r="BD293" s="203"/>
    </row>
    <row r="294" spans="56:56" x14ac:dyDescent="0.2">
      <c r="BD294" s="203"/>
    </row>
    <row r="295" spans="56:56" x14ac:dyDescent="0.2">
      <c r="BD295" s="203"/>
    </row>
    <row r="296" spans="56:56" x14ac:dyDescent="0.2">
      <c r="BD296" s="203"/>
    </row>
    <row r="297" spans="56:56" x14ac:dyDescent="0.2">
      <c r="BD297" s="203"/>
    </row>
    <row r="298" spans="56:56" x14ac:dyDescent="0.2">
      <c r="BD298" s="203"/>
    </row>
    <row r="299" spans="56:56" x14ac:dyDescent="0.2">
      <c r="BD299" s="203"/>
    </row>
    <row r="300" spans="56:56" x14ac:dyDescent="0.2">
      <c r="BD300" s="203"/>
    </row>
    <row r="301" spans="56:56" x14ac:dyDescent="0.2">
      <c r="BD301" s="203"/>
    </row>
    <row r="302" spans="56:56" x14ac:dyDescent="0.2">
      <c r="BD302" s="203"/>
    </row>
    <row r="303" spans="56:56" x14ac:dyDescent="0.2">
      <c r="BD303" s="203"/>
    </row>
    <row r="304" spans="56:56" x14ac:dyDescent="0.2">
      <c r="BD304" s="203"/>
    </row>
    <row r="305" spans="56:56" x14ac:dyDescent="0.2">
      <c r="BD305" s="203"/>
    </row>
    <row r="306" spans="56:56" x14ac:dyDescent="0.2">
      <c r="BD306" s="203"/>
    </row>
    <row r="307" spans="56:56" x14ac:dyDescent="0.2">
      <c r="BD307" s="203"/>
    </row>
    <row r="308" spans="56:56" x14ac:dyDescent="0.2">
      <c r="BD308" s="203"/>
    </row>
    <row r="309" spans="56:56" x14ac:dyDescent="0.2">
      <c r="BD309" s="203"/>
    </row>
    <row r="310" spans="56:56" x14ac:dyDescent="0.2">
      <c r="BD310" s="203"/>
    </row>
    <row r="311" spans="56:56" x14ac:dyDescent="0.2">
      <c r="BD311" s="203"/>
    </row>
    <row r="312" spans="56:56" x14ac:dyDescent="0.2">
      <c r="BD312" s="203"/>
    </row>
    <row r="313" spans="56:56" x14ac:dyDescent="0.2">
      <c r="BD313" s="203"/>
    </row>
    <row r="314" spans="56:56" x14ac:dyDescent="0.2">
      <c r="BD314" s="203"/>
    </row>
    <row r="315" spans="56:56" x14ac:dyDescent="0.2">
      <c r="BD315" s="203"/>
    </row>
    <row r="316" spans="56:56" x14ac:dyDescent="0.2">
      <c r="BD316" s="203"/>
    </row>
    <row r="317" spans="56:56" x14ac:dyDescent="0.2">
      <c r="BD317" s="203"/>
    </row>
    <row r="318" spans="56:56" x14ac:dyDescent="0.2">
      <c r="BD318" s="203"/>
    </row>
    <row r="319" spans="56:56" x14ac:dyDescent="0.2">
      <c r="BD319" s="203"/>
    </row>
    <row r="320" spans="56:56" x14ac:dyDescent="0.2">
      <c r="BD320" s="203"/>
    </row>
    <row r="321" spans="56:56" x14ac:dyDescent="0.2">
      <c r="BD321" s="203"/>
    </row>
    <row r="322" spans="56:56" x14ac:dyDescent="0.2">
      <c r="BD322" s="203"/>
    </row>
    <row r="323" spans="56:56" x14ac:dyDescent="0.2">
      <c r="BD323" s="203"/>
    </row>
    <row r="324" spans="56:56" x14ac:dyDescent="0.2">
      <c r="BD324" s="203"/>
    </row>
    <row r="325" spans="56:56" x14ac:dyDescent="0.2">
      <c r="BD325" s="203"/>
    </row>
    <row r="326" spans="56:56" x14ac:dyDescent="0.2">
      <c r="BD326" s="203"/>
    </row>
    <row r="327" spans="56:56" x14ac:dyDescent="0.2">
      <c r="BD327" s="203"/>
    </row>
    <row r="328" spans="56:56" x14ac:dyDescent="0.2">
      <c r="BD328" s="203"/>
    </row>
    <row r="329" spans="56:56" x14ac:dyDescent="0.2">
      <c r="BD329" s="203"/>
    </row>
    <row r="330" spans="56:56" x14ac:dyDescent="0.2">
      <c r="BD330" s="203"/>
    </row>
    <row r="331" spans="56:56" x14ac:dyDescent="0.2">
      <c r="BD331" s="203"/>
    </row>
    <row r="332" spans="56:56" x14ac:dyDescent="0.2">
      <c r="BD332" s="203"/>
    </row>
    <row r="333" spans="56:56" x14ac:dyDescent="0.2">
      <c r="BD333" s="203"/>
    </row>
    <row r="334" spans="56:56" x14ac:dyDescent="0.2">
      <c r="BD334" s="203"/>
    </row>
    <row r="335" spans="56:56" x14ac:dyDescent="0.2">
      <c r="BD335" s="203"/>
    </row>
    <row r="336" spans="56:56" x14ac:dyDescent="0.2">
      <c r="BD336" s="203"/>
    </row>
    <row r="337" spans="56:56" x14ac:dyDescent="0.2">
      <c r="BD337" s="203"/>
    </row>
    <row r="338" spans="56:56" x14ac:dyDescent="0.2">
      <c r="BD338" s="203"/>
    </row>
    <row r="339" spans="56:56" x14ac:dyDescent="0.2">
      <c r="BD339" s="203"/>
    </row>
    <row r="340" spans="56:56" x14ac:dyDescent="0.2">
      <c r="BD340" s="203"/>
    </row>
    <row r="341" spans="56:56" x14ac:dyDescent="0.2">
      <c r="BD341" s="203"/>
    </row>
    <row r="342" spans="56:56" x14ac:dyDescent="0.2">
      <c r="BD342" s="203"/>
    </row>
    <row r="343" spans="56:56" x14ac:dyDescent="0.2">
      <c r="BD343" s="203"/>
    </row>
    <row r="344" spans="56:56" x14ac:dyDescent="0.2">
      <c r="BD344" s="203"/>
    </row>
    <row r="345" spans="56:56" x14ac:dyDescent="0.2">
      <c r="BD345" s="203"/>
    </row>
    <row r="346" spans="56:56" x14ac:dyDescent="0.2">
      <c r="BD346" s="203"/>
    </row>
    <row r="347" spans="56:56" x14ac:dyDescent="0.2">
      <c r="BD347" s="203"/>
    </row>
    <row r="348" spans="56:56" x14ac:dyDescent="0.2">
      <c r="BD348" s="203"/>
    </row>
    <row r="349" spans="56:56" x14ac:dyDescent="0.2">
      <c r="BD349" s="203"/>
    </row>
    <row r="350" spans="56:56" x14ac:dyDescent="0.2">
      <c r="BD350" s="203"/>
    </row>
    <row r="351" spans="56:56" x14ac:dyDescent="0.2">
      <c r="BD351" s="203"/>
    </row>
    <row r="352" spans="56:56" x14ac:dyDescent="0.2">
      <c r="BD352" s="203"/>
    </row>
    <row r="353" spans="56:56" x14ac:dyDescent="0.2">
      <c r="BD353" s="203"/>
    </row>
    <row r="354" spans="56:56" x14ac:dyDescent="0.2">
      <c r="BD354" s="203"/>
    </row>
    <row r="355" spans="56:56" x14ac:dyDescent="0.2">
      <c r="BD355" s="203"/>
    </row>
    <row r="356" spans="56:56" x14ac:dyDescent="0.2">
      <c r="BD356" s="203"/>
    </row>
    <row r="357" spans="56:56" x14ac:dyDescent="0.2">
      <c r="BD357" s="203"/>
    </row>
    <row r="358" spans="56:56" x14ac:dyDescent="0.2">
      <c r="BD358" s="203"/>
    </row>
    <row r="359" spans="56:56" x14ac:dyDescent="0.2">
      <c r="BD359" s="203"/>
    </row>
    <row r="360" spans="56:56" x14ac:dyDescent="0.2">
      <c r="BD360" s="203"/>
    </row>
    <row r="361" spans="56:56" x14ac:dyDescent="0.2">
      <c r="BD361" s="203"/>
    </row>
    <row r="362" spans="56:56" x14ac:dyDescent="0.2">
      <c r="BD362" s="203"/>
    </row>
    <row r="363" spans="56:56" x14ac:dyDescent="0.2">
      <c r="BD363" s="203"/>
    </row>
    <row r="364" spans="56:56" x14ac:dyDescent="0.2">
      <c r="BD364" s="203"/>
    </row>
    <row r="365" spans="56:56" x14ac:dyDescent="0.2">
      <c r="BD365" s="203"/>
    </row>
    <row r="366" spans="56:56" x14ac:dyDescent="0.2">
      <c r="BD366" s="203"/>
    </row>
    <row r="367" spans="56:56" x14ac:dyDescent="0.2">
      <c r="BD367" s="203"/>
    </row>
    <row r="368" spans="56:56" x14ac:dyDescent="0.2">
      <c r="BD368" s="203"/>
    </row>
    <row r="369" spans="56:56" x14ac:dyDescent="0.2">
      <c r="BD369" s="203"/>
    </row>
    <row r="370" spans="56:56" x14ac:dyDescent="0.2">
      <c r="BD370" s="203"/>
    </row>
    <row r="371" spans="56:56" x14ac:dyDescent="0.2">
      <c r="BD371" s="203"/>
    </row>
    <row r="372" spans="56:56" x14ac:dyDescent="0.2">
      <c r="BD372" s="203"/>
    </row>
    <row r="373" spans="56:56" x14ac:dyDescent="0.2">
      <c r="BD373" s="203"/>
    </row>
    <row r="374" spans="56:56" x14ac:dyDescent="0.2">
      <c r="BD374" s="203"/>
    </row>
    <row r="375" spans="56:56" x14ac:dyDescent="0.2">
      <c r="BD375" s="203"/>
    </row>
    <row r="376" spans="56:56" x14ac:dyDescent="0.2">
      <c r="BD376" s="203"/>
    </row>
    <row r="377" spans="56:56" x14ac:dyDescent="0.2">
      <c r="BD377" s="203"/>
    </row>
    <row r="378" spans="56:56" x14ac:dyDescent="0.2">
      <c r="BD378" s="203"/>
    </row>
    <row r="379" spans="56:56" x14ac:dyDescent="0.2">
      <c r="BD379" s="203"/>
    </row>
    <row r="380" spans="56:56" x14ac:dyDescent="0.2">
      <c r="BD380" s="203"/>
    </row>
    <row r="381" spans="56:56" x14ac:dyDescent="0.2">
      <c r="BD381" s="203"/>
    </row>
    <row r="382" spans="56:56" x14ac:dyDescent="0.2">
      <c r="BD382" s="203"/>
    </row>
    <row r="383" spans="56:56" x14ac:dyDescent="0.2">
      <c r="BD383" s="203"/>
    </row>
    <row r="384" spans="56:56" x14ac:dyDescent="0.2">
      <c r="BD384" s="203"/>
    </row>
    <row r="385" spans="56:56" x14ac:dyDescent="0.2">
      <c r="BD385" s="203"/>
    </row>
    <row r="386" spans="56:56" x14ac:dyDescent="0.2">
      <c r="BD386" s="203"/>
    </row>
    <row r="387" spans="56:56" x14ac:dyDescent="0.2">
      <c r="BD387" s="203"/>
    </row>
    <row r="388" spans="56:56" x14ac:dyDescent="0.2">
      <c r="BD388" s="203"/>
    </row>
    <row r="389" spans="56:56" x14ac:dyDescent="0.2">
      <c r="BD389" s="203"/>
    </row>
    <row r="390" spans="56:56" x14ac:dyDescent="0.2">
      <c r="BD390" s="203"/>
    </row>
    <row r="391" spans="56:56" x14ac:dyDescent="0.2">
      <c r="BD391" s="203"/>
    </row>
    <row r="392" spans="56:56" x14ac:dyDescent="0.2">
      <c r="BD392" s="203"/>
    </row>
    <row r="393" spans="56:56" x14ac:dyDescent="0.2">
      <c r="BD393" s="203"/>
    </row>
    <row r="394" spans="56:56" x14ac:dyDescent="0.2">
      <c r="BD394" s="203"/>
    </row>
    <row r="395" spans="56:56" x14ac:dyDescent="0.2">
      <c r="BD395" s="203"/>
    </row>
    <row r="396" spans="56:56" x14ac:dyDescent="0.2">
      <c r="BD396" s="203"/>
    </row>
    <row r="397" spans="56:56" x14ac:dyDescent="0.2">
      <c r="BD397" s="203"/>
    </row>
    <row r="398" spans="56:56" x14ac:dyDescent="0.2">
      <c r="BD398" s="203"/>
    </row>
    <row r="399" spans="56:56" x14ac:dyDescent="0.2">
      <c r="BD399" s="203"/>
    </row>
    <row r="400" spans="56:56" x14ac:dyDescent="0.2">
      <c r="BD400" s="203"/>
    </row>
    <row r="401" spans="56:56" x14ac:dyDescent="0.2">
      <c r="BD401" s="203"/>
    </row>
    <row r="402" spans="56:56" x14ac:dyDescent="0.2">
      <c r="BD402" s="203"/>
    </row>
    <row r="403" spans="56:56" x14ac:dyDescent="0.2">
      <c r="BD403" s="203"/>
    </row>
    <row r="404" spans="56:56" x14ac:dyDescent="0.2">
      <c r="BD404" s="203"/>
    </row>
    <row r="405" spans="56:56" x14ac:dyDescent="0.2">
      <c r="BD405" s="203"/>
    </row>
    <row r="406" spans="56:56" x14ac:dyDescent="0.2">
      <c r="BD406" s="203"/>
    </row>
    <row r="407" spans="56:56" x14ac:dyDescent="0.2">
      <c r="BD407" s="203"/>
    </row>
    <row r="408" spans="56:56" x14ac:dyDescent="0.2">
      <c r="BD408" s="203"/>
    </row>
    <row r="409" spans="56:56" x14ac:dyDescent="0.2">
      <c r="BD409" s="203"/>
    </row>
    <row r="410" spans="56:56" x14ac:dyDescent="0.2">
      <c r="BD410" s="203"/>
    </row>
    <row r="411" spans="56:56" x14ac:dyDescent="0.2">
      <c r="BD411" s="203"/>
    </row>
    <row r="412" spans="56:56" x14ac:dyDescent="0.2">
      <c r="BD412" s="203"/>
    </row>
    <row r="413" spans="56:56" x14ac:dyDescent="0.2">
      <c r="BD413" s="203"/>
    </row>
    <row r="414" spans="56:56" x14ac:dyDescent="0.2">
      <c r="BD414" s="203"/>
    </row>
    <row r="415" spans="56:56" x14ac:dyDescent="0.2">
      <c r="BD415" s="203"/>
    </row>
    <row r="416" spans="56:56" x14ac:dyDescent="0.2">
      <c r="BD416" s="203"/>
    </row>
    <row r="417" spans="56:56" x14ac:dyDescent="0.2">
      <c r="BD417" s="203"/>
    </row>
    <row r="418" spans="56:56" x14ac:dyDescent="0.2">
      <c r="BD418" s="203"/>
    </row>
    <row r="419" spans="56:56" x14ac:dyDescent="0.2">
      <c r="BD419" s="203"/>
    </row>
    <row r="420" spans="56:56" x14ac:dyDescent="0.2">
      <c r="BD420" s="203"/>
    </row>
    <row r="421" spans="56:56" x14ac:dyDescent="0.2">
      <c r="BD421" s="203"/>
    </row>
    <row r="422" spans="56:56" x14ac:dyDescent="0.2">
      <c r="BD422" s="203"/>
    </row>
    <row r="423" spans="56:56" x14ac:dyDescent="0.2">
      <c r="BD423" s="203"/>
    </row>
    <row r="424" spans="56:56" x14ac:dyDescent="0.2">
      <c r="BD424" s="203"/>
    </row>
    <row r="425" spans="56:56" x14ac:dyDescent="0.2">
      <c r="BD425" s="203"/>
    </row>
    <row r="426" spans="56:56" x14ac:dyDescent="0.2">
      <c r="BD426" s="203"/>
    </row>
    <row r="427" spans="56:56" x14ac:dyDescent="0.2">
      <c r="BD427" s="203"/>
    </row>
    <row r="428" spans="56:56" x14ac:dyDescent="0.2">
      <c r="BD428" s="203"/>
    </row>
    <row r="429" spans="56:56" x14ac:dyDescent="0.2">
      <c r="BD429" s="203"/>
    </row>
    <row r="430" spans="56:56" x14ac:dyDescent="0.2">
      <c r="BD430" s="203"/>
    </row>
    <row r="431" spans="56:56" x14ac:dyDescent="0.2">
      <c r="BD431" s="203"/>
    </row>
    <row r="432" spans="56:56" x14ac:dyDescent="0.2">
      <c r="BD432" s="203"/>
    </row>
    <row r="433" spans="56:56" x14ac:dyDescent="0.2">
      <c r="BD433" s="203"/>
    </row>
    <row r="434" spans="56:56" x14ac:dyDescent="0.2">
      <c r="BD434" s="203"/>
    </row>
    <row r="435" spans="56:56" x14ac:dyDescent="0.2">
      <c r="BD435" s="203"/>
    </row>
    <row r="436" spans="56:56" x14ac:dyDescent="0.2">
      <c r="BD436" s="203"/>
    </row>
    <row r="437" spans="56:56" x14ac:dyDescent="0.2">
      <c r="BD437" s="203"/>
    </row>
    <row r="438" spans="56:56" x14ac:dyDescent="0.2">
      <c r="BD438" s="203"/>
    </row>
    <row r="439" spans="56:56" x14ac:dyDescent="0.2">
      <c r="BD439" s="203"/>
    </row>
    <row r="440" spans="56:56" x14ac:dyDescent="0.2">
      <c r="BD440" s="203"/>
    </row>
    <row r="441" spans="56:56" x14ac:dyDescent="0.2">
      <c r="BD441" s="203"/>
    </row>
    <row r="442" spans="56:56" x14ac:dyDescent="0.2">
      <c r="BD442" s="203"/>
    </row>
    <row r="443" spans="56:56" x14ac:dyDescent="0.2">
      <c r="BD443" s="203"/>
    </row>
    <row r="444" spans="56:56" x14ac:dyDescent="0.2">
      <c r="BD444" s="203"/>
    </row>
    <row r="445" spans="56:56" x14ac:dyDescent="0.2">
      <c r="BD445" s="203"/>
    </row>
    <row r="446" spans="56:56" x14ac:dyDescent="0.2">
      <c r="BD446" s="203"/>
    </row>
    <row r="447" spans="56:56" x14ac:dyDescent="0.2">
      <c r="BD447" s="203"/>
    </row>
    <row r="448" spans="56:56" x14ac:dyDescent="0.2">
      <c r="BD448" s="203"/>
    </row>
    <row r="449" spans="56:56" x14ac:dyDescent="0.2">
      <c r="BD449" s="203"/>
    </row>
    <row r="450" spans="56:56" x14ac:dyDescent="0.2">
      <c r="BD450" s="203"/>
    </row>
    <row r="451" spans="56:56" x14ac:dyDescent="0.2">
      <c r="BD451" s="203"/>
    </row>
    <row r="452" spans="56:56" x14ac:dyDescent="0.2">
      <c r="BD452" s="203"/>
    </row>
    <row r="453" spans="56:56" x14ac:dyDescent="0.2">
      <c r="BD453" s="203"/>
    </row>
    <row r="454" spans="56:56" x14ac:dyDescent="0.2">
      <c r="BD454" s="203"/>
    </row>
    <row r="455" spans="56:56" x14ac:dyDescent="0.2">
      <c r="BD455" s="203"/>
    </row>
    <row r="456" spans="56:56" x14ac:dyDescent="0.2">
      <c r="BD456" s="203"/>
    </row>
    <row r="457" spans="56:56" x14ac:dyDescent="0.2">
      <c r="BD457" s="203"/>
    </row>
    <row r="458" spans="56:56" x14ac:dyDescent="0.2">
      <c r="BD458" s="203"/>
    </row>
    <row r="459" spans="56:56" x14ac:dyDescent="0.2">
      <c r="BD459" s="203"/>
    </row>
    <row r="460" spans="56:56" x14ac:dyDescent="0.2">
      <c r="BD460" s="203"/>
    </row>
    <row r="461" spans="56:56" x14ac:dyDescent="0.2">
      <c r="BD461" s="203"/>
    </row>
    <row r="462" spans="56:56" x14ac:dyDescent="0.2">
      <c r="BD462" s="203"/>
    </row>
    <row r="463" spans="56:56" x14ac:dyDescent="0.2">
      <c r="BD463" s="203"/>
    </row>
    <row r="464" spans="56:56" x14ac:dyDescent="0.2">
      <c r="BD464" s="203"/>
    </row>
    <row r="465" spans="56:56" x14ac:dyDescent="0.2">
      <c r="BD465" s="203"/>
    </row>
    <row r="466" spans="56:56" x14ac:dyDescent="0.2">
      <c r="BD466" s="203"/>
    </row>
    <row r="467" spans="56:56" x14ac:dyDescent="0.2">
      <c r="BD467" s="203"/>
    </row>
    <row r="468" spans="56:56" x14ac:dyDescent="0.2">
      <c r="BD468" s="203"/>
    </row>
    <row r="469" spans="56:56" x14ac:dyDescent="0.2">
      <c r="BD469" s="203"/>
    </row>
    <row r="470" spans="56:56" x14ac:dyDescent="0.2">
      <c r="BD470" s="203"/>
    </row>
    <row r="471" spans="56:56" x14ac:dyDescent="0.2">
      <c r="BD471" s="203"/>
    </row>
    <row r="472" spans="56:56" x14ac:dyDescent="0.2">
      <c r="BD472" s="203"/>
    </row>
    <row r="473" spans="56:56" x14ac:dyDescent="0.2">
      <c r="BD473" s="203"/>
    </row>
    <row r="474" spans="56:56" x14ac:dyDescent="0.2">
      <c r="BD474" s="203"/>
    </row>
    <row r="475" spans="56:56" x14ac:dyDescent="0.2">
      <c r="BD475" s="203"/>
    </row>
    <row r="476" spans="56:56" x14ac:dyDescent="0.2">
      <c r="BD476" s="203"/>
    </row>
    <row r="477" spans="56:56" x14ac:dyDescent="0.2">
      <c r="BD477" s="203"/>
    </row>
    <row r="478" spans="56:56" x14ac:dyDescent="0.2">
      <c r="BD478" s="203"/>
    </row>
    <row r="479" spans="56:56" x14ac:dyDescent="0.2">
      <c r="BD479" s="203"/>
    </row>
    <row r="480" spans="56:56" x14ac:dyDescent="0.2">
      <c r="BD480" s="203"/>
    </row>
    <row r="481" spans="56:56" x14ac:dyDescent="0.2">
      <c r="BD481" s="203"/>
    </row>
    <row r="482" spans="56:56" x14ac:dyDescent="0.2">
      <c r="BD482" s="203"/>
    </row>
    <row r="483" spans="56:56" x14ac:dyDescent="0.2">
      <c r="BD483" s="203"/>
    </row>
    <row r="484" spans="56:56" x14ac:dyDescent="0.2">
      <c r="BD484" s="203"/>
    </row>
    <row r="485" spans="56:56" x14ac:dyDescent="0.2">
      <c r="BD485" s="203"/>
    </row>
    <row r="486" spans="56:56" x14ac:dyDescent="0.2">
      <c r="BD486" s="203"/>
    </row>
    <row r="487" spans="56:56" x14ac:dyDescent="0.2">
      <c r="BD487" s="203"/>
    </row>
    <row r="488" spans="56:56" x14ac:dyDescent="0.2">
      <c r="BD488" s="203"/>
    </row>
    <row r="489" spans="56:56" x14ac:dyDescent="0.2">
      <c r="BD489" s="203"/>
    </row>
    <row r="490" spans="56:56" x14ac:dyDescent="0.2">
      <c r="BD490" s="203"/>
    </row>
    <row r="491" spans="56:56" x14ac:dyDescent="0.2">
      <c r="BD491" s="203"/>
    </row>
    <row r="492" spans="56:56" x14ac:dyDescent="0.2">
      <c r="BD492" s="203"/>
    </row>
    <row r="493" spans="56:56" x14ac:dyDescent="0.2">
      <c r="BD493" s="203"/>
    </row>
    <row r="494" spans="56:56" x14ac:dyDescent="0.2">
      <c r="BD494" s="203"/>
    </row>
    <row r="495" spans="56:56" x14ac:dyDescent="0.2">
      <c r="BD495" s="203"/>
    </row>
    <row r="496" spans="56:56" x14ac:dyDescent="0.2">
      <c r="BD496" s="203"/>
    </row>
    <row r="497" spans="56:56" x14ac:dyDescent="0.2">
      <c r="BD497" s="203"/>
    </row>
    <row r="498" spans="56:56" x14ac:dyDescent="0.2">
      <c r="BD498" s="203"/>
    </row>
    <row r="499" spans="56:56" x14ac:dyDescent="0.2">
      <c r="BD499" s="203"/>
    </row>
    <row r="500" spans="56:56" x14ac:dyDescent="0.2">
      <c r="BD500" s="203"/>
    </row>
    <row r="501" spans="56:56" x14ac:dyDescent="0.2">
      <c r="BD501" s="203"/>
    </row>
    <row r="502" spans="56:56" x14ac:dyDescent="0.2">
      <c r="BD502" s="203"/>
    </row>
    <row r="503" spans="56:56" x14ac:dyDescent="0.2">
      <c r="BD503" s="203"/>
    </row>
    <row r="504" spans="56:56" x14ac:dyDescent="0.2">
      <c r="BD504" s="203"/>
    </row>
    <row r="505" spans="56:56" x14ac:dyDescent="0.2">
      <c r="BD505" s="203"/>
    </row>
    <row r="506" spans="56:56" x14ac:dyDescent="0.2">
      <c r="BD506" s="203"/>
    </row>
    <row r="507" spans="56:56" x14ac:dyDescent="0.2">
      <c r="BD507" s="203"/>
    </row>
    <row r="508" spans="56:56" x14ac:dyDescent="0.2">
      <c r="BD508" s="203"/>
    </row>
    <row r="509" spans="56:56" x14ac:dyDescent="0.2">
      <c r="BD509" s="203"/>
    </row>
    <row r="510" spans="56:56" x14ac:dyDescent="0.2">
      <c r="BD510" s="203"/>
    </row>
    <row r="511" spans="56:56" x14ac:dyDescent="0.2">
      <c r="BD511" s="203"/>
    </row>
    <row r="512" spans="56:56" x14ac:dyDescent="0.2">
      <c r="BD512" s="203"/>
    </row>
    <row r="513" spans="56:56" x14ac:dyDescent="0.2">
      <c r="BD513" s="203"/>
    </row>
    <row r="514" spans="56:56" x14ac:dyDescent="0.2">
      <c r="BD514" s="203"/>
    </row>
    <row r="515" spans="56:56" x14ac:dyDescent="0.2">
      <c r="BD515" s="203"/>
    </row>
    <row r="516" spans="56:56" x14ac:dyDescent="0.2">
      <c r="BD516" s="203"/>
    </row>
    <row r="517" spans="56:56" x14ac:dyDescent="0.2">
      <c r="BD517" s="203"/>
    </row>
    <row r="518" spans="56:56" x14ac:dyDescent="0.2">
      <c r="BD518" s="203"/>
    </row>
    <row r="519" spans="56:56" x14ac:dyDescent="0.2">
      <c r="BD519" s="203"/>
    </row>
    <row r="520" spans="56:56" x14ac:dyDescent="0.2">
      <c r="BD520" s="203"/>
    </row>
    <row r="521" spans="56:56" x14ac:dyDescent="0.2">
      <c r="BD521" s="203"/>
    </row>
    <row r="522" spans="56:56" x14ac:dyDescent="0.2">
      <c r="BD522" s="203"/>
    </row>
    <row r="523" spans="56:56" x14ac:dyDescent="0.2">
      <c r="BD523" s="203"/>
    </row>
    <row r="524" spans="56:56" x14ac:dyDescent="0.2">
      <c r="BD524" s="203"/>
    </row>
    <row r="525" spans="56:56" x14ac:dyDescent="0.2">
      <c r="BD525" s="203"/>
    </row>
    <row r="526" spans="56:56" x14ac:dyDescent="0.2">
      <c r="BD526" s="203"/>
    </row>
    <row r="527" spans="56:56" x14ac:dyDescent="0.2">
      <c r="BD527" s="203"/>
    </row>
    <row r="528" spans="56:56" x14ac:dyDescent="0.2">
      <c r="BD528" s="203"/>
    </row>
    <row r="529" spans="56:56" x14ac:dyDescent="0.2">
      <c r="BD529" s="203"/>
    </row>
    <row r="530" spans="56:56" x14ac:dyDescent="0.2">
      <c r="BD530" s="203"/>
    </row>
    <row r="531" spans="56:56" x14ac:dyDescent="0.2">
      <c r="BD531" s="203"/>
    </row>
    <row r="532" spans="56:56" x14ac:dyDescent="0.2">
      <c r="BD532" s="203"/>
    </row>
    <row r="533" spans="56:56" x14ac:dyDescent="0.2">
      <c r="BD533" s="203"/>
    </row>
    <row r="534" spans="56:56" x14ac:dyDescent="0.2">
      <c r="BD534" s="203"/>
    </row>
    <row r="535" spans="56:56" x14ac:dyDescent="0.2">
      <c r="BD535" s="203"/>
    </row>
    <row r="536" spans="56:56" x14ac:dyDescent="0.2">
      <c r="BD536" s="203"/>
    </row>
    <row r="537" spans="56:56" x14ac:dyDescent="0.2">
      <c r="BD537" s="203"/>
    </row>
    <row r="538" spans="56:56" x14ac:dyDescent="0.2">
      <c r="BD538" s="203"/>
    </row>
    <row r="539" spans="56:56" x14ac:dyDescent="0.2">
      <c r="BD539" s="203"/>
    </row>
    <row r="540" spans="56:56" x14ac:dyDescent="0.2">
      <c r="BD540" s="203"/>
    </row>
    <row r="541" spans="56:56" x14ac:dyDescent="0.2">
      <c r="BD541" s="203"/>
    </row>
    <row r="542" spans="56:56" x14ac:dyDescent="0.2">
      <c r="BD542" s="203"/>
    </row>
    <row r="543" spans="56:56" x14ac:dyDescent="0.2">
      <c r="BD543" s="203"/>
    </row>
    <row r="544" spans="56:56" x14ac:dyDescent="0.2">
      <c r="BD544" s="203"/>
    </row>
    <row r="545" spans="56:56" x14ac:dyDescent="0.2">
      <c r="BD545" s="203"/>
    </row>
    <row r="546" spans="56:56" x14ac:dyDescent="0.2">
      <c r="BD546" s="203"/>
    </row>
    <row r="547" spans="56:56" x14ac:dyDescent="0.2">
      <c r="BD547" s="203"/>
    </row>
    <row r="548" spans="56:56" x14ac:dyDescent="0.2">
      <c r="BD548" s="203"/>
    </row>
    <row r="549" spans="56:56" x14ac:dyDescent="0.2">
      <c r="BD549" s="203"/>
    </row>
    <row r="550" spans="56:56" x14ac:dyDescent="0.2">
      <c r="BD550" s="203"/>
    </row>
    <row r="551" spans="56:56" x14ac:dyDescent="0.2">
      <c r="BD551" s="203"/>
    </row>
    <row r="552" spans="56:56" x14ac:dyDescent="0.2">
      <c r="BD552" s="203"/>
    </row>
    <row r="553" spans="56:56" x14ac:dyDescent="0.2">
      <c r="BD553" s="203"/>
    </row>
    <row r="554" spans="56:56" x14ac:dyDescent="0.2">
      <c r="BD554" s="203"/>
    </row>
    <row r="555" spans="56:56" x14ac:dyDescent="0.2">
      <c r="BD555" s="203"/>
    </row>
    <row r="556" spans="56:56" x14ac:dyDescent="0.2">
      <c r="BD556" s="203"/>
    </row>
    <row r="557" spans="56:56" x14ac:dyDescent="0.2">
      <c r="BD557" s="203"/>
    </row>
    <row r="558" spans="56:56" x14ac:dyDescent="0.2">
      <c r="BD558" s="203"/>
    </row>
    <row r="559" spans="56:56" x14ac:dyDescent="0.2">
      <c r="BD559" s="203"/>
    </row>
    <row r="560" spans="56:56" x14ac:dyDescent="0.2">
      <c r="BD560" s="203"/>
    </row>
    <row r="561" spans="56:56" x14ac:dyDescent="0.2">
      <c r="BD561" s="203"/>
    </row>
    <row r="562" spans="56:56" x14ac:dyDescent="0.2">
      <c r="BD562" s="203"/>
    </row>
    <row r="563" spans="56:56" x14ac:dyDescent="0.2">
      <c r="BD563" s="203"/>
    </row>
    <row r="564" spans="56:56" x14ac:dyDescent="0.2">
      <c r="BD564" s="203"/>
    </row>
    <row r="565" spans="56:56" x14ac:dyDescent="0.2">
      <c r="BD565" s="203"/>
    </row>
    <row r="566" spans="56:56" x14ac:dyDescent="0.2">
      <c r="BD566" s="203"/>
    </row>
    <row r="567" spans="56:56" x14ac:dyDescent="0.2">
      <c r="BD567" s="203"/>
    </row>
    <row r="568" spans="56:56" x14ac:dyDescent="0.2">
      <c r="BD568" s="203"/>
    </row>
    <row r="569" spans="56:56" x14ac:dyDescent="0.2">
      <c r="BD569" s="203"/>
    </row>
    <row r="570" spans="56:56" x14ac:dyDescent="0.2">
      <c r="BD570" s="203"/>
    </row>
    <row r="571" spans="56:56" x14ac:dyDescent="0.2">
      <c r="BD571" s="203"/>
    </row>
    <row r="572" spans="56:56" x14ac:dyDescent="0.2">
      <c r="BD572" s="203"/>
    </row>
    <row r="573" spans="56:56" x14ac:dyDescent="0.2">
      <c r="BD573" s="203"/>
    </row>
    <row r="574" spans="56:56" x14ac:dyDescent="0.2">
      <c r="BD574" s="203"/>
    </row>
    <row r="575" spans="56:56" x14ac:dyDescent="0.2">
      <c r="BD575" s="203"/>
    </row>
    <row r="576" spans="56:56" x14ac:dyDescent="0.2">
      <c r="BD576" s="203"/>
    </row>
    <row r="577" spans="56:56" x14ac:dyDescent="0.2">
      <c r="BD577" s="203"/>
    </row>
    <row r="578" spans="56:56" x14ac:dyDescent="0.2">
      <c r="BD578" s="203"/>
    </row>
    <row r="579" spans="56:56" x14ac:dyDescent="0.2">
      <c r="BD579" s="203"/>
    </row>
    <row r="580" spans="56:56" x14ac:dyDescent="0.2">
      <c r="BD580" s="203"/>
    </row>
    <row r="581" spans="56:56" x14ac:dyDescent="0.2">
      <c r="BD581" s="203"/>
    </row>
    <row r="582" spans="56:56" x14ac:dyDescent="0.2">
      <c r="BD582" s="203"/>
    </row>
    <row r="583" spans="56:56" x14ac:dyDescent="0.2">
      <c r="BD583" s="203"/>
    </row>
    <row r="584" spans="56:56" x14ac:dyDescent="0.2">
      <c r="BD584" s="203"/>
    </row>
    <row r="585" spans="56:56" x14ac:dyDescent="0.2">
      <c r="BD585" s="203"/>
    </row>
    <row r="586" spans="56:56" x14ac:dyDescent="0.2">
      <c r="BD586" s="203"/>
    </row>
    <row r="587" spans="56:56" x14ac:dyDescent="0.2">
      <c r="BD587" s="203"/>
    </row>
    <row r="588" spans="56:56" x14ac:dyDescent="0.2">
      <c r="BD588" s="203"/>
    </row>
    <row r="589" spans="56:56" x14ac:dyDescent="0.2">
      <c r="BD589" s="203"/>
    </row>
    <row r="590" spans="56:56" x14ac:dyDescent="0.2">
      <c r="BD590" s="203"/>
    </row>
    <row r="591" spans="56:56" x14ac:dyDescent="0.2">
      <c r="BD591" s="203"/>
    </row>
    <row r="592" spans="56:56" x14ac:dyDescent="0.2">
      <c r="BD592" s="203"/>
    </row>
    <row r="593" spans="56:56" x14ac:dyDescent="0.2">
      <c r="BD593" s="203"/>
    </row>
    <row r="594" spans="56:56" x14ac:dyDescent="0.2">
      <c r="BD594" s="203"/>
    </row>
    <row r="595" spans="56:56" x14ac:dyDescent="0.2">
      <c r="BD595" s="203"/>
    </row>
    <row r="596" spans="56:56" x14ac:dyDescent="0.2">
      <c r="BD596" s="203"/>
    </row>
    <row r="597" spans="56:56" x14ac:dyDescent="0.2">
      <c r="BD597" s="203"/>
    </row>
    <row r="598" spans="56:56" x14ac:dyDescent="0.2">
      <c r="BD598" s="203"/>
    </row>
    <row r="599" spans="56:56" x14ac:dyDescent="0.2">
      <c r="BD599" s="203"/>
    </row>
    <row r="600" spans="56:56" x14ac:dyDescent="0.2">
      <c r="BD600" s="203"/>
    </row>
    <row r="601" spans="56:56" x14ac:dyDescent="0.2">
      <c r="BD601" s="203"/>
    </row>
    <row r="602" spans="56:56" x14ac:dyDescent="0.2">
      <c r="BD602" s="203"/>
    </row>
    <row r="603" spans="56:56" x14ac:dyDescent="0.2">
      <c r="BD603" s="203"/>
    </row>
    <row r="604" spans="56:56" x14ac:dyDescent="0.2">
      <c r="BD604" s="203"/>
    </row>
    <row r="605" spans="56:56" x14ac:dyDescent="0.2">
      <c r="BD605" s="203"/>
    </row>
    <row r="606" spans="56:56" x14ac:dyDescent="0.2">
      <c r="BD606" s="203"/>
    </row>
    <row r="607" spans="56:56" x14ac:dyDescent="0.2">
      <c r="BD607" s="203"/>
    </row>
    <row r="608" spans="56:56" x14ac:dyDescent="0.2">
      <c r="BD608" s="203"/>
    </row>
    <row r="609" spans="56:56" x14ac:dyDescent="0.2">
      <c r="BD609" s="203"/>
    </row>
    <row r="610" spans="56:56" x14ac:dyDescent="0.2">
      <c r="BD610" s="203"/>
    </row>
    <row r="611" spans="56:56" x14ac:dyDescent="0.2">
      <c r="BD611" s="203"/>
    </row>
    <row r="612" spans="56:56" x14ac:dyDescent="0.2">
      <c r="BD612" s="203"/>
    </row>
    <row r="613" spans="56:56" x14ac:dyDescent="0.2">
      <c r="BD613" s="203"/>
    </row>
    <row r="614" spans="56:56" x14ac:dyDescent="0.2">
      <c r="BD614" s="203"/>
    </row>
    <row r="615" spans="56:56" x14ac:dyDescent="0.2">
      <c r="BD615" s="203"/>
    </row>
    <row r="616" spans="56:56" x14ac:dyDescent="0.2">
      <c r="BD616" s="203"/>
    </row>
    <row r="617" spans="56:56" x14ac:dyDescent="0.2">
      <c r="BD617" s="203"/>
    </row>
    <row r="618" spans="56:56" x14ac:dyDescent="0.2">
      <c r="BD618" s="203"/>
    </row>
    <row r="619" spans="56:56" x14ac:dyDescent="0.2">
      <c r="BD619" s="203"/>
    </row>
    <row r="620" spans="56:56" x14ac:dyDescent="0.2">
      <c r="BD620" s="203"/>
    </row>
    <row r="621" spans="56:56" x14ac:dyDescent="0.2">
      <c r="BD621" s="203"/>
    </row>
    <row r="622" spans="56:56" x14ac:dyDescent="0.2">
      <c r="BD622" s="203"/>
    </row>
    <row r="623" spans="56:56" x14ac:dyDescent="0.2">
      <c r="BD623" s="203"/>
    </row>
    <row r="624" spans="56:56" x14ac:dyDescent="0.2">
      <c r="BD624" s="203"/>
    </row>
    <row r="625" spans="56:56" x14ac:dyDescent="0.2">
      <c r="BD625" s="203"/>
    </row>
    <row r="626" spans="56:56" x14ac:dyDescent="0.2">
      <c r="BD626" s="203"/>
    </row>
    <row r="627" spans="56:56" x14ac:dyDescent="0.2">
      <c r="BD627" s="203"/>
    </row>
    <row r="628" spans="56:56" x14ac:dyDescent="0.2">
      <c r="BD628" s="203"/>
    </row>
    <row r="629" spans="56:56" x14ac:dyDescent="0.2">
      <c r="BD629" s="203"/>
    </row>
    <row r="630" spans="56:56" x14ac:dyDescent="0.2">
      <c r="BD630" s="203"/>
    </row>
    <row r="631" spans="56:56" x14ac:dyDescent="0.2">
      <c r="BD631" s="203"/>
    </row>
    <row r="632" spans="56:56" x14ac:dyDescent="0.2">
      <c r="BD632" s="203"/>
    </row>
    <row r="633" spans="56:56" x14ac:dyDescent="0.2">
      <c r="BD633" s="203"/>
    </row>
    <row r="634" spans="56:56" x14ac:dyDescent="0.2">
      <c r="BD634" s="203"/>
    </row>
    <row r="635" spans="56:56" x14ac:dyDescent="0.2">
      <c r="BD635" s="203"/>
    </row>
    <row r="636" spans="56:56" x14ac:dyDescent="0.2">
      <c r="BD636" s="203"/>
    </row>
    <row r="637" spans="56:56" x14ac:dyDescent="0.2">
      <c r="BD637" s="203"/>
    </row>
    <row r="638" spans="56:56" x14ac:dyDescent="0.2">
      <c r="BD638" s="203"/>
    </row>
    <row r="639" spans="56:56" x14ac:dyDescent="0.2">
      <c r="BD639" s="203"/>
    </row>
    <row r="640" spans="56:56" x14ac:dyDescent="0.2">
      <c r="BD640" s="203"/>
    </row>
    <row r="641" spans="56:56" x14ac:dyDescent="0.2">
      <c r="BD641" s="203"/>
    </row>
    <row r="642" spans="56:56" x14ac:dyDescent="0.2">
      <c r="BD642" s="203"/>
    </row>
    <row r="643" spans="56:56" x14ac:dyDescent="0.2">
      <c r="BD643" s="203"/>
    </row>
    <row r="644" spans="56:56" x14ac:dyDescent="0.2">
      <c r="BD644" s="203"/>
    </row>
    <row r="645" spans="56:56" x14ac:dyDescent="0.2">
      <c r="BD645" s="203"/>
    </row>
    <row r="646" spans="56:56" x14ac:dyDescent="0.2">
      <c r="BD646" s="203"/>
    </row>
    <row r="647" spans="56:56" x14ac:dyDescent="0.2">
      <c r="BD647" s="203"/>
    </row>
    <row r="648" spans="56:56" x14ac:dyDescent="0.2">
      <c r="BD648" s="203"/>
    </row>
    <row r="649" spans="56:56" x14ac:dyDescent="0.2">
      <c r="BD649" s="203"/>
    </row>
    <row r="650" spans="56:56" x14ac:dyDescent="0.2">
      <c r="BD650" s="203"/>
    </row>
    <row r="651" spans="56:56" x14ac:dyDescent="0.2">
      <c r="BD651" s="203"/>
    </row>
    <row r="652" spans="56:56" x14ac:dyDescent="0.2">
      <c r="BD652" s="203"/>
    </row>
    <row r="653" spans="56:56" x14ac:dyDescent="0.2">
      <c r="BD653" s="203"/>
    </row>
    <row r="654" spans="56:56" x14ac:dyDescent="0.2">
      <c r="BD654" s="203"/>
    </row>
    <row r="655" spans="56:56" x14ac:dyDescent="0.2">
      <c r="BD655" s="203"/>
    </row>
    <row r="656" spans="56:56" x14ac:dyDescent="0.2">
      <c r="BD656" s="203"/>
    </row>
    <row r="657" spans="56:56" x14ac:dyDescent="0.2">
      <c r="BD657" s="203"/>
    </row>
    <row r="658" spans="56:56" x14ac:dyDescent="0.2">
      <c r="BD658" s="203"/>
    </row>
    <row r="659" spans="56:56" x14ac:dyDescent="0.2">
      <c r="BD659" s="203"/>
    </row>
    <row r="660" spans="56:56" x14ac:dyDescent="0.2">
      <c r="BD660" s="203"/>
    </row>
    <row r="661" spans="56:56" x14ac:dyDescent="0.2">
      <c r="BD661" s="203"/>
    </row>
    <row r="662" spans="56:56" x14ac:dyDescent="0.2">
      <c r="BD662" s="203"/>
    </row>
    <row r="663" spans="56:56" x14ac:dyDescent="0.2">
      <c r="BD663" s="203"/>
    </row>
    <row r="664" spans="56:56" x14ac:dyDescent="0.2">
      <c r="BD664" s="203"/>
    </row>
    <row r="665" spans="56:56" x14ac:dyDescent="0.2">
      <c r="BD665" s="203"/>
    </row>
    <row r="666" spans="56:56" x14ac:dyDescent="0.2">
      <c r="BD666" s="203"/>
    </row>
    <row r="667" spans="56:56" x14ac:dyDescent="0.2">
      <c r="BD667" s="203"/>
    </row>
    <row r="668" spans="56:56" x14ac:dyDescent="0.2">
      <c r="BD668" s="203"/>
    </row>
    <row r="669" spans="56:56" x14ac:dyDescent="0.2">
      <c r="BD669" s="203"/>
    </row>
    <row r="670" spans="56:56" x14ac:dyDescent="0.2">
      <c r="BD670" s="203"/>
    </row>
    <row r="671" spans="56:56" x14ac:dyDescent="0.2">
      <c r="BD671" s="203"/>
    </row>
    <row r="672" spans="56:56" x14ac:dyDescent="0.2">
      <c r="BD672" s="203"/>
    </row>
    <row r="673" spans="56:56" x14ac:dyDescent="0.2">
      <c r="BD673" s="203"/>
    </row>
    <row r="674" spans="56:56" x14ac:dyDescent="0.2">
      <c r="BD674" s="203"/>
    </row>
    <row r="675" spans="56:56" x14ac:dyDescent="0.2">
      <c r="BD675" s="203"/>
    </row>
    <row r="676" spans="56:56" x14ac:dyDescent="0.2">
      <c r="BD676" s="203"/>
    </row>
    <row r="677" spans="56:56" x14ac:dyDescent="0.2">
      <c r="BD677" s="203"/>
    </row>
    <row r="678" spans="56:56" x14ac:dyDescent="0.2">
      <c r="BD678" s="203"/>
    </row>
    <row r="679" spans="56:56" x14ac:dyDescent="0.2">
      <c r="BD679" s="203"/>
    </row>
    <row r="680" spans="56:56" x14ac:dyDescent="0.2">
      <c r="BD680" s="203"/>
    </row>
    <row r="681" spans="56:56" x14ac:dyDescent="0.2">
      <c r="BD681" s="203"/>
    </row>
    <row r="682" spans="56:56" x14ac:dyDescent="0.2">
      <c r="BD682" s="203"/>
    </row>
    <row r="683" spans="56:56" x14ac:dyDescent="0.2">
      <c r="BD683" s="203"/>
    </row>
    <row r="684" spans="56:56" x14ac:dyDescent="0.2">
      <c r="BD684" s="203"/>
    </row>
    <row r="685" spans="56:56" x14ac:dyDescent="0.2">
      <c r="BD685" s="203"/>
    </row>
    <row r="686" spans="56:56" x14ac:dyDescent="0.2">
      <c r="BD686" s="203"/>
    </row>
    <row r="687" spans="56:56" x14ac:dyDescent="0.2">
      <c r="BD687" s="203"/>
    </row>
    <row r="688" spans="56:56" x14ac:dyDescent="0.2">
      <c r="BD688" s="203"/>
    </row>
    <row r="689" spans="56:56" x14ac:dyDescent="0.2">
      <c r="BD689" s="203"/>
    </row>
    <row r="690" spans="56:56" x14ac:dyDescent="0.2">
      <c r="BD690" s="203"/>
    </row>
    <row r="691" spans="56:56" x14ac:dyDescent="0.2">
      <c r="BD691" s="203"/>
    </row>
    <row r="692" spans="56:56" x14ac:dyDescent="0.2">
      <c r="BD692" s="203"/>
    </row>
    <row r="693" spans="56:56" x14ac:dyDescent="0.2">
      <c r="BD693" s="203"/>
    </row>
    <row r="694" spans="56:56" x14ac:dyDescent="0.2">
      <c r="BD694" s="203"/>
    </row>
    <row r="695" spans="56:56" x14ac:dyDescent="0.2">
      <c r="BD695" s="203"/>
    </row>
    <row r="696" spans="56:56" x14ac:dyDescent="0.2">
      <c r="BD696" s="203"/>
    </row>
    <row r="697" spans="56:56" x14ac:dyDescent="0.2">
      <c r="BD697" s="203"/>
    </row>
    <row r="698" spans="56:56" x14ac:dyDescent="0.2">
      <c r="BD698" s="203"/>
    </row>
    <row r="699" spans="56:56" x14ac:dyDescent="0.2">
      <c r="BD699" s="203"/>
    </row>
    <row r="700" spans="56:56" x14ac:dyDescent="0.2">
      <c r="BD700" s="203"/>
    </row>
    <row r="701" spans="56:56" x14ac:dyDescent="0.2">
      <c r="BD701" s="203"/>
    </row>
    <row r="702" spans="56:56" x14ac:dyDescent="0.2">
      <c r="BD702" s="203"/>
    </row>
    <row r="703" spans="56:56" x14ac:dyDescent="0.2">
      <c r="BD703" s="203"/>
    </row>
    <row r="704" spans="56:56" x14ac:dyDescent="0.2">
      <c r="BD704" s="203"/>
    </row>
    <row r="705" spans="56:56" x14ac:dyDescent="0.2">
      <c r="BD705" s="203"/>
    </row>
    <row r="706" spans="56:56" x14ac:dyDescent="0.2">
      <c r="BD706" s="203"/>
    </row>
    <row r="707" spans="56:56" x14ac:dyDescent="0.2">
      <c r="BD707" s="203"/>
    </row>
    <row r="708" spans="56:56" x14ac:dyDescent="0.2">
      <c r="BD708" s="203"/>
    </row>
    <row r="709" spans="56:56" x14ac:dyDescent="0.2">
      <c r="BD709" s="203"/>
    </row>
    <row r="710" spans="56:56" x14ac:dyDescent="0.2">
      <c r="BD710" s="203"/>
    </row>
    <row r="711" spans="56:56" x14ac:dyDescent="0.2">
      <c r="BD711" s="203"/>
    </row>
    <row r="712" spans="56:56" x14ac:dyDescent="0.2">
      <c r="BD712" s="203"/>
    </row>
  </sheetData>
  <printOptions horizontalCentered="1" verticalCentered="1"/>
  <pageMargins left="0.7" right="0.7" top="0.75" bottom="0.75" header="0.3" footer="0.3"/>
  <pageSetup scale="50" fitToHeight="4" orientation="landscape" r:id="rId1"/>
  <rowBreaks count="3" manualBreakCount="3">
    <brk id="85" min="1" max="52" man="1"/>
    <brk id="145" min="1" max="52" man="1"/>
    <brk id="199" min="1" max="5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E33"/>
  <sheetViews>
    <sheetView showGridLines="0" workbookViewId="0"/>
  </sheetViews>
  <sheetFormatPr defaultRowHeight="15" outlineLevelCol="1" x14ac:dyDescent="0.25"/>
  <cols>
    <col min="3" max="3" width="10.5703125" customWidth="1"/>
    <col min="10" max="10" width="9.140625" style="88" customWidth="1" collapsed="1"/>
    <col min="11" max="14" width="9.140625" style="88" hidden="1" customWidth="1" outlineLevel="1"/>
    <col min="15" max="15" width="9.140625" style="88" customWidth="1" collapsed="1"/>
    <col min="16" max="19" width="9.140625" style="88" hidden="1" customWidth="1" outlineLevel="1"/>
    <col min="20" max="20" width="9.140625" style="88" customWidth="1" collapsed="1"/>
  </cols>
  <sheetData>
    <row r="1" spans="1:57" s="290" customFormat="1" x14ac:dyDescent="0.25"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</row>
    <row r="2" spans="1:57" s="290" customFormat="1" ht="18" x14ac:dyDescent="0.25">
      <c r="B2" s="294" t="s">
        <v>290</v>
      </c>
      <c r="C2" s="292"/>
      <c r="D2" s="309" t="s">
        <v>280</v>
      </c>
      <c r="E2" s="309"/>
      <c r="F2" s="309"/>
      <c r="G2" s="309"/>
      <c r="H2" s="309"/>
      <c r="I2" s="310"/>
      <c r="J2" s="309" t="s">
        <v>294</v>
      </c>
      <c r="K2" s="308"/>
      <c r="L2" s="308"/>
      <c r="M2" s="308"/>
      <c r="N2" s="308"/>
      <c r="O2" s="308"/>
      <c r="P2" s="308"/>
      <c r="Q2" s="308"/>
      <c r="R2" s="308"/>
      <c r="S2" s="308"/>
      <c r="T2" s="308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</row>
    <row r="3" spans="1:57" s="290" customFormat="1" x14ac:dyDescent="0.25">
      <c r="B3" s="295">
        <v>1</v>
      </c>
      <c r="D3" s="6">
        <v>2010</v>
      </c>
      <c r="E3" s="6">
        <v>2011</v>
      </c>
      <c r="F3" s="6">
        <v>2012</v>
      </c>
      <c r="G3" s="6">
        <v>2013</v>
      </c>
      <c r="H3" s="6">
        <v>2014</v>
      </c>
      <c r="I3" s="6">
        <v>2015</v>
      </c>
      <c r="J3" s="306" t="s">
        <v>10</v>
      </c>
      <c r="K3" s="307" t="s">
        <v>7</v>
      </c>
      <c r="L3" s="307" t="s">
        <v>8</v>
      </c>
      <c r="M3" s="307" t="s">
        <v>9</v>
      </c>
      <c r="N3" s="307" t="s">
        <v>6</v>
      </c>
      <c r="O3" s="306" t="s">
        <v>11</v>
      </c>
      <c r="P3" s="307" t="s">
        <v>7</v>
      </c>
      <c r="Q3" s="307" t="s">
        <v>8</v>
      </c>
      <c r="R3" s="307" t="s">
        <v>9</v>
      </c>
      <c r="S3" s="307" t="s">
        <v>6</v>
      </c>
      <c r="T3" s="306" t="s">
        <v>12</v>
      </c>
    </row>
    <row r="4" spans="1:57" x14ac:dyDescent="0.25"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</row>
    <row r="5" spans="1:57" x14ac:dyDescent="0.25">
      <c r="B5" s="298" t="s">
        <v>281</v>
      </c>
      <c r="C5" s="300"/>
      <c r="D5" s="300"/>
      <c r="E5" s="300"/>
      <c r="F5" s="300"/>
      <c r="G5" s="300"/>
      <c r="H5" s="300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1"/>
    </row>
    <row r="6" spans="1:57" x14ac:dyDescent="0.25">
      <c r="B6" s="177"/>
    </row>
    <row r="7" spans="1:57" x14ac:dyDescent="0.25">
      <c r="B7" s="285" t="s">
        <v>276</v>
      </c>
    </row>
    <row r="8" spans="1:57" x14ac:dyDescent="0.25">
      <c r="B8" t="s">
        <v>23</v>
      </c>
      <c r="D8" s="297">
        <v>5.7971014492753659E-2</v>
      </c>
      <c r="E8" s="297">
        <v>6.0665362035225101E-2</v>
      </c>
      <c r="F8" s="297">
        <v>6.4575645756457467E-2</v>
      </c>
      <c r="G8" s="297">
        <v>4.3327556325823302E-2</v>
      </c>
      <c r="H8" s="297">
        <v>6.5672757475083055E-2</v>
      </c>
      <c r="I8" s="297">
        <v>7.214571301643713E-2</v>
      </c>
      <c r="J8" s="124">
        <f>CHOOSE(case,J9,J10,J11)</f>
        <v>0.06</v>
      </c>
      <c r="O8" s="124">
        <f>CHOOSE(case,O9,O10,O11)</f>
        <v>0.04</v>
      </c>
      <c r="T8" s="124">
        <f>CHOOSE(case,T9,T10,T11)</f>
        <v>0.02</v>
      </c>
    </row>
    <row r="9" spans="1:57" x14ac:dyDescent="0.25">
      <c r="A9">
        <v>1</v>
      </c>
      <c r="B9" s="293" t="s">
        <v>87</v>
      </c>
      <c r="J9" s="147">
        <v>0.06</v>
      </c>
      <c r="K9" s="147"/>
      <c r="L9" s="147"/>
      <c r="M9" s="147"/>
      <c r="N9" s="147"/>
      <c r="O9" s="147">
        <v>0.04</v>
      </c>
      <c r="P9" s="147"/>
      <c r="Q9" s="147"/>
      <c r="R9" s="147"/>
      <c r="S9" s="147"/>
      <c r="T9" s="147">
        <v>0.02</v>
      </c>
    </row>
    <row r="10" spans="1:57" x14ac:dyDescent="0.25">
      <c r="A10">
        <v>2</v>
      </c>
      <c r="B10" s="293" t="s">
        <v>277</v>
      </c>
      <c r="J10" s="147">
        <v>0.04</v>
      </c>
      <c r="K10" s="147"/>
      <c r="L10" s="147"/>
      <c r="M10" s="147"/>
      <c r="N10" s="147"/>
      <c r="O10" s="147">
        <v>0.02</v>
      </c>
      <c r="P10" s="147"/>
      <c r="Q10" s="147"/>
      <c r="R10" s="147"/>
      <c r="S10" s="147"/>
      <c r="T10" s="147">
        <v>0</v>
      </c>
    </row>
    <row r="11" spans="1:57" x14ac:dyDescent="0.25">
      <c r="A11">
        <v>3</v>
      </c>
      <c r="B11" s="293" t="s">
        <v>278</v>
      </c>
      <c r="J11" s="147">
        <v>0.02</v>
      </c>
      <c r="K11" s="147"/>
      <c r="L11" s="147"/>
      <c r="M11" s="147"/>
      <c r="N11" s="147"/>
      <c r="O11" s="147">
        <v>0</v>
      </c>
      <c r="P11" s="147"/>
      <c r="Q11" s="147"/>
      <c r="R11" s="147"/>
      <c r="S11" s="147"/>
      <c r="T11" s="147">
        <v>-0.02</v>
      </c>
    </row>
    <row r="13" spans="1:57" x14ac:dyDescent="0.25">
      <c r="B13" t="s">
        <v>279</v>
      </c>
      <c r="D13" s="297">
        <v>6.9333333333333247E-2</v>
      </c>
      <c r="E13" s="297">
        <v>3.2418952618453956E-2</v>
      </c>
      <c r="F13" s="297">
        <v>5.555555555555558E-2</v>
      </c>
      <c r="G13" s="297">
        <v>2.7459954233409523E-2</v>
      </c>
      <c r="H13" s="297">
        <v>2.4790645879732676E-2</v>
      </c>
      <c r="I13" s="297">
        <v>8.7059989437790586E-2</v>
      </c>
      <c r="J13" s="124">
        <f>CHOOSE(case,J14,J15,J16)</f>
        <v>0.06</v>
      </c>
      <c r="O13" s="124">
        <f>CHOOSE(case,O14,O15,O16)</f>
        <v>0.04</v>
      </c>
      <c r="T13" s="124">
        <f>CHOOSE(case,T14,T15,T16)</f>
        <v>0.02</v>
      </c>
    </row>
    <row r="14" spans="1:57" x14ac:dyDescent="0.25">
      <c r="A14">
        <v>1</v>
      </c>
      <c r="B14" s="293" t="s">
        <v>87</v>
      </c>
      <c r="J14" s="147">
        <v>0.06</v>
      </c>
      <c r="K14" s="147"/>
      <c r="L14" s="147"/>
      <c r="M14" s="147"/>
      <c r="N14" s="147"/>
      <c r="O14" s="147">
        <v>0.04</v>
      </c>
      <c r="P14" s="147"/>
      <c r="Q14" s="147"/>
      <c r="R14" s="147"/>
      <c r="S14" s="147"/>
      <c r="T14" s="147">
        <v>0.02</v>
      </c>
    </row>
    <row r="15" spans="1:57" x14ac:dyDescent="0.25">
      <c r="A15">
        <v>2</v>
      </c>
      <c r="B15" s="293" t="s">
        <v>277</v>
      </c>
      <c r="J15" s="147">
        <v>0.04</v>
      </c>
      <c r="K15" s="147"/>
      <c r="L15" s="147"/>
      <c r="M15" s="147"/>
      <c r="N15" s="147"/>
      <c r="O15" s="147">
        <v>0.02</v>
      </c>
      <c r="P15" s="147"/>
      <c r="Q15" s="147"/>
      <c r="R15" s="147"/>
      <c r="S15" s="147"/>
      <c r="T15" s="147">
        <v>0</v>
      </c>
    </row>
    <row r="16" spans="1:57" x14ac:dyDescent="0.25">
      <c r="A16">
        <v>3</v>
      </c>
      <c r="B16" s="293" t="s">
        <v>278</v>
      </c>
      <c r="J16" s="147">
        <v>0.02</v>
      </c>
      <c r="K16" s="147"/>
      <c r="L16" s="147"/>
      <c r="M16" s="147"/>
      <c r="N16" s="147"/>
      <c r="O16" s="147">
        <v>0</v>
      </c>
      <c r="P16" s="147"/>
      <c r="Q16" s="147"/>
      <c r="R16" s="147"/>
      <c r="S16" s="147"/>
      <c r="T16" s="147">
        <v>-0.02</v>
      </c>
    </row>
    <row r="18" spans="1:20" x14ac:dyDescent="0.25">
      <c r="B18" s="298" t="s">
        <v>282</v>
      </c>
      <c r="C18" s="300"/>
      <c r="D18" s="300"/>
      <c r="E18" s="300"/>
      <c r="F18" s="300"/>
      <c r="G18" s="300"/>
      <c r="H18" s="300"/>
      <c r="I18" s="300"/>
      <c r="J18" s="300"/>
      <c r="K18" s="300"/>
      <c r="L18" s="300"/>
      <c r="M18" s="300"/>
      <c r="N18" s="300"/>
      <c r="O18" s="300"/>
      <c r="P18" s="300"/>
      <c r="Q18" s="300"/>
      <c r="R18" s="300"/>
      <c r="S18" s="300"/>
      <c r="T18" s="301"/>
    </row>
    <row r="20" spans="1:20" x14ac:dyDescent="0.25">
      <c r="B20" t="s">
        <v>283</v>
      </c>
      <c r="D20" s="296">
        <v>0.41803278688524592</v>
      </c>
      <c r="E20" s="296">
        <v>0.39289239881539978</v>
      </c>
      <c r="F20" s="296">
        <v>0.38504672897196263</v>
      </c>
      <c r="G20" s="296">
        <v>0.37567567567567567</v>
      </c>
      <c r="H20" s="296">
        <v>0.37203062103618584</v>
      </c>
      <c r="I20" s="296">
        <v>0.3680710604475852</v>
      </c>
      <c r="J20" s="124">
        <f>CHOOSE(case,J21,J22,J23)</f>
        <v>0.36699999999999999</v>
      </c>
      <c r="O20" s="124">
        <f>CHOOSE(case,O21,O22,O23)</f>
        <v>0.36599999999999999</v>
      </c>
      <c r="T20" s="124">
        <f>CHOOSE(case,T21,T22,T23)</f>
        <v>0.36499999999999999</v>
      </c>
    </row>
    <row r="21" spans="1:20" x14ac:dyDescent="0.25">
      <c r="A21">
        <v>1</v>
      </c>
      <c r="B21" s="293" t="s">
        <v>87</v>
      </c>
      <c r="D21" s="296"/>
      <c r="E21" s="296"/>
      <c r="F21" s="296"/>
      <c r="G21" s="296"/>
      <c r="H21" s="296"/>
      <c r="I21" s="296"/>
      <c r="J21" s="147">
        <v>0.36699999999999999</v>
      </c>
      <c r="K21" s="147"/>
      <c r="L21" s="147"/>
      <c r="M21" s="147"/>
      <c r="N21" s="147"/>
      <c r="O21" s="147">
        <v>0.36599999999999999</v>
      </c>
      <c r="P21" s="147"/>
      <c r="Q21" s="147"/>
      <c r="R21" s="147"/>
      <c r="S21" s="147"/>
      <c r="T21" s="147">
        <v>0.36499999999999999</v>
      </c>
    </row>
    <row r="22" spans="1:20" x14ac:dyDescent="0.25">
      <c r="A22">
        <v>2</v>
      </c>
      <c r="B22" s="293" t="s">
        <v>277</v>
      </c>
      <c r="D22" s="296"/>
      <c r="E22" s="296"/>
      <c r="F22" s="296"/>
      <c r="G22" s="296"/>
      <c r="H22" s="296"/>
      <c r="I22" s="296"/>
      <c r="J22" s="147">
        <v>0.36499999999999999</v>
      </c>
      <c r="K22" s="147"/>
      <c r="L22" s="147"/>
      <c r="M22" s="147"/>
      <c r="N22" s="147"/>
      <c r="O22" s="147">
        <v>0.36199999999999999</v>
      </c>
      <c r="P22" s="147"/>
      <c r="Q22" s="147"/>
      <c r="R22" s="147"/>
      <c r="S22" s="147"/>
      <c r="T22" s="147">
        <v>0.36</v>
      </c>
    </row>
    <row r="23" spans="1:20" x14ac:dyDescent="0.25">
      <c r="A23">
        <v>3</v>
      </c>
      <c r="B23" s="293" t="s">
        <v>278</v>
      </c>
      <c r="D23" s="296"/>
      <c r="E23" s="296"/>
      <c r="F23" s="296"/>
      <c r="G23" s="296"/>
      <c r="H23" s="296"/>
      <c r="I23" s="296"/>
      <c r="J23" s="147">
        <v>0.375</v>
      </c>
      <c r="K23" s="147"/>
      <c r="L23" s="147"/>
      <c r="M23" s="147"/>
      <c r="N23" s="147"/>
      <c r="O23" s="147">
        <v>0.38</v>
      </c>
      <c r="P23" s="147"/>
      <c r="Q23" s="147"/>
      <c r="R23" s="147"/>
      <c r="S23" s="147"/>
      <c r="T23" s="147">
        <v>0.38500000000000001</v>
      </c>
    </row>
    <row r="24" spans="1:20" x14ac:dyDescent="0.25">
      <c r="D24" s="296"/>
      <c r="E24" s="296"/>
      <c r="F24" s="296"/>
      <c r="G24" s="296"/>
      <c r="H24" s="296"/>
      <c r="I24" s="296"/>
    </row>
    <row r="25" spans="1:20" x14ac:dyDescent="0.25">
      <c r="B25" t="s">
        <v>284</v>
      </c>
      <c r="D25" s="296">
        <v>0.19467213114754098</v>
      </c>
      <c r="E25" s="296">
        <v>0.21224086870681144</v>
      </c>
      <c r="F25" s="296">
        <v>0.15242990654205607</v>
      </c>
      <c r="G25" s="296">
        <v>0.14594594594594595</v>
      </c>
      <c r="H25" s="296">
        <v>0.1454337625755554</v>
      </c>
      <c r="I25" s="296">
        <v>0.14130439942465531</v>
      </c>
      <c r="J25" s="124">
        <f>CHOOSE(case,J26,J27,J28)</f>
        <v>0.14099999999999999</v>
      </c>
      <c r="O25" s="124">
        <f>CHOOSE(case,O26,O27,O28)</f>
        <v>0.14000000000000001</v>
      </c>
      <c r="T25" s="124">
        <f>CHOOSE(case,T26,T27,T28)</f>
        <v>0.14000000000000001</v>
      </c>
    </row>
    <row r="26" spans="1:20" x14ac:dyDescent="0.25">
      <c r="A26">
        <v>1</v>
      </c>
      <c r="B26" s="293" t="s">
        <v>87</v>
      </c>
      <c r="D26" s="296"/>
      <c r="E26" s="296"/>
      <c r="F26" s="296"/>
      <c r="G26" s="296"/>
      <c r="H26" s="296"/>
      <c r="I26" s="296"/>
      <c r="J26" s="147">
        <v>0.14099999999999999</v>
      </c>
      <c r="K26" s="147"/>
      <c r="L26" s="147"/>
      <c r="M26" s="147"/>
      <c r="N26" s="147"/>
      <c r="O26" s="147">
        <v>0.14000000000000001</v>
      </c>
      <c r="P26" s="147"/>
      <c r="Q26" s="147"/>
      <c r="R26" s="147"/>
      <c r="S26" s="147"/>
      <c r="T26" s="147">
        <v>0.14000000000000001</v>
      </c>
    </row>
    <row r="27" spans="1:20" x14ac:dyDescent="0.25">
      <c r="A27">
        <v>2</v>
      </c>
      <c r="B27" s="293" t="s">
        <v>277</v>
      </c>
      <c r="D27" s="296"/>
      <c r="E27" s="296"/>
      <c r="F27" s="296"/>
      <c r="G27" s="296"/>
      <c r="H27" s="296"/>
      <c r="I27" s="296"/>
      <c r="J27" s="147">
        <v>0.13900000000000001</v>
      </c>
      <c r="K27" s="147"/>
      <c r="L27" s="147"/>
      <c r="M27" s="147"/>
      <c r="N27" s="147"/>
      <c r="O27" s="147">
        <v>0.13700000000000001</v>
      </c>
      <c r="P27" s="147"/>
      <c r="Q27" s="147"/>
      <c r="R27" s="147"/>
      <c r="S27" s="147"/>
      <c r="T27" s="147">
        <v>0.13600000000000001</v>
      </c>
    </row>
    <row r="28" spans="1:20" x14ac:dyDescent="0.25">
      <c r="A28">
        <v>3</v>
      </c>
      <c r="B28" s="293" t="s">
        <v>278</v>
      </c>
      <c r="D28" s="296"/>
      <c r="E28" s="296"/>
      <c r="F28" s="296"/>
      <c r="G28" s="296"/>
      <c r="H28" s="296"/>
      <c r="I28" s="296"/>
      <c r="J28" s="147">
        <v>0.14499999999999999</v>
      </c>
      <c r="K28" s="147"/>
      <c r="L28" s="147"/>
      <c r="M28" s="147"/>
      <c r="N28" s="147"/>
      <c r="O28" s="147">
        <v>0.14799999999999999</v>
      </c>
      <c r="P28" s="147"/>
      <c r="Q28" s="147"/>
      <c r="R28" s="147"/>
      <c r="S28" s="147"/>
      <c r="T28" s="147">
        <v>0.15</v>
      </c>
    </row>
    <row r="29" spans="1:20" x14ac:dyDescent="0.25">
      <c r="D29" s="296"/>
      <c r="E29" s="296"/>
      <c r="F29" s="296"/>
      <c r="G29" s="296"/>
      <c r="H29" s="296"/>
      <c r="I29" s="296"/>
    </row>
    <row r="30" spans="1:20" x14ac:dyDescent="0.25">
      <c r="B30" t="s">
        <v>285</v>
      </c>
      <c r="D30" s="296">
        <v>0.80299251870324184</v>
      </c>
      <c r="E30" s="296">
        <v>0.81400966183574885</v>
      </c>
      <c r="F30" s="296">
        <v>0.81693363844393596</v>
      </c>
      <c r="G30" s="296">
        <v>0.80623608017817372</v>
      </c>
      <c r="H30" s="296">
        <v>0.80223023443323749</v>
      </c>
      <c r="I30" s="296">
        <v>0.79867650292888703</v>
      </c>
      <c r="J30" s="124">
        <f>CHOOSE(case,J31,J32,J33)</f>
        <v>0.79500000000000004</v>
      </c>
      <c r="O30" s="124">
        <f>CHOOSE(case,O31,O32,O33)</f>
        <v>0.79500000000000004</v>
      </c>
      <c r="T30" s="124">
        <f>CHOOSE(case,T31,T32,T33)</f>
        <v>0.79500000000000004</v>
      </c>
    </row>
    <row r="31" spans="1:20" x14ac:dyDescent="0.25">
      <c r="A31">
        <v>1</v>
      </c>
      <c r="B31" s="293" t="s">
        <v>87</v>
      </c>
      <c r="J31" s="147">
        <v>0.79500000000000004</v>
      </c>
      <c r="K31" s="147">
        <v>0.79500000000000004</v>
      </c>
      <c r="L31" s="147">
        <v>0.79500000000000004</v>
      </c>
      <c r="M31" s="147">
        <v>0.79500000000000004</v>
      </c>
      <c r="N31" s="147">
        <v>0.79500000000000004</v>
      </c>
      <c r="O31" s="147">
        <v>0.79500000000000004</v>
      </c>
      <c r="P31" s="147">
        <v>0.79500000000000004</v>
      </c>
      <c r="Q31" s="147">
        <v>0.79500000000000004</v>
      </c>
      <c r="R31" s="147">
        <v>0.79500000000000004</v>
      </c>
      <c r="S31" s="147">
        <v>0.79500000000000004</v>
      </c>
      <c r="T31" s="147">
        <v>0.79500000000000004</v>
      </c>
    </row>
    <row r="32" spans="1:20" x14ac:dyDescent="0.25">
      <c r="A32">
        <v>2</v>
      </c>
      <c r="B32" s="293" t="s">
        <v>277</v>
      </c>
      <c r="J32" s="147">
        <v>0.80500000000000005</v>
      </c>
      <c r="K32" s="147"/>
      <c r="L32" s="147"/>
      <c r="M32" s="147"/>
      <c r="N32" s="147"/>
      <c r="O32" s="147">
        <v>0.81</v>
      </c>
      <c r="P32" s="147"/>
      <c r="Q32" s="147"/>
      <c r="R32" s="147"/>
      <c r="S32" s="147"/>
      <c r="T32" s="147">
        <v>0.81</v>
      </c>
    </row>
    <row r="33" spans="1:20" x14ac:dyDescent="0.25">
      <c r="A33">
        <v>3</v>
      </c>
      <c r="B33" s="293" t="s">
        <v>278</v>
      </c>
      <c r="J33" s="147">
        <v>0.79</v>
      </c>
      <c r="K33" s="147"/>
      <c r="L33" s="147"/>
      <c r="M33" s="147"/>
      <c r="N33" s="147"/>
      <c r="O33" s="147">
        <v>0.78</v>
      </c>
      <c r="P33" s="147"/>
      <c r="Q33" s="147"/>
      <c r="R33" s="147"/>
      <c r="S33" s="147"/>
      <c r="T33" s="147">
        <v>0.78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20"/>
  <sheetViews>
    <sheetView showGridLines="0" zoomScale="115" zoomScaleNormal="115" workbookViewId="0"/>
  </sheetViews>
  <sheetFormatPr defaultColWidth="8.7109375" defaultRowHeight="12.75" x14ac:dyDescent="0.2"/>
  <cols>
    <col min="1" max="16384" width="8.7109375" style="311"/>
  </cols>
  <sheetData>
    <row r="2" spans="1:1" x14ac:dyDescent="0.2">
      <c r="A2" s="312" t="s">
        <v>30</v>
      </c>
    </row>
    <row r="3" spans="1:1" x14ac:dyDescent="0.2">
      <c r="A3" s="313" t="s">
        <v>292</v>
      </c>
    </row>
    <row r="4" spans="1:1" x14ac:dyDescent="0.2">
      <c r="A4" s="313" t="s">
        <v>295</v>
      </c>
    </row>
    <row r="5" spans="1:1" x14ac:dyDescent="0.2">
      <c r="A5" s="311" t="s">
        <v>315</v>
      </c>
    </row>
    <row r="7" spans="1:1" x14ac:dyDescent="0.2">
      <c r="A7" s="311" t="s">
        <v>274</v>
      </c>
    </row>
    <row r="8" spans="1:1" x14ac:dyDescent="0.2">
      <c r="A8" s="311" t="s">
        <v>296</v>
      </c>
    </row>
    <row r="9" spans="1:1" x14ac:dyDescent="0.2">
      <c r="A9" s="311" t="s">
        <v>199</v>
      </c>
    </row>
    <row r="10" spans="1:1" x14ac:dyDescent="0.2">
      <c r="A10" s="311" t="s">
        <v>297</v>
      </c>
    </row>
    <row r="12" spans="1:1" x14ac:dyDescent="0.2">
      <c r="A12" s="311" t="s">
        <v>138</v>
      </c>
    </row>
    <row r="13" spans="1:1" x14ac:dyDescent="0.2">
      <c r="A13" s="311" t="s">
        <v>150</v>
      </c>
    </row>
    <row r="14" spans="1:1" x14ac:dyDescent="0.2">
      <c r="A14" s="311" t="s">
        <v>151</v>
      </c>
    </row>
    <row r="15" spans="1:1" x14ac:dyDescent="0.2">
      <c r="A15" s="311" t="s">
        <v>153</v>
      </c>
    </row>
    <row r="16" spans="1:1" x14ac:dyDescent="0.2">
      <c r="A16" s="311" t="s">
        <v>154</v>
      </c>
    </row>
    <row r="17" spans="1:1" x14ac:dyDescent="0.2">
      <c r="A17" s="311" t="s">
        <v>155</v>
      </c>
    </row>
    <row r="19" spans="1:1" x14ac:dyDescent="0.2">
      <c r="A19" s="311" t="s">
        <v>272</v>
      </c>
    </row>
    <row r="20" spans="1:1" x14ac:dyDescent="0.2">
      <c r="A20" s="311" t="s">
        <v>273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G43"/>
  <sheetViews>
    <sheetView showGridLines="0" workbookViewId="0"/>
  </sheetViews>
  <sheetFormatPr defaultRowHeight="15" x14ac:dyDescent="0.25"/>
  <cols>
    <col min="1" max="1" width="4.5703125" customWidth="1"/>
    <col min="2" max="2" width="23.28515625" style="274" customWidth="1"/>
    <col min="3" max="3" width="11.85546875" style="274" customWidth="1"/>
    <col min="4" max="4" width="34.7109375" style="274" bestFit="1" customWidth="1"/>
    <col min="5" max="5" width="13.5703125" customWidth="1"/>
    <col min="6" max="6" width="15.28515625" bestFit="1" customWidth="1"/>
  </cols>
  <sheetData>
    <row r="2" spans="2:4" x14ac:dyDescent="0.25">
      <c r="B2" s="274" t="s">
        <v>229</v>
      </c>
      <c r="C2" s="274" t="s">
        <v>224</v>
      </c>
      <c r="D2" s="274" t="s">
        <v>225</v>
      </c>
    </row>
    <row r="3" spans="2:4" x14ac:dyDescent="0.25">
      <c r="B3" s="274" t="s">
        <v>228</v>
      </c>
      <c r="C3" s="276">
        <v>515</v>
      </c>
      <c r="D3" s="274" t="s">
        <v>226</v>
      </c>
    </row>
    <row r="4" spans="2:4" x14ac:dyDescent="0.25">
      <c r="B4" s="274" t="s">
        <v>227</v>
      </c>
      <c r="C4" s="276">
        <v>135</v>
      </c>
      <c r="D4" s="274" t="s">
        <v>226</v>
      </c>
    </row>
    <row r="5" spans="2:4" x14ac:dyDescent="0.25">
      <c r="B5" s="274" t="s">
        <v>230</v>
      </c>
      <c r="C5" s="276">
        <v>220</v>
      </c>
      <c r="D5" s="274" t="s">
        <v>226</v>
      </c>
    </row>
    <row r="6" spans="2:4" x14ac:dyDescent="0.25">
      <c r="B6" s="274" t="s">
        <v>231</v>
      </c>
      <c r="C6" s="276">
        <v>2200</v>
      </c>
      <c r="D6" s="274" t="s">
        <v>226</v>
      </c>
    </row>
    <row r="7" spans="2:4" x14ac:dyDescent="0.25">
      <c r="B7" s="274" t="s">
        <v>232</v>
      </c>
      <c r="C7" s="276">
        <v>304</v>
      </c>
      <c r="D7" s="274" t="s">
        <v>226</v>
      </c>
    </row>
    <row r="8" spans="2:4" x14ac:dyDescent="0.25">
      <c r="B8" s="274" t="s">
        <v>233</v>
      </c>
      <c r="C8" s="276">
        <v>47</v>
      </c>
      <c r="D8" s="274" t="s">
        <v>226</v>
      </c>
    </row>
    <row r="9" spans="2:4" x14ac:dyDescent="0.25">
      <c r="B9" s="274" t="s">
        <v>234</v>
      </c>
      <c r="C9" s="276">
        <v>12</v>
      </c>
      <c r="D9" s="274" t="s">
        <v>226</v>
      </c>
    </row>
    <row r="10" spans="2:4" x14ac:dyDescent="0.25">
      <c r="B10" s="274" t="s">
        <v>234</v>
      </c>
      <c r="C10" s="276">
        <v>250</v>
      </c>
      <c r="D10" s="274" t="s">
        <v>226</v>
      </c>
    </row>
    <row r="11" spans="2:4" x14ac:dyDescent="0.25">
      <c r="B11" s="274" t="s">
        <v>236</v>
      </c>
      <c r="C11" s="276">
        <v>110</v>
      </c>
      <c r="D11" s="274" t="s">
        <v>235</v>
      </c>
    </row>
    <row r="12" spans="2:4" x14ac:dyDescent="0.25">
      <c r="B12" s="274" t="s">
        <v>237</v>
      </c>
      <c r="C12" s="276">
        <v>262</v>
      </c>
      <c r="D12" s="274" t="s">
        <v>226</v>
      </c>
    </row>
    <row r="13" spans="2:4" x14ac:dyDescent="0.25">
      <c r="B13" s="274" t="s">
        <v>240</v>
      </c>
      <c r="C13" s="276">
        <v>283</v>
      </c>
      <c r="D13" s="274" t="s">
        <v>238</v>
      </c>
    </row>
    <row r="14" spans="2:4" x14ac:dyDescent="0.25">
      <c r="B14" s="274" t="s">
        <v>233</v>
      </c>
      <c r="C14" s="276">
        <v>217</v>
      </c>
      <c r="D14" s="274" t="s">
        <v>238</v>
      </c>
    </row>
    <row r="15" spans="2:4" x14ac:dyDescent="0.25">
      <c r="B15" s="274" t="s">
        <v>241</v>
      </c>
      <c r="C15" s="276">
        <v>323</v>
      </c>
      <c r="D15" s="274" t="s">
        <v>226</v>
      </c>
    </row>
    <row r="16" spans="2:4" x14ac:dyDescent="0.25">
      <c r="B16" s="274" t="s">
        <v>242</v>
      </c>
      <c r="C16" s="276">
        <v>69</v>
      </c>
      <c r="D16" s="274" t="s">
        <v>226</v>
      </c>
    </row>
    <row r="17" spans="2:7" x14ac:dyDescent="0.25">
      <c r="B17" s="274" t="s">
        <v>243</v>
      </c>
      <c r="C17" s="276">
        <v>146</v>
      </c>
      <c r="D17" s="274" t="s">
        <v>238</v>
      </c>
    </row>
    <row r="18" spans="2:7" x14ac:dyDescent="0.25">
      <c r="B18" s="274" t="s">
        <v>239</v>
      </c>
      <c r="C18" s="276">
        <v>345</v>
      </c>
      <c r="D18" s="274" t="s">
        <v>226</v>
      </c>
    </row>
    <row r="19" spans="2:7" x14ac:dyDescent="0.25">
      <c r="C19" s="276">
        <f>SUM(C3:C18)</f>
        <v>5438</v>
      </c>
    </row>
    <row r="20" spans="2:7" x14ac:dyDescent="0.25">
      <c r="C20" s="276"/>
    </row>
    <row r="21" spans="2:7" x14ac:dyDescent="0.25">
      <c r="C21" s="276"/>
    </row>
    <row r="22" spans="2:7" x14ac:dyDescent="0.25">
      <c r="C22" s="276"/>
    </row>
    <row r="23" spans="2:7" x14ac:dyDescent="0.25">
      <c r="B23" s="274" t="s">
        <v>246</v>
      </c>
      <c r="C23" s="277">
        <v>2016</v>
      </c>
      <c r="D23" s="277" t="s">
        <v>247</v>
      </c>
      <c r="E23" s="277" t="s">
        <v>248</v>
      </c>
      <c r="F23" s="277" t="s">
        <v>249</v>
      </c>
      <c r="G23" s="277" t="s">
        <v>250</v>
      </c>
    </row>
    <row r="24" spans="2:7" x14ac:dyDescent="0.25">
      <c r="B24" s="274" t="s">
        <v>251</v>
      </c>
      <c r="C24" s="275">
        <v>6.8330000000000002</v>
      </c>
      <c r="D24" s="275">
        <v>13.808</v>
      </c>
      <c r="E24" s="275">
        <v>11.77</v>
      </c>
      <c r="F24" s="275">
        <v>117.069</v>
      </c>
      <c r="G24" s="275">
        <f>SUM(C24:F24)</f>
        <v>149.48000000000002</v>
      </c>
    </row>
    <row r="25" spans="2:7" x14ac:dyDescent="0.25">
      <c r="C25" s="276"/>
    </row>
    <row r="26" spans="2:7" x14ac:dyDescent="0.25">
      <c r="C26" s="276"/>
    </row>
    <row r="27" spans="2:7" x14ac:dyDescent="0.25">
      <c r="C27" s="276"/>
    </row>
    <row r="28" spans="2:7" x14ac:dyDescent="0.25">
      <c r="C28" s="276"/>
    </row>
    <row r="29" spans="2:7" x14ac:dyDescent="0.25">
      <c r="C29" s="276"/>
    </row>
    <row r="30" spans="2:7" x14ac:dyDescent="0.25">
      <c r="C30" s="276"/>
    </row>
    <row r="31" spans="2:7" x14ac:dyDescent="0.25">
      <c r="C31" s="276"/>
    </row>
    <row r="32" spans="2:7" x14ac:dyDescent="0.25">
      <c r="C32" s="276"/>
    </row>
    <row r="33" spans="3:3" x14ac:dyDescent="0.25">
      <c r="C33" s="276"/>
    </row>
    <row r="34" spans="3:3" x14ac:dyDescent="0.25">
      <c r="C34" s="276"/>
    </row>
    <row r="35" spans="3:3" x14ac:dyDescent="0.25">
      <c r="C35" s="276"/>
    </row>
    <row r="36" spans="3:3" x14ac:dyDescent="0.25">
      <c r="C36" s="276"/>
    </row>
    <row r="37" spans="3:3" x14ac:dyDescent="0.25">
      <c r="C37" s="276"/>
    </row>
    <row r="38" spans="3:3" x14ac:dyDescent="0.25">
      <c r="C38" s="276"/>
    </row>
    <row r="39" spans="3:3" x14ac:dyDescent="0.25">
      <c r="C39" s="276"/>
    </row>
    <row r="40" spans="3:3" x14ac:dyDescent="0.25">
      <c r="C40" s="276"/>
    </row>
    <row r="41" spans="3:3" x14ac:dyDescent="0.25">
      <c r="C41" s="276"/>
    </row>
    <row r="42" spans="3:3" x14ac:dyDescent="0.25">
      <c r="C42" s="276"/>
    </row>
    <row r="43" spans="3:3" x14ac:dyDescent="0.25">
      <c r="C43" s="276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Summary</vt:lpstr>
      <vt:lpstr>Model</vt:lpstr>
      <vt:lpstr>Drivers</vt:lpstr>
      <vt:lpstr>Notes</vt:lpstr>
      <vt:lpstr>Properties</vt:lpstr>
      <vt:lpstr>case</vt:lpstr>
      <vt:lpstr>Drivers!Print_Area</vt:lpstr>
      <vt:lpstr>Model!Print_Area</vt:lpstr>
      <vt:lpstr>Summary!Print_Area</vt:lpstr>
      <vt:lpstr>Model!Print_Titles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2026-03-03T11:44:58Z</dcterms:created>
  <dcterms:modified xsi:type="dcterms:W3CDTF">2026-03-03T11:45:18Z</dcterms:modified>
</cp:coreProperties>
</file>