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 codeName="ThisWorkbook" hidePivotFieldList="1"/>
  <xr:revisionPtr revIDLastSave="0" documentId="13_ncr:1_{C00B550A-7680-4A84-8B10-32FC7540A85C}" xr6:coauthVersionLast="47" xr6:coauthVersionMax="47" xr10:uidLastSave="{00000000-0000-0000-0000-000000000000}"/>
  <bookViews>
    <workbookView xWindow="-120" yWindow="-120" windowWidth="29040" windowHeight="15720" tabRatio="756" xr2:uid="{00000000-000D-0000-FFFF-FFFF00000000}"/>
  </bookViews>
  <sheets>
    <sheet name="Summary" sheetId="375" r:id="rId1"/>
    <sheet name="Model" sheetId="380" r:id="rId2"/>
    <sheet name="SOTP" sheetId="381" r:id="rId3"/>
    <sheet name="LTV" sheetId="383" r:id="rId4"/>
    <sheet name="Drivers" sheetId="382" r:id="rId5"/>
  </sheets>
  <definedNames>
    <definedName name="__FDS_HYPERLINK_TOGGLE_STATE__" hidden="1">"ON"</definedName>
    <definedName name="_bdm.049F299FAB1140959245F9BCA9F4A62F.edm" hidden="1">#REF!</definedName>
    <definedName name="_bdm.063528EDB9114906B1BDF72DCC1FE485.edm" hidden="1">#REF!</definedName>
    <definedName name="_bdm.1985360F1ACC4D129AB53C39A47C85C8.edm" hidden="1">#REF!</definedName>
    <definedName name="_bdm.7064E6DC28AD479BB6A0BE715A97BE72.edm" hidden="1">#REF!</definedName>
    <definedName name="_bdm.B5FA8DB5B5EF4F8D91F05824769608D0.edm" hidden="1">#REF!</definedName>
    <definedName name="_bdm.C3399BA6C9CD465882D4DCBC3FFFC4B7.edm" hidden="1">#REF!</definedName>
    <definedName name="_bdm.CADFF0C56852451B85BC82BDEADD02E8.edm" hidden="1">#REF!</definedName>
    <definedName name="_bdm.DF3412D07C1A4ABF842E1FDD073D96F6.edm" hidden="1">#REF!</definedName>
    <definedName name="_bdm.FB458C8157734DB9B4C063FDBB56B24C.edm" hidden="1">#REF!</definedName>
    <definedName name="_Order1" hidden="1">0</definedName>
    <definedName name="AAA_DOCTOPS" hidden="1">"AAA_SET"</definedName>
    <definedName name="AAA_duser" hidden="1">"OFF"</definedName>
    <definedName name="AAB_Addin5" hidden="1">"AAB_Description for addin 5,Description for addin 5,Description for addin 5,Description for addin 5,Description for addin 5,Description for addin 5"</definedName>
    <definedName name="IQ_ACCOUNT_CHANGE" hidden="1">"c36"</definedName>
    <definedName name="IQ_ACCOUNTS_PAY" hidden="1">"c91"</definedName>
    <definedName name="IQ_ACCRUED_EXP" hidden="1">"c93"</definedName>
    <definedName name="IQ_ACCUM_DEP" hidden="1">"c282"</definedName>
    <definedName name="IQ_ADD_PAID_IN" hidden="1">"c109"</definedName>
    <definedName name="IQ_ALLOW_CONST" hidden="1">"c292"</definedName>
    <definedName name="IQ_AMORTIZATION" hidden="1">"c121"</definedName>
    <definedName name="IQ_ASSET_TURNS" hidden="1">"c148"</definedName>
    <definedName name="IQ_AVG_BROKER_REC" hidden="1">"c278"</definedName>
    <definedName name="IQ_AVG_BROKER_REC_NO" hidden="1">"c279"</definedName>
    <definedName name="IQ_AVG_PRICE" hidden="1">"c253"</definedName>
    <definedName name="IQ_AVG_PRICE_TARGET" hidden="1">"c280"</definedName>
    <definedName name="IQ_AVG_VOLUME" hidden="1">"c254"</definedName>
    <definedName name="IQ_BASIC_EPS_EXCL" hidden="1">"c45"</definedName>
    <definedName name="IQ_BASIC_EPS_INCL" hidden="1">"c46"</definedName>
    <definedName name="IQ_BASIC_NORMAL_EPS" hidden="1">"c65"</definedName>
    <definedName name="IQ_BASIC_WEIGHT" hidden="1">"c44"</definedName>
    <definedName name="IQ_BETA" hidden="1">"c226"</definedName>
    <definedName name="IQ_BOARD_MEMBER" hidden="1">"c233"</definedName>
    <definedName name="IQ_BOARD_MEMBER_TITLE" hidden="1">"c234"</definedName>
    <definedName name="IQ_BV_OVER_SHARES" hidden="1">"c177"</definedName>
    <definedName name="IQ_CAL_Q" hidden="1">"c246"</definedName>
    <definedName name="IQ_CAL_Y" hidden="1">"c248"</definedName>
    <definedName name="IQ_CAPEX" hidden="1">"c126"</definedName>
    <definedName name="IQ_CAPITAL_LEASE" hidden="1">"c99"</definedName>
    <definedName name="IQ_CASH" hidden="1">"c69"</definedName>
    <definedName name="IQ_CASH_DUE_BANKS" hidden="1">"c71"</definedName>
    <definedName name="IQ_CASH_EQUIV" hidden="1">"c70"</definedName>
    <definedName name="IQ_CASH_INTEREST" hidden="1">"c137"</definedName>
    <definedName name="IQ_CASH_ST" hidden="1">"c73"</definedName>
    <definedName name="IQ_CASH_TAXES" hidden="1">"c138"</definedName>
    <definedName name="IQ_CHANGES_WORK_CAP" hidden="1">"c124"</definedName>
    <definedName name="IQ_CITY" hidden="1">"c216"</definedName>
    <definedName name="IQ_CLOSEPRICE" hidden="1">"c206"</definedName>
    <definedName name="IQ_COMMON_STOCK" hidden="1">"c108"</definedName>
    <definedName name="IQ_COMPANY_ADDRESS" hidden="1">"c213"</definedName>
    <definedName name="IQ_COMPANY_NAME" hidden="1">"c208"</definedName>
    <definedName name="IQ_COMPANY_PHONE" hidden="1">"c219"</definedName>
    <definedName name="IQ_COMPANY_STREET1" hidden="1">"c214"</definedName>
    <definedName name="IQ_COMPANY_STREET2" hidden="1">"c215"</definedName>
    <definedName name="IQ_COMPANY_TICKER" hidden="1">"c209"</definedName>
    <definedName name="IQ_COMPANY_WEBSITE" hidden="1">"c212"</definedName>
    <definedName name="IQ_COMPANY_ZIP" hidden="1">"c218"</definedName>
    <definedName name="IQ_COST_REVENUE" hidden="1">"c6"</definedName>
    <definedName name="IQ_COUNTRY_NAME" hidden="1">"c220"</definedName>
    <definedName name="IQ_CURRENT_PORT" hidden="1">"c95"</definedName>
    <definedName name="IQ_CURRENT_RATIO" hidden="1">"c164"</definedName>
    <definedName name="IQ_DAYS_PAY_OUTST" hidden="1">"c154"</definedName>
    <definedName name="IQ_DAYS_SALES_OUTST" hidden="1">"c153"</definedName>
    <definedName name="IQ_DEF_ACQ_CST" hidden="1">"c290"</definedName>
    <definedName name="IQ_DEFERRED_INC_TAX" hidden="1">"c102"</definedName>
    <definedName name="IQ_DEFERRED_TAXES" hidden="1">"c122"</definedName>
    <definedName name="IQ_DEPRE_AMORT" hidden="1">"c10"</definedName>
    <definedName name="IQ_DEPRE_AMORT_SUPPL" hidden="1">"c54"</definedName>
    <definedName name="IQ_DEPRE_DEPLE" hidden="1">"c120"</definedName>
    <definedName name="IQ_DEPRE_SUPP" hidden="1">"c136"</definedName>
    <definedName name="IQ_DESCRIPTION_LONG" hidden="1">"c211"</definedName>
    <definedName name="IQ_DILUT_ADJUST" hidden="1">"c47"</definedName>
    <definedName name="IQ_DILUT_EPS_EXCL" hidden="1">"c49"</definedName>
    <definedName name="IQ_DILUT_EPS_INCL" hidden="1">"c50"</definedName>
    <definedName name="IQ_DILUT_NORMAL_EPS" hidden="1">"c66"</definedName>
    <definedName name="IQ_DILUT_WEIGHT" hidden="1">"c48"</definedName>
    <definedName name="IQ_DISCONT_OPER" hidden="1">"c37"</definedName>
    <definedName name="IQ_DIVID_SHARE" hidden="1">"c51"</definedName>
    <definedName name="IQ_DIVIDEND_YIELD" hidden="1">"c230"</definedName>
    <definedName name="IQ_EBIT" hidden="1">"c22"</definedName>
    <definedName name="IQ_EBIT_MARGIN" hidden="1">"c141"</definedName>
    <definedName name="IQ_EBIT_OVER_IE" hidden="1">"c184"</definedName>
    <definedName name="IQ_EBITDA" hidden="1">"c23"</definedName>
    <definedName name="IQ_EBITDA_CAPEX_OVER_TOTAL_IE" hidden="1">"c186"</definedName>
    <definedName name="IQ_EBITDA_EST" hidden="1">"c252"</definedName>
    <definedName name="IQ_EBITDA_HIGH_EST" hidden="1">"c265"</definedName>
    <definedName name="IQ_EBITDA_LOW_EST" hidden="1">"c266"</definedName>
    <definedName name="IQ_EBITDA_MARGIN" hidden="1">"c140"</definedName>
    <definedName name="IQ_EBITDA_NUM_EST" hidden="1">"c267"</definedName>
    <definedName name="IQ_EBITDA_OVER_TOTAL_IE" hidden="1">"c185"</definedName>
    <definedName name="IQ_EBITDA_STDDEV_EST" hidden="1">"c268"</definedName>
    <definedName name="IQ_EFFECT_SPECIAL_CHARGE" hidden="1">"c61"</definedName>
    <definedName name="IQ_EMPLOYEES" hidden="1">"c221"</definedName>
    <definedName name="IQ_ENTERPRISE_VALUE" hidden="1">"c2"</definedName>
    <definedName name="IQ_EPS" hidden="1">"IQ_EPS"</definedName>
    <definedName name="IQ_EPS_EST" hidden="1">"c187"</definedName>
    <definedName name="IQ_EPS_HIGH_EST" hidden="1">"c269"</definedName>
    <definedName name="IQ_EPS_LOW_EST" hidden="1">"c270"</definedName>
    <definedName name="IQ_EPS_NUM_EST" hidden="1">"c271"</definedName>
    <definedName name="IQ_EPS_STDDEV_EST" hidden="1">"c272"</definedName>
    <definedName name="IQ_EQUITY_AFFIL" hidden="1">"c33"</definedName>
    <definedName name="IQ_EQV_OVER_BV" hidden="1">"c173"</definedName>
    <definedName name="IQ_EQV_OVER_LTM_PRETAX_INC" hidden="1">"c178"</definedName>
    <definedName name="IQ_ESOP_DEBT" hidden="1">"c112"</definedName>
    <definedName name="IQ_EV_OVER_EMPLOYEE" hidden="1">"c172"</definedName>
    <definedName name="IQ_EV_OVER_LTM_EBIT" hidden="1">"c167"</definedName>
    <definedName name="IQ_EV_OVER_LTM_EBITDA" hidden="1">"c168"</definedName>
    <definedName name="IQ_EV_OVER_LTM_REVENUE" hidden="1">"c169"</definedName>
    <definedName name="IQ_EXCHANGE" hidden="1">"c210"</definedName>
    <definedName name="IQ_EXTRA_ITEMS" hidden="1">"c38"</definedName>
    <definedName name="IQ_FFO_EST" hidden="1">"c273"</definedName>
    <definedName name="IQ_FFO_HIGH_EST" hidden="1">"c274"</definedName>
    <definedName name="IQ_FFO_LOW_EST" hidden="1">"c275"</definedName>
    <definedName name="IQ_FFO_NUM_EST" hidden="1">"c276"</definedName>
    <definedName name="IQ_FFO_STDDEV_EST" hidden="1">"c277"</definedName>
    <definedName name="IQ_FINANCING_CASH" hidden="1">"c129"</definedName>
    <definedName name="IQ_FISCAL_Q" hidden="1">"c245"</definedName>
    <definedName name="IQ_FISCAL_Y" hidden="1">"c247"</definedName>
    <definedName name="IQ_FIVE_PERCENT_OWNER" hidden="1">"c239"</definedName>
    <definedName name="IQ_FIVEPERCENT_PERCENT" hidden="1">"c240"</definedName>
    <definedName name="IQ_FIVEPERCENT_SHARES" hidden="1">"c251"</definedName>
    <definedName name="IQ_FOREIGN_EXCHANGE" hidden="1">"c134"</definedName>
    <definedName name="IQ_FWD" hidden="1">"LTM"</definedName>
    <definedName name="IQ_FWD_CY" hidden="1">"10001"</definedName>
    <definedName name="IQ_FWD_CY1" hidden="1">"10002"</definedName>
    <definedName name="IQ_FWD_CY2" hidden="1">"10003"</definedName>
    <definedName name="IQ_FWD_FY" hidden="1">"1001"</definedName>
    <definedName name="IQ_FWD_FY1" hidden="1">"1002"</definedName>
    <definedName name="IQ_FWD_FY2" hidden="1">"1003"</definedName>
    <definedName name="IQ_FWD_Q" hidden="1">"501"</definedName>
    <definedName name="IQ_FWD_Q1" hidden="1">"502"</definedName>
    <definedName name="IQ_FWD_Q2" hidden="1">"503"</definedName>
    <definedName name="IQ_FWD_Q3" hidden="1">"504"</definedName>
    <definedName name="IQ_FWD_Q4" hidden="1">"505"</definedName>
    <definedName name="IQ_FWD_Q5" hidden="1">"506"</definedName>
    <definedName name="IQ_FWD_Q6" hidden="1">"507"</definedName>
    <definedName name="IQ_FWD_Q7" hidden="1">"508"</definedName>
    <definedName name="IQ_FWD1" hidden="1">"LTM"</definedName>
    <definedName name="IQ_FY_DATE" hidden="1">"IQ_FY_DATE"</definedName>
    <definedName name="IQ_GAIN_SALE_ASSETS" hidden="1">"c27"</definedName>
    <definedName name="IQ_GOODWILL_NET" hidden="1">"c85"</definedName>
    <definedName name="IQ_GROSS_DIVID" hidden="1">"c52"</definedName>
    <definedName name="IQ_GROSS_MARGIN" hidden="1">"c139"</definedName>
    <definedName name="IQ_GROSS_PROFIT" hidden="1">"c7"</definedName>
    <definedName name="IQ_HIGHPRICE" hidden="1">"c193"</definedName>
    <definedName name="IQ_INC_AFTER_TAX" hidden="1">"c31"</definedName>
    <definedName name="IQ_INC_AVAIL_EXCL" hidden="1">"c42"</definedName>
    <definedName name="IQ_INC_AVAIL_INCL" hidden="1">"c43"</definedName>
    <definedName name="IQ_INC_BEFORE_TAX" hidden="1">"c29"</definedName>
    <definedName name="IQ_INC_TAX" hidden="1">"c30"</definedName>
    <definedName name="IQ_INC_TAX_EXCL" hidden="1">"c62"</definedName>
    <definedName name="IQ_INSIDER_OWNER" hidden="1">"c237"</definedName>
    <definedName name="IQ_INSIDER_PERCENT" hidden="1">"c238"</definedName>
    <definedName name="IQ_INSIDER_SHARES" hidden="1">"c250"</definedName>
    <definedName name="IQ_INSTITUTIONAL_OWNER" hidden="1">"c235"</definedName>
    <definedName name="IQ_INSTITUTIONAL_PERCENT" hidden="1">"c236"</definedName>
    <definedName name="IQ_INSTITUTIONAL_SHARES" hidden="1">"c249"</definedName>
    <definedName name="IQ_INSUR_RECEIV" hidden="1">"c288"</definedName>
    <definedName name="IQ_INTANGIBLES_NET" hidden="1">"c86"</definedName>
    <definedName name="IQ_INTEREST_EXP_NET" hidden="1">"c17"</definedName>
    <definedName name="IQ_INTEREST_EXP_NON" hidden="1">"c24"</definedName>
    <definedName name="IQ_INTEREST_EXP_SUPPL" hidden="1">"c53"</definedName>
    <definedName name="IQ_INTEREST_INC" hidden="1">"c26"</definedName>
    <definedName name="IQ_INTEREST_INC_NON" hidden="1">"c25"</definedName>
    <definedName name="IQ_INVENTORY_TURNS" hidden="1">"c147"</definedName>
    <definedName name="IQ_ISS_DEBT_NET" hidden="1">"c132"</definedName>
    <definedName name="IQ_ISS_STOCK_NET" hidden="1">"c131"</definedName>
    <definedName name="IQ_LASTSALEPRICE" hidden="1">"c191"</definedName>
    <definedName name="IQ_LATEST" hidden="1">"1"</definedName>
    <definedName name="IQ_LATESTK" hidden="1">"1000"</definedName>
    <definedName name="IQ_LATESTKFR" hidden="1">"100"</definedName>
    <definedName name="IQ_LATESTQ" hidden="1">"500"</definedName>
    <definedName name="IQ_LATESTQFR" hidden="1">"50"</definedName>
    <definedName name="IQ_LOAN_LOSS" hidden="1">"c12"</definedName>
    <definedName name="IQ_LONG_TERM_DEBT" hidden="1">"c98"</definedName>
    <definedName name="IQ_LONG_TERM_DEBT_OVER_TOTAL_CAP" hidden="1">"c181"</definedName>
    <definedName name="IQ_LONG_TERM_GROWTH" hidden="1">"c143"</definedName>
    <definedName name="IQ_LONG_TERM_INV" hidden="1">"c87"</definedName>
    <definedName name="IQ_LOWPRICE" hidden="1">"c194"</definedName>
    <definedName name="IQ_LT_NOTE_RECEIV" hidden="1">"c289"</definedName>
    <definedName name="IQ_LTM_DATE" hidden="1">"IQ_LTM_DATE"</definedName>
    <definedName name="IQ_LTM_REVENUE_OVER_EMPLOYEES" hidden="1">"c179"</definedName>
    <definedName name="IQ_MARKETCAP" hidden="1">"c200"</definedName>
    <definedName name="IQ_MINORITY_INTEREST" hidden="1">"c103"</definedName>
    <definedName name="IQ_MINORITY_INTEREST_IS" hidden="1">"c32"</definedName>
    <definedName name="IQ_MISC_EARN_ADJ" hidden="1">"c41"</definedName>
    <definedName name="IQ_NET_CHANGE" hidden="1">"c135"</definedName>
    <definedName name="IQ_NET_DEBT" hidden="1">"c118"</definedName>
    <definedName name="IQ_NET_INC" hidden="1">"c39"</definedName>
    <definedName name="IQ_NET_INC_BEFORE" hidden="1">"c35"</definedName>
    <definedName name="IQ_NET_INC_CF" hidden="1">"c119"</definedName>
    <definedName name="IQ_NET_INC_MARGIN" hidden="1">"c142"</definedName>
    <definedName name="IQ_NET_INTEREST_INC" hidden="1">"c11"</definedName>
    <definedName name="IQ_NET_INTEREST_INC_AFTER_LL" hidden="1">"c13"</definedName>
    <definedName name="IQ_NET_LOANS" hidden="1">"c75"</definedName>
    <definedName name="IQ_NON_CASH" hidden="1">"c123"</definedName>
    <definedName name="IQ_NON_INTEREST_EXP" hidden="1">"c15"</definedName>
    <definedName name="IQ_NON_INTEREST_INC" hidden="1">"c14"</definedName>
    <definedName name="IQ_NORMAL_INC_AFTER" hidden="1">"c63"</definedName>
    <definedName name="IQ_NORMAL_INC_AVAIL" hidden="1">"c64"</definedName>
    <definedName name="IQ_NORMAL_INC_BEFORE" hidden="1">"c60"</definedName>
    <definedName name="IQ_NOTES_PAY" hidden="1">"c94"</definedName>
    <definedName name="IQ_OPENPRICE" hidden="1">"c195"</definedName>
    <definedName name="IQ_OPER_INC" hidden="1">"c21"</definedName>
    <definedName name="IQ_OTHER_ASSETS" hidden="1">"c89"</definedName>
    <definedName name="IQ_OTHER_BEARING_LIAB" hidden="1">"c285"</definedName>
    <definedName name="IQ_OTHER_CURRENT_ASSETS" hidden="1">"c80"</definedName>
    <definedName name="IQ_OTHER_CURRENT_LIAB" hidden="1">"c96"</definedName>
    <definedName name="IQ_OTHER_EARNING" hidden="1">"c74"</definedName>
    <definedName name="IQ_OTHER_EQUITY" hidden="1">"c113"</definedName>
    <definedName name="IQ_OTHER_INVESTING" hidden="1">"c127"</definedName>
    <definedName name="IQ_OTHER_LIAB" hidden="1">"c104"</definedName>
    <definedName name="IQ_OTHER_LONG_TERM" hidden="1">"c88"</definedName>
    <definedName name="IQ_OTHER_NET" hidden="1">"c28"</definedName>
    <definedName name="IQ_OTHER_OPER" hidden="1">"c19"</definedName>
    <definedName name="IQ_OTHER_RECEIV" hidden="1">"c77"</definedName>
    <definedName name="IQ_OTHER_REVENUE" hidden="1">"c4"</definedName>
    <definedName name="IQ_PAY_ACCRUED" hidden="1">"c92"</definedName>
    <definedName name="IQ_PERIODDATE" hidden="1">"c1"</definedName>
    <definedName name="IQ_PERTYPE" hidden="1">"c244"</definedName>
    <definedName name="IQ_POLICY_LIAB" hidden="1">"c291"</definedName>
    <definedName name="IQ_PREF_DIVID" hidden="1">"c40"</definedName>
    <definedName name="IQ_PREF_STOCK" hidden="1">"c107"</definedName>
    <definedName name="IQ_PREF_TOT" hidden="1">"c294"</definedName>
    <definedName name="IQ_PREPAID_EXPEN" hidden="1">"c81"</definedName>
    <definedName name="IQ_PRICE_OVER_BVPS" hidden="1">"c171"</definedName>
    <definedName name="IQ_PRICE_OVER_LTM_EPS" hidden="1">"c176"</definedName>
    <definedName name="IQ_PRICEDATE" hidden="1">"c207"</definedName>
    <definedName name="IQ_PRICEDATETIME" hidden="1">"IQ_PRICEDATETIME"</definedName>
    <definedName name="IQ_PRICING_DATE" hidden="1">"c260"</definedName>
    <definedName name="IQ_PRIMARY_INDUSTRY" hidden="1">"c222"</definedName>
    <definedName name="IQ_PRO_FORMA_BASIC_EPS" hidden="1">"c57"</definedName>
    <definedName name="IQ_PRO_FORMA_DILUT_EPS" hidden="1">"c58"</definedName>
    <definedName name="IQ_PRO_FORMA_NET_INC" hidden="1">"c56"</definedName>
    <definedName name="IQ_PROFESSIONAL" hidden="1">"c231"</definedName>
    <definedName name="IQ_PROFESSIONAL_TITLE" hidden="1">"c232"</definedName>
    <definedName name="IQ_PROPERTY_GROSS" hidden="1">"c84"</definedName>
    <definedName name="IQ_PROPERTY_NET" hidden="1">"c83"</definedName>
    <definedName name="IQ_QUICK_RATIO" hidden="1">"c163"</definedName>
    <definedName name="IQ_REDEEM_PREF_STOCK" hidden="1">"c106"</definedName>
    <definedName name="IQ_RESEARCH_DEV" hidden="1">"c9"</definedName>
    <definedName name="IQ_RETAINED_EARN" hidden="1">"c110"</definedName>
    <definedName name="IQ_RETURN_ASSETS" hidden="1">"c145"</definedName>
    <definedName name="IQ_RETURN_EQUITY" hidden="1">"c146"</definedName>
    <definedName name="IQ_RETURN_INVESTMENT" hidden="1">"c144"</definedName>
    <definedName name="IQ_REV_STDDEV_EST" hidden="1">"c264"</definedName>
    <definedName name="IQ_REVENUE" hidden="1">"c3"</definedName>
    <definedName name="IQ_REVENUE_EST" hidden="1">"c188"</definedName>
    <definedName name="IQ_REVENUE_HIGH_EST" hidden="1">"c261"</definedName>
    <definedName name="IQ_REVENUE_LOW_EST" hidden="1">"c262"</definedName>
    <definedName name="IQ_REVENUE_NUM_EST" hidden="1">"c263"</definedName>
    <definedName name="IQ_SGA" hidden="1">"c8"</definedName>
    <definedName name="IQ_SHARESOUTSTANDING" hidden="1">"c201"</definedName>
    <definedName name="IQ_SHORT_TERM_INVEST" hidden="1">"c72"</definedName>
    <definedName name="IQ_SOURCE" hidden="1">"c281"</definedName>
    <definedName name="IQ_STATE" hidden="1">"c217"</definedName>
    <definedName name="IQ_STOCK_BASED" hidden="1">"c55"</definedName>
    <definedName name="IQ_TODAY" hidden="1">"0"</definedName>
    <definedName name="IQ_TOT_ADJ_INC" hidden="1">"c287"</definedName>
    <definedName name="IQ_TOTAL_ASSETS" hidden="1">"c90"</definedName>
    <definedName name="IQ_TOTAL_CASH_DIVID" hidden="1">"c130"</definedName>
    <definedName name="IQ_TOTAL_CASH_FINAN" hidden="1">"c133"</definedName>
    <definedName name="IQ_TOTAL_CASH_INVEST" hidden="1">"c128"</definedName>
    <definedName name="IQ_TOTAL_CASH_OPER" hidden="1">"c125"</definedName>
    <definedName name="IQ_TOTAL_COMMON" hidden="1">"c116"</definedName>
    <definedName name="IQ_TOTAL_CURRENT_ASSETS" hidden="1">"c82"</definedName>
    <definedName name="IQ_TOTAL_CURRENT_LIAB" hidden="1">"c97"</definedName>
    <definedName name="IQ_TOTAL_DEBT" hidden="1">"c101"</definedName>
    <definedName name="IQ_TOTAL_DEBT_OVER_EBITDA" hidden="1">"c183"</definedName>
    <definedName name="IQ_TOTAL_DEBT_OVER_TOTAL_BV" hidden="1">"c180"</definedName>
    <definedName name="IQ_TOTAL_DEBT_OVER_TOTAL_CAP" hidden="1">"c182"</definedName>
    <definedName name="IQ_TOTAL_DEPOSITS" hidden="1">"c284"</definedName>
    <definedName name="IQ_TOTAL_EQUITY" hidden="1">"c114"</definedName>
    <definedName name="IQ_TOTAL_INTEREST_EXP" hidden="1">"c67"</definedName>
    <definedName name="IQ_TOTAL_INVENTORY" hidden="1">"c79"</definedName>
    <definedName name="IQ_TOTAL_LIAB" hidden="1">"c105"</definedName>
    <definedName name="IQ_TOTAL_LIAB_SHAREHOLD" hidden="1">"c115"</definedName>
    <definedName name="IQ_TOTAL_LONG_DEBT" hidden="1">"c100"</definedName>
    <definedName name="IQ_TOTAL_OPER_EXPEN" hidden="1">"c20"</definedName>
    <definedName name="IQ_TOTAL_RECEIV" hidden="1">"c78"</definedName>
    <definedName name="IQ_TOTAL_REVENUE" hidden="1">"c5"</definedName>
    <definedName name="IQ_TOTAL_SPECIAL" hidden="1">"c59"</definedName>
    <definedName name="IQ_TOTAL_ST_BORROW" hidden="1">"c286"</definedName>
    <definedName name="IQ_TRADE_AR" hidden="1">"c76"</definedName>
    <definedName name="IQ_TREASURY_STOCK" hidden="1">"c111"</definedName>
    <definedName name="IQ_UNREALIZED_GAIN" hidden="1">"c117"</definedName>
    <definedName name="IQ_UNUSUAL_EXP" hidden="1">"c18"</definedName>
    <definedName name="IQ_US_GAAP" hidden="1">"c34"</definedName>
    <definedName name="IQ_UTIL_PPE_NET" hidden="1">"c293"</definedName>
    <definedName name="IQ_VOLUME" hidden="1">"c199"</definedName>
    <definedName name="IQ_WEIGHTED_AVG_PRICE" hidden="1">"c255"</definedName>
    <definedName name="IQ_YEARHIGH" hidden="1">"c197"</definedName>
    <definedName name="IQ_YEARLOW" hidden="1">"c198"</definedName>
    <definedName name="IQ_Z_SCORE" hidden="1">"c243"</definedName>
    <definedName name="_xlnm.Print_Area" localSheetId="4">Drivers!$B$2:$I$60</definedName>
    <definedName name="_xlnm.Print_Area" localSheetId="3">LTV!$N$1:$X$68</definedName>
    <definedName name="_xlnm.Print_Area" localSheetId="2">SOTP!$B$2:$F$27</definedName>
    <definedName name="_xlnm.Print_Area" localSheetId="0">Summary!$B$2:$V$77</definedName>
    <definedName name="_xlnm.Print_Titles" localSheetId="1">Model!$2:$4</definedName>
  </definedNames>
  <calcPr calcId="191029" iterate="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9" i="381" l="1"/>
  <c r="P170" i="380"/>
  <c r="Q170" i="380"/>
  <c r="R170" i="380"/>
  <c r="Q167" i="380"/>
  <c r="R167" i="380"/>
  <c r="P165" i="380"/>
  <c r="Q165" i="380"/>
  <c r="R165" i="380"/>
  <c r="P178" i="380"/>
  <c r="P187" i="380"/>
  <c r="Q187" i="380"/>
  <c r="R187" i="380"/>
  <c r="Q185" i="380"/>
  <c r="R185" i="380"/>
  <c r="Q178" i="380"/>
  <c r="R178" i="380"/>
  <c r="P176" i="380"/>
  <c r="Q176" i="380"/>
  <c r="R176" i="380"/>
  <c r="Q174" i="380"/>
  <c r="R174" i="380"/>
  <c r="R175" i="380"/>
  <c r="Q171" i="380"/>
  <c r="R171" i="380"/>
  <c r="Q169" i="380"/>
  <c r="R169" i="380"/>
  <c r="P162" i="380"/>
  <c r="Q162" i="380"/>
  <c r="R162" i="380"/>
  <c r="P115" i="380"/>
  <c r="P130" i="380"/>
  <c r="P124" i="380"/>
  <c r="P138" i="380"/>
  <c r="P140" i="380"/>
  <c r="P147" i="380"/>
  <c r="P151" i="380"/>
  <c r="P161" i="380"/>
  <c r="Q161" i="380"/>
  <c r="R161" i="380"/>
  <c r="R168" i="380"/>
  <c r="R254" i="380"/>
  <c r="R238" i="380"/>
  <c r="R243" i="380"/>
  <c r="R244" i="380"/>
  <c r="S241" i="380"/>
  <c r="S235" i="380"/>
  <c r="R232" i="380"/>
  <c r="R222" i="380"/>
  <c r="R149" i="380"/>
  <c r="R146" i="380"/>
  <c r="R115" i="380"/>
  <c r="R128" i="380"/>
  <c r="G11" i="375"/>
  <c r="G9" i="375"/>
  <c r="Q182" i="380"/>
  <c r="P166" i="380"/>
  <c r="Q166" i="380"/>
  <c r="Q164" i="380"/>
  <c r="Q168" i="380"/>
  <c r="Q244" i="380"/>
  <c r="Q238" i="380"/>
  <c r="Q232" i="380"/>
  <c r="Q222" i="380"/>
  <c r="Q146" i="380"/>
  <c r="Q115" i="380"/>
  <c r="Q128" i="380"/>
  <c r="T186" i="380"/>
  <c r="T185" i="380"/>
  <c r="T184" i="380"/>
  <c r="T183" i="380"/>
  <c r="T182" i="380"/>
  <c r="T181" i="380"/>
  <c r="T180" i="380"/>
  <c r="T179" i="380"/>
  <c r="T173" i="380"/>
  <c r="T174" i="380"/>
  <c r="T175" i="380"/>
  <c r="F50" i="381"/>
  <c r="P194" i="380"/>
  <c r="P244" i="380"/>
  <c r="P238" i="380"/>
  <c r="P222" i="380"/>
  <c r="P137" i="380"/>
  <c r="P128" i="380"/>
  <c r="F34" i="381"/>
  <c r="F42" i="381"/>
  <c r="F43" i="381"/>
  <c r="F45" i="381"/>
  <c r="D65" i="381"/>
  <c r="F51" i="381"/>
  <c r="F54" i="381"/>
  <c r="F56" i="381"/>
  <c r="F12" i="381"/>
  <c r="E65" i="381"/>
  <c r="F59" i="381"/>
  <c r="S119" i="380"/>
  <c r="S121" i="380"/>
  <c r="S114" i="380"/>
  <c r="S113" i="380"/>
  <c r="S112" i="380"/>
  <c r="S129" i="380"/>
  <c r="S122" i="380"/>
  <c r="S236" i="380"/>
  <c r="S221" i="380"/>
  <c r="S220" i="380"/>
  <c r="S243" i="380"/>
  <c r="S153" i="380"/>
  <c r="T148" i="380"/>
  <c r="T135" i="380"/>
  <c r="T153" i="380"/>
  <c r="T230" i="380"/>
  <c r="P206" i="380"/>
  <c r="S242" i="380"/>
  <c r="T242" i="380"/>
  <c r="S237" i="380"/>
  <c r="T237" i="380"/>
  <c r="T235" i="380"/>
  <c r="S229" i="380"/>
  <c r="T229" i="380"/>
  <c r="R229" i="380"/>
  <c r="Q229" i="380"/>
  <c r="T221" i="380"/>
  <c r="S228" i="380"/>
  <c r="T228" i="380"/>
  <c r="S227" i="380"/>
  <c r="T227" i="380"/>
  <c r="S226" i="380"/>
  <c r="T226" i="380"/>
  <c r="T178" i="380"/>
  <c r="T167" i="380"/>
  <c r="T166" i="380"/>
  <c r="T165" i="380"/>
  <c r="T164" i="380"/>
  <c r="T163" i="380"/>
  <c r="S176" i="380"/>
  <c r="S187" i="380"/>
  <c r="S134" i="380"/>
  <c r="S123" i="380"/>
  <c r="S146" i="380"/>
  <c r="T119" i="380"/>
  <c r="T121" i="380"/>
  <c r="T241" i="380"/>
  <c r="S231" i="380"/>
  <c r="T231" i="380"/>
  <c r="R124" i="380"/>
  <c r="Q124" i="380"/>
  <c r="S124" i="380"/>
  <c r="T146" i="380"/>
  <c r="T11" i="380"/>
  <c r="T10" i="380"/>
  <c r="S86" i="380"/>
  <c r="R86" i="380"/>
  <c r="Q86" i="380"/>
  <c r="S85" i="380"/>
  <c r="R85" i="380"/>
  <c r="Q85" i="380"/>
  <c r="S82" i="380"/>
  <c r="R82" i="380"/>
  <c r="Q82" i="380"/>
  <c r="S77" i="380"/>
  <c r="S84" i="380"/>
  <c r="R77" i="380"/>
  <c r="R84" i="380"/>
  <c r="Q77" i="380"/>
  <c r="Q84" i="380"/>
  <c r="S76" i="380"/>
  <c r="R76" i="380"/>
  <c r="Q76" i="380"/>
  <c r="S75" i="380"/>
  <c r="R75" i="380"/>
  <c r="Q75" i="380"/>
  <c r="Q73" i="380"/>
  <c r="S70" i="380"/>
  <c r="R70" i="380"/>
  <c r="R71" i="380"/>
  <c r="Q70" i="380"/>
  <c r="Q71" i="380"/>
  <c r="S67" i="380"/>
  <c r="S68" i="380"/>
  <c r="R67" i="380"/>
  <c r="R68" i="380"/>
  <c r="Q67" i="380"/>
  <c r="Q68" i="380"/>
  <c r="S64" i="380"/>
  <c r="R64" i="380"/>
  <c r="Q64" i="380"/>
  <c r="P36" i="380"/>
  <c r="P229" i="380"/>
  <c r="P232" i="380"/>
  <c r="P251" i="380"/>
  <c r="T134" i="380"/>
  <c r="U134" i="380"/>
  <c r="V134" i="380"/>
  <c r="W134" i="380"/>
  <c r="X134" i="380"/>
  <c r="T129" i="380"/>
  <c r="T123" i="380"/>
  <c r="T122" i="380"/>
  <c r="T114" i="380"/>
  <c r="U114" i="380"/>
  <c r="V114" i="380"/>
  <c r="W114" i="380"/>
  <c r="X114" i="380"/>
  <c r="T113" i="380"/>
  <c r="T112" i="380"/>
  <c r="P82" i="380"/>
  <c r="P77" i="380"/>
  <c r="P84" i="380"/>
  <c r="P75" i="380"/>
  <c r="P73" i="380"/>
  <c r="P70" i="380"/>
  <c r="P67" i="380"/>
  <c r="P64" i="380"/>
  <c r="P56" i="380"/>
  <c r="P57" i="380"/>
  <c r="P54" i="380"/>
  <c r="P53" i="380"/>
  <c r="J199" i="380"/>
  <c r="O199" i="380"/>
  <c r="Q15" i="375"/>
  <c r="X212" i="380"/>
  <c r="U146" i="380"/>
  <c r="V146" i="380"/>
  <c r="W146" i="380"/>
  <c r="X146" i="380"/>
  <c r="N200" i="380"/>
  <c r="M200" i="380"/>
  <c r="L200" i="380"/>
  <c r="K200" i="380"/>
  <c r="I200" i="380"/>
  <c r="H200" i="380"/>
  <c r="G200" i="380"/>
  <c r="F200" i="380"/>
  <c r="E200" i="380"/>
  <c r="W212" i="380"/>
  <c r="U135" i="380"/>
  <c r="V135" i="380"/>
  <c r="W135" i="380"/>
  <c r="O178" i="380"/>
  <c r="O170" i="380"/>
  <c r="N170" i="380"/>
  <c r="O244" i="380"/>
  <c r="S244" i="380"/>
  <c r="O111" i="380"/>
  <c r="U119" i="380"/>
  <c r="V119" i="380"/>
  <c r="W119" i="380"/>
  <c r="X119" i="380"/>
  <c r="L132" i="380"/>
  <c r="K132" i="380"/>
  <c r="O70" i="380"/>
  <c r="T70" i="380"/>
  <c r="U70" i="380"/>
  <c r="V70" i="380"/>
  <c r="W70" i="380"/>
  <c r="X70" i="380"/>
  <c r="O67" i="380"/>
  <c r="T67" i="380"/>
  <c r="U67" i="380"/>
  <c r="V67" i="380"/>
  <c r="W67" i="380"/>
  <c r="X67" i="380"/>
  <c r="O56" i="380"/>
  <c r="O86" i="380"/>
  <c r="O54" i="380"/>
  <c r="O53" i="380"/>
  <c r="T53" i="380"/>
  <c r="U53" i="380"/>
  <c r="V53" i="380"/>
  <c r="W53" i="380"/>
  <c r="X53" i="380"/>
  <c r="O9" i="380"/>
  <c r="O222" i="380"/>
  <c r="N169" i="380"/>
  <c r="O184" i="380"/>
  <c r="O183" i="380"/>
  <c r="O181" i="380"/>
  <c r="O180" i="380"/>
  <c r="O179" i="380"/>
  <c r="L163" i="380"/>
  <c r="M163" i="380"/>
  <c r="N163" i="380"/>
  <c r="U167" i="380"/>
  <c r="V167" i="380"/>
  <c r="W167" i="380"/>
  <c r="X167" i="380"/>
  <c r="O166" i="380"/>
  <c r="O164" i="380"/>
  <c r="U164" i="380"/>
  <c r="V164" i="380"/>
  <c r="W164" i="380"/>
  <c r="X164" i="380"/>
  <c r="N105" i="380"/>
  <c r="O82" i="380"/>
  <c r="O10" i="380"/>
  <c r="L266" i="380"/>
  <c r="K266" i="380"/>
  <c r="J266" i="380"/>
  <c r="I266" i="380"/>
  <c r="H266" i="380"/>
  <c r="G266" i="380"/>
  <c r="F266" i="380"/>
  <c r="E266" i="380"/>
  <c r="D266" i="380"/>
  <c r="N259" i="380"/>
  <c r="M259" i="380"/>
  <c r="L259" i="380"/>
  <c r="K259" i="380"/>
  <c r="J259" i="380"/>
  <c r="I259" i="380"/>
  <c r="H259" i="380"/>
  <c r="G259" i="380"/>
  <c r="F259" i="380"/>
  <c r="E259" i="380"/>
  <c r="D259" i="380"/>
  <c r="N256" i="380"/>
  <c r="N257" i="380"/>
  <c r="M256" i="380"/>
  <c r="M257" i="380"/>
  <c r="L256" i="380"/>
  <c r="L257" i="380"/>
  <c r="K256" i="380"/>
  <c r="K257" i="380"/>
  <c r="J256" i="380"/>
  <c r="J257" i="380"/>
  <c r="I256" i="380"/>
  <c r="I257" i="380"/>
  <c r="H256" i="380"/>
  <c r="H257" i="380"/>
  <c r="G256" i="380"/>
  <c r="G257" i="380"/>
  <c r="F256" i="380"/>
  <c r="F257" i="380"/>
  <c r="E256" i="380"/>
  <c r="E257" i="380"/>
  <c r="D256" i="380"/>
  <c r="D257" i="380"/>
  <c r="U242" i="380"/>
  <c r="V242" i="380"/>
  <c r="W242" i="380"/>
  <c r="X242" i="380"/>
  <c r="U241" i="380"/>
  <c r="V241" i="380"/>
  <c r="W241" i="380"/>
  <c r="X241" i="380"/>
  <c r="U228" i="380"/>
  <c r="V228" i="380"/>
  <c r="W228" i="380"/>
  <c r="X228" i="380"/>
  <c r="O189" i="380"/>
  <c r="N156" i="380"/>
  <c r="M156" i="380"/>
  <c r="L156" i="380"/>
  <c r="K156" i="380"/>
  <c r="F11" i="382"/>
  <c r="G47" i="382"/>
  <c r="H47" i="382"/>
  <c r="I47" i="382"/>
  <c r="F46" i="382"/>
  <c r="G46" i="382"/>
  <c r="H46" i="382"/>
  <c r="I46" i="382"/>
  <c r="J98" i="380"/>
  <c r="E98" i="380"/>
  <c r="D98" i="380"/>
  <c r="F23" i="382"/>
  <c r="G23" i="382"/>
  <c r="H23" i="382"/>
  <c r="I23" i="382"/>
  <c r="C8" i="382"/>
  <c r="F36" i="382"/>
  <c r="G36" i="382"/>
  <c r="H36" i="382"/>
  <c r="I36" i="382"/>
  <c r="G35" i="382"/>
  <c r="H35" i="382"/>
  <c r="I35" i="382"/>
  <c r="F34" i="382"/>
  <c r="G34" i="382"/>
  <c r="H34" i="382"/>
  <c r="I34" i="382"/>
  <c r="J14" i="380"/>
  <c r="E14" i="380"/>
  <c r="D14" i="380"/>
  <c r="J13" i="380"/>
  <c r="D13" i="380"/>
  <c r="E13" i="380"/>
  <c r="N63" i="380"/>
  <c r="M63" i="380"/>
  <c r="L63" i="380"/>
  <c r="K63" i="380"/>
  <c r="I63" i="380"/>
  <c r="H63" i="380"/>
  <c r="G63" i="380"/>
  <c r="F63" i="380"/>
  <c r="E63" i="380"/>
  <c r="E75" i="380"/>
  <c r="J75" i="380"/>
  <c r="D63" i="380"/>
  <c r="N64" i="380"/>
  <c r="M64" i="380"/>
  <c r="L64" i="380"/>
  <c r="K64" i="380"/>
  <c r="K65" i="380"/>
  <c r="J64" i="380"/>
  <c r="I64" i="380"/>
  <c r="H64" i="380"/>
  <c r="G64" i="380"/>
  <c r="F64" i="380"/>
  <c r="E64" i="380"/>
  <c r="D64" i="380"/>
  <c r="C64" i="380"/>
  <c r="O79" i="380"/>
  <c r="T75" i="380"/>
  <c r="J79" i="380"/>
  <c r="J78" i="380"/>
  <c r="J77" i="380"/>
  <c r="J76" i="380"/>
  <c r="O78" i="380"/>
  <c r="O77" i="380"/>
  <c r="O84" i="380"/>
  <c r="O76" i="380"/>
  <c r="J11" i="380"/>
  <c r="J10" i="380"/>
  <c r="K12" i="380"/>
  <c r="O11" i="380"/>
  <c r="I12" i="380"/>
  <c r="I14" i="380"/>
  <c r="H12" i="380"/>
  <c r="H14" i="380"/>
  <c r="G12" i="380"/>
  <c r="G14" i="380"/>
  <c r="F12" i="380"/>
  <c r="F14" i="380"/>
  <c r="O20" i="380"/>
  <c r="T20" i="380"/>
  <c r="U20" i="380"/>
  <c r="V20" i="380"/>
  <c r="W20" i="380"/>
  <c r="X20" i="380"/>
  <c r="O35" i="380"/>
  <c r="O33" i="380"/>
  <c r="O32" i="380"/>
  <c r="T32" i="380"/>
  <c r="U32" i="380"/>
  <c r="V32" i="380"/>
  <c r="W32" i="380"/>
  <c r="X32" i="380"/>
  <c r="L107" i="380"/>
  <c r="K107" i="380"/>
  <c r="J107" i="380"/>
  <c r="I107" i="380"/>
  <c r="H107" i="380"/>
  <c r="G107" i="380"/>
  <c r="F107" i="380"/>
  <c r="E107" i="380"/>
  <c r="M106" i="380"/>
  <c r="L106" i="380"/>
  <c r="K106" i="380"/>
  <c r="T106" i="380"/>
  <c r="J106" i="380"/>
  <c r="E106" i="380"/>
  <c r="O105" i="380"/>
  <c r="P105" i="380"/>
  <c r="Q105" i="380"/>
  <c r="R105" i="380"/>
  <c r="S105" i="380"/>
  <c r="T105" i="380"/>
  <c r="I100" i="380"/>
  <c r="H100" i="380"/>
  <c r="G100" i="380"/>
  <c r="F100" i="380"/>
  <c r="E100" i="380"/>
  <c r="D100" i="380"/>
  <c r="J100" i="380"/>
  <c r="O99" i="380"/>
  <c r="M42" i="380"/>
  <c r="M48" i="380"/>
  <c r="N48" i="380"/>
  <c r="M47" i="380"/>
  <c r="M46" i="380"/>
  <c r="M107" i="380"/>
  <c r="M45" i="380"/>
  <c r="N45" i="380"/>
  <c r="O45" i="380"/>
  <c r="P45" i="380"/>
  <c r="M44" i="380"/>
  <c r="N102" i="380"/>
  <c r="N103" i="380"/>
  <c r="M102" i="380"/>
  <c r="M103" i="380"/>
  <c r="L102" i="380"/>
  <c r="L103" i="380"/>
  <c r="K102" i="380"/>
  <c r="K103" i="380"/>
  <c r="J102" i="380"/>
  <c r="J103" i="380"/>
  <c r="O44" i="380"/>
  <c r="O43" i="380"/>
  <c r="O42" i="380"/>
  <c r="M43" i="380"/>
  <c r="N36" i="380"/>
  <c r="M36" i="380"/>
  <c r="L36" i="380"/>
  <c r="K36" i="380"/>
  <c r="J36" i="380"/>
  <c r="I36" i="380"/>
  <c r="H36" i="380"/>
  <c r="G36" i="380"/>
  <c r="F36" i="380"/>
  <c r="E36" i="380"/>
  <c r="D36" i="380"/>
  <c r="L34" i="380"/>
  <c r="L37" i="380"/>
  <c r="L94" i="380"/>
  <c r="K34" i="380"/>
  <c r="K37" i="380"/>
  <c r="K94" i="380"/>
  <c r="J34" i="380"/>
  <c r="J37" i="380"/>
  <c r="J94" i="380"/>
  <c r="I34" i="380"/>
  <c r="I37" i="380"/>
  <c r="I94" i="380"/>
  <c r="H34" i="380"/>
  <c r="H37" i="380"/>
  <c r="H94" i="380"/>
  <c r="G34" i="380"/>
  <c r="G37" i="380"/>
  <c r="G94" i="380"/>
  <c r="F34" i="380"/>
  <c r="F37" i="380"/>
  <c r="F94" i="380"/>
  <c r="E34" i="380"/>
  <c r="E37" i="380"/>
  <c r="E94" i="380"/>
  <c r="D34" i="380"/>
  <c r="D37" i="380"/>
  <c r="D94" i="380"/>
  <c r="Q64" i="383"/>
  <c r="S55" i="383"/>
  <c r="T55" i="383"/>
  <c r="U55" i="383"/>
  <c r="V55" i="383"/>
  <c r="W55" i="383"/>
  <c r="X55" i="383"/>
  <c r="S56" i="383"/>
  <c r="T56" i="383"/>
  <c r="U56" i="383"/>
  <c r="V56" i="383"/>
  <c r="W56" i="383"/>
  <c r="X56" i="383"/>
  <c r="R54" i="383"/>
  <c r="R58" i="383"/>
  <c r="S53" i="383"/>
  <c r="T53" i="383"/>
  <c r="U53" i="383"/>
  <c r="V53" i="383"/>
  <c r="W53" i="383"/>
  <c r="X53" i="383"/>
  <c r="N24" i="380"/>
  <c r="N25" i="380"/>
  <c r="M24" i="380"/>
  <c r="M26" i="380"/>
  <c r="L24" i="380"/>
  <c r="L25" i="380"/>
  <c r="K24" i="380"/>
  <c r="K25" i="380"/>
  <c r="J24" i="380"/>
  <c r="J25" i="380"/>
  <c r="I24" i="380"/>
  <c r="I26" i="380"/>
  <c r="H24" i="380"/>
  <c r="G24" i="380"/>
  <c r="G25" i="380"/>
  <c r="F24" i="380"/>
  <c r="F25" i="380"/>
  <c r="E24" i="380"/>
  <c r="E25" i="380"/>
  <c r="D24" i="380"/>
  <c r="D25" i="380"/>
  <c r="V44" i="375"/>
  <c r="U44" i="375"/>
  <c r="U49" i="375"/>
  <c r="P66" i="375"/>
  <c r="O66" i="375"/>
  <c r="N66" i="375"/>
  <c r="P42" i="375"/>
  <c r="O42" i="375"/>
  <c r="N42" i="375"/>
  <c r="S39" i="375"/>
  <c r="R39" i="375"/>
  <c r="Q39" i="375"/>
  <c r="S37" i="375"/>
  <c r="R37" i="375"/>
  <c r="Q37" i="375"/>
  <c r="X41" i="383"/>
  <c r="W41" i="383"/>
  <c r="V41" i="383"/>
  <c r="U41" i="383"/>
  <c r="T41" i="383"/>
  <c r="S41" i="383"/>
  <c r="R41" i="383"/>
  <c r="R37" i="383"/>
  <c r="S37" i="383"/>
  <c r="T37" i="383"/>
  <c r="U37" i="383"/>
  <c r="V37" i="383"/>
  <c r="W37" i="383"/>
  <c r="X37" i="383"/>
  <c r="N12" i="382"/>
  <c r="N11" i="382"/>
  <c r="S34" i="383"/>
  <c r="T34" i="383"/>
  <c r="U34" i="383"/>
  <c r="V34" i="383"/>
  <c r="W34" i="383"/>
  <c r="X34" i="383"/>
  <c r="R35" i="383"/>
  <c r="S35" i="383"/>
  <c r="L29" i="383"/>
  <c r="K29" i="383"/>
  <c r="J29" i="383"/>
  <c r="I29" i="383"/>
  <c r="H29" i="383"/>
  <c r="G29" i="383"/>
  <c r="L25" i="383"/>
  <c r="K25" i="383"/>
  <c r="J25" i="383"/>
  <c r="I25" i="383"/>
  <c r="H25" i="383"/>
  <c r="G25" i="383"/>
  <c r="L21" i="383"/>
  <c r="K21" i="383"/>
  <c r="J21" i="383"/>
  <c r="I21" i="383"/>
  <c r="H21" i="383"/>
  <c r="G21" i="383"/>
  <c r="L17" i="383"/>
  <c r="K17" i="383"/>
  <c r="J17" i="383"/>
  <c r="I17" i="383"/>
  <c r="H17" i="383"/>
  <c r="G17" i="383"/>
  <c r="L13" i="383"/>
  <c r="K13" i="383"/>
  <c r="J13" i="383"/>
  <c r="I13" i="383"/>
  <c r="H13" i="383"/>
  <c r="G13" i="383"/>
  <c r="O251" i="380"/>
  <c r="I263" i="380"/>
  <c r="H263" i="380"/>
  <c r="G263" i="380"/>
  <c r="E263" i="380"/>
  <c r="D263" i="380"/>
  <c r="I262" i="380"/>
  <c r="H262" i="380"/>
  <c r="G262" i="380"/>
  <c r="F262" i="380"/>
  <c r="E262" i="380"/>
  <c r="D262" i="380"/>
  <c r="N264" i="380"/>
  <c r="M264" i="380"/>
  <c r="L264" i="380"/>
  <c r="K264" i="380"/>
  <c r="O262" i="380"/>
  <c r="Q28" i="375"/>
  <c r="J262" i="380"/>
  <c r="P28" i="375"/>
  <c r="J178" i="380"/>
  <c r="E178" i="380"/>
  <c r="D178" i="380"/>
  <c r="N190" i="380"/>
  <c r="L191" i="380"/>
  <c r="L174" i="380"/>
  <c r="K174" i="380"/>
  <c r="N176" i="380"/>
  <c r="M176" i="380"/>
  <c r="I174" i="380"/>
  <c r="F174" i="380"/>
  <c r="H174" i="380"/>
  <c r="X176" i="380"/>
  <c r="W176" i="380"/>
  <c r="V176" i="380"/>
  <c r="U176" i="380"/>
  <c r="T176" i="380"/>
  <c r="L137" i="380"/>
  <c r="K137" i="380"/>
  <c r="I137" i="380"/>
  <c r="H137" i="380"/>
  <c r="G137" i="380"/>
  <c r="F137" i="380"/>
  <c r="E137" i="380"/>
  <c r="D137" i="380"/>
  <c r="C137" i="380"/>
  <c r="O136" i="380"/>
  <c r="O129" i="380"/>
  <c r="N130" i="380"/>
  <c r="M130" i="380"/>
  <c r="AE45" i="382"/>
  <c r="AF45" i="382"/>
  <c r="AG45" i="382"/>
  <c r="AH45" i="382"/>
  <c r="O112" i="380"/>
  <c r="H41" i="382"/>
  <c r="I41" i="382"/>
  <c r="N124" i="380"/>
  <c r="M124" i="380"/>
  <c r="O123" i="380"/>
  <c r="O122" i="380"/>
  <c r="O121" i="380"/>
  <c r="O113" i="380"/>
  <c r="U113" i="380"/>
  <c r="V113" i="380"/>
  <c r="W113" i="380"/>
  <c r="X113" i="380"/>
  <c r="J146" i="380"/>
  <c r="J147" i="380"/>
  <c r="F18" i="382"/>
  <c r="G18" i="382"/>
  <c r="H18" i="382"/>
  <c r="I18" i="382"/>
  <c r="F17" i="382"/>
  <c r="G17" i="382"/>
  <c r="H17" i="382"/>
  <c r="I17" i="382"/>
  <c r="F16" i="382"/>
  <c r="G16" i="382"/>
  <c r="H16" i="382"/>
  <c r="I16" i="382"/>
  <c r="J96" i="380"/>
  <c r="O96" i="380"/>
  <c r="O101" i="380"/>
  <c r="O64" i="380"/>
  <c r="F60" i="382"/>
  <c r="G25" i="375"/>
  <c r="G38" i="375"/>
  <c r="G51" i="375"/>
  <c r="F59" i="382"/>
  <c r="F58" i="382"/>
  <c r="F48" i="382"/>
  <c r="G48" i="382"/>
  <c r="H48" i="382"/>
  <c r="I48" i="382"/>
  <c r="F24" i="382"/>
  <c r="E12" i="382"/>
  <c r="F10" i="382"/>
  <c r="G10" i="382"/>
  <c r="L196" i="380"/>
  <c r="I196" i="380"/>
  <c r="H196" i="380"/>
  <c r="G196" i="380"/>
  <c r="E196" i="380"/>
  <c r="I195" i="380"/>
  <c r="H195" i="380"/>
  <c r="G195" i="380"/>
  <c r="E195" i="380"/>
  <c r="L195" i="380"/>
  <c r="J156" i="380"/>
  <c r="J154" i="380"/>
  <c r="J153" i="380"/>
  <c r="J195" i="380"/>
  <c r="L144" i="380"/>
  <c r="I144" i="380"/>
  <c r="H144" i="380"/>
  <c r="G144" i="380"/>
  <c r="E144" i="380"/>
  <c r="D144" i="380"/>
  <c r="C144" i="380"/>
  <c r="M73" i="380"/>
  <c r="N73" i="380"/>
  <c r="O73" i="380"/>
  <c r="T73" i="380"/>
  <c r="U73" i="380"/>
  <c r="V73" i="380"/>
  <c r="W73" i="380"/>
  <c r="X73" i="380"/>
  <c r="W104" i="380"/>
  <c r="X104" i="380"/>
  <c r="M104" i="380"/>
  <c r="M97" i="380"/>
  <c r="K143" i="380"/>
  <c r="K144" i="380"/>
  <c r="F143" i="380"/>
  <c r="J143" i="380"/>
  <c r="F194" i="380"/>
  <c r="F195" i="380"/>
  <c r="K194" i="380"/>
  <c r="K195" i="380"/>
  <c r="J136" i="380"/>
  <c r="J137" i="380"/>
  <c r="J135" i="380"/>
  <c r="J134" i="380"/>
  <c r="L130" i="380"/>
  <c r="K130" i="380"/>
  <c r="J130" i="380"/>
  <c r="I130" i="380"/>
  <c r="H130" i="380"/>
  <c r="G130" i="380"/>
  <c r="F130" i="380"/>
  <c r="E130" i="380"/>
  <c r="D130" i="380"/>
  <c r="C130" i="380"/>
  <c r="L128" i="380"/>
  <c r="K128" i="380"/>
  <c r="J128" i="380"/>
  <c r="I128" i="380"/>
  <c r="H128" i="380"/>
  <c r="G128" i="380"/>
  <c r="F128" i="380"/>
  <c r="E128" i="380"/>
  <c r="D128" i="380"/>
  <c r="C128" i="380"/>
  <c r="L116" i="380"/>
  <c r="K116" i="380"/>
  <c r="J116" i="380"/>
  <c r="E116" i="380"/>
  <c r="D116" i="380"/>
  <c r="J73" i="380"/>
  <c r="F18" i="381"/>
  <c r="F11" i="381"/>
  <c r="F10" i="381"/>
  <c r="E23" i="375"/>
  <c r="F23" i="375"/>
  <c r="G23" i="375"/>
  <c r="G10" i="375"/>
  <c r="T48" i="375"/>
  <c r="L124" i="380"/>
  <c r="F124" i="380"/>
  <c r="K124" i="380"/>
  <c r="G124" i="380"/>
  <c r="D124" i="380"/>
  <c r="D138" i="380"/>
  <c r="H124" i="380"/>
  <c r="C124" i="380"/>
  <c r="E124" i="380"/>
  <c r="I124" i="380"/>
  <c r="I161" i="380"/>
  <c r="G161" i="380"/>
  <c r="G190" i="380"/>
  <c r="F161" i="380"/>
  <c r="F190" i="380"/>
  <c r="F191" i="380"/>
  <c r="G189" i="380"/>
  <c r="H161" i="380"/>
  <c r="J124" i="380"/>
  <c r="K161" i="380"/>
  <c r="L154" i="380"/>
  <c r="L161" i="380"/>
  <c r="M196" i="380"/>
  <c r="N196" i="380"/>
  <c r="M161" i="380"/>
  <c r="O151" i="380"/>
  <c r="O154" i="380"/>
  <c r="Q11" i="375"/>
  <c r="Q23" i="375"/>
  <c r="N161" i="380"/>
  <c r="K191" i="380"/>
  <c r="S42" i="383"/>
  <c r="T35" i="383"/>
  <c r="S54" i="383"/>
  <c r="T54" i="383"/>
  <c r="R42" i="383"/>
  <c r="T42" i="383"/>
  <c r="U35" i="383"/>
  <c r="V35" i="383"/>
  <c r="U42" i="383"/>
  <c r="G58" i="382"/>
  <c r="E25" i="375"/>
  <c r="E38" i="375"/>
  <c r="E51" i="375"/>
  <c r="G59" i="382"/>
  <c r="H59" i="382"/>
  <c r="I59" i="382"/>
  <c r="F25" i="375"/>
  <c r="F38" i="375"/>
  <c r="F51" i="375"/>
  <c r="F12" i="382"/>
  <c r="H58" i="382"/>
  <c r="I58" i="382"/>
  <c r="M115" i="380"/>
  <c r="M266" i="380"/>
  <c r="G12" i="382"/>
  <c r="H10" i="382"/>
  <c r="I10" i="382"/>
  <c r="H12" i="382"/>
  <c r="L12" i="380"/>
  <c r="M9" i="380"/>
  <c r="M12" i="380"/>
  <c r="M13" i="380"/>
  <c r="O256" i="380"/>
  <c r="O257" i="380"/>
  <c r="O176" i="380"/>
  <c r="N115" i="380"/>
  <c r="N116" i="380"/>
  <c r="D26" i="380"/>
  <c r="Q9" i="375"/>
  <c r="O263" i="380"/>
  <c r="N47" i="380"/>
  <c r="O195" i="380"/>
  <c r="O196" i="380"/>
  <c r="Q13" i="375"/>
  <c r="Q25" i="375"/>
  <c r="Q24" i="375"/>
  <c r="J141" i="380"/>
  <c r="T206" i="380"/>
  <c r="V49" i="375"/>
  <c r="T49" i="375"/>
  <c r="O17" i="375"/>
  <c r="C14" i="382"/>
  <c r="F14" i="382"/>
  <c r="U95" i="380"/>
  <c r="G8" i="382"/>
  <c r="V101" i="380"/>
  <c r="V102" i="380"/>
  <c r="F8" i="382"/>
  <c r="U101" i="380"/>
  <c r="U102" i="380"/>
  <c r="U71" i="380"/>
  <c r="E8" i="382"/>
  <c r="T101" i="380"/>
  <c r="T102" i="380"/>
  <c r="T103" i="380"/>
  <c r="T45" i="380"/>
  <c r="G60" i="382"/>
  <c r="H60" i="382"/>
  <c r="I60" i="382"/>
  <c r="N17" i="375"/>
  <c r="N260" i="380"/>
  <c r="G26" i="380"/>
  <c r="K26" i="380"/>
  <c r="K14" i="380"/>
  <c r="G13" i="375"/>
  <c r="U45" i="383"/>
  <c r="R60" i="383"/>
  <c r="S60" i="383"/>
  <c r="T60" i="383"/>
  <c r="U60" i="383"/>
  <c r="V60" i="383"/>
  <c r="W60" i="383"/>
  <c r="X60" i="383"/>
  <c r="Q66" i="383"/>
  <c r="Q67" i="383"/>
  <c r="X135" i="380"/>
  <c r="H14" i="382"/>
  <c r="W95" i="380"/>
  <c r="V48" i="375"/>
  <c r="U48" i="375"/>
  <c r="L26" i="380"/>
  <c r="I25" i="380"/>
  <c r="R83" i="380"/>
  <c r="R87" i="380"/>
  <c r="T77" i="380"/>
  <c r="U77" i="380"/>
  <c r="U112" i="380"/>
  <c r="V112" i="380"/>
  <c r="W112" i="380"/>
  <c r="X112" i="380"/>
  <c r="U123" i="380"/>
  <c r="V123" i="380"/>
  <c r="W123" i="380"/>
  <c r="X123" i="380"/>
  <c r="U122" i="380"/>
  <c r="V122" i="380"/>
  <c r="W122" i="380"/>
  <c r="X122" i="380"/>
  <c r="I8" i="382"/>
  <c r="X101" i="380"/>
  <c r="X102" i="380"/>
  <c r="X103" i="380"/>
  <c r="I12" i="382"/>
  <c r="I14" i="382"/>
  <c r="X95" i="380"/>
  <c r="V42" i="383"/>
  <c r="W35" i="383"/>
  <c r="C20" i="382"/>
  <c r="G14" i="382"/>
  <c r="V95" i="380"/>
  <c r="E14" i="382"/>
  <c r="T95" i="380"/>
  <c r="Q21" i="375"/>
  <c r="U54" i="383"/>
  <c r="T58" i="383"/>
  <c r="S58" i="383"/>
  <c r="H8" i="382"/>
  <c r="W101" i="380"/>
  <c r="R73" i="380"/>
  <c r="T120" i="380"/>
  <c r="U120" i="380"/>
  <c r="V120" i="380"/>
  <c r="W120" i="380"/>
  <c r="X120" i="380"/>
  <c r="P20" i="380"/>
  <c r="R78" i="380"/>
  <c r="R79" i="380"/>
  <c r="R63" i="380"/>
  <c r="R65" i="380"/>
  <c r="P78" i="380"/>
  <c r="S78" i="380"/>
  <c r="Q83" i="380"/>
  <c r="Q87" i="380"/>
  <c r="O259" i="380"/>
  <c r="S222" i="380"/>
  <c r="T222" i="380"/>
  <c r="S73" i="380"/>
  <c r="S83" i="380"/>
  <c r="S87" i="380"/>
  <c r="Q78" i="380"/>
  <c r="Q79" i="380"/>
  <c r="Q63" i="380"/>
  <c r="Q65" i="380"/>
  <c r="S79" i="380"/>
  <c r="S63" i="380"/>
  <c r="S65" i="380"/>
  <c r="S71" i="380"/>
  <c r="P58" i="380"/>
  <c r="P85" i="380"/>
  <c r="P86" i="380"/>
  <c r="P97" i="380"/>
  <c r="Q97" i="380"/>
  <c r="Q99" i="380"/>
  <c r="P17" i="375"/>
  <c r="F144" i="380"/>
  <c r="N65" i="380"/>
  <c r="E26" i="380"/>
  <c r="E260" i="380"/>
  <c r="N104" i="380"/>
  <c r="O104" i="380"/>
  <c r="F263" i="380"/>
  <c r="F264" i="380"/>
  <c r="I264" i="380"/>
  <c r="K138" i="380"/>
  <c r="K140" i="380"/>
  <c r="K147" i="380"/>
  <c r="O187" i="380"/>
  <c r="O190" i="380"/>
  <c r="O191" i="380"/>
  <c r="O30" i="380"/>
  <c r="G138" i="380"/>
  <c r="G139" i="380"/>
  <c r="N26" i="380"/>
  <c r="C138" i="380"/>
  <c r="C139" i="380"/>
  <c r="O12" i="380"/>
  <c r="O124" i="380"/>
  <c r="O47" i="380"/>
  <c r="K13" i="380"/>
  <c r="D65" i="380"/>
  <c r="G65" i="380"/>
  <c r="L65" i="380"/>
  <c r="N46" i="380"/>
  <c r="O46" i="380"/>
  <c r="N138" i="380"/>
  <c r="N139" i="380"/>
  <c r="D264" i="380"/>
  <c r="F65" i="380"/>
  <c r="E138" i="380"/>
  <c r="E140" i="380"/>
  <c r="E141" i="380"/>
  <c r="K196" i="380"/>
  <c r="L138" i="380"/>
  <c r="L139" i="380"/>
  <c r="M50" i="380"/>
  <c r="N42" i="380"/>
  <c r="N50" i="380"/>
  <c r="T54" i="380"/>
  <c r="N171" i="380"/>
  <c r="J26" i="380"/>
  <c r="H138" i="380"/>
  <c r="J263" i="380"/>
  <c r="J264" i="380"/>
  <c r="J196" i="380"/>
  <c r="L14" i="380"/>
  <c r="T71" i="380"/>
  <c r="U106" i="380"/>
  <c r="V106" i="380"/>
  <c r="W106" i="380"/>
  <c r="X106" i="380"/>
  <c r="M25" i="380"/>
  <c r="J138" i="380"/>
  <c r="J139" i="380"/>
  <c r="G260" i="380"/>
  <c r="G140" i="380"/>
  <c r="G147" i="380"/>
  <c r="M30" i="380"/>
  <c r="M34" i="380"/>
  <c r="M37" i="380"/>
  <c r="M94" i="380"/>
  <c r="O161" i="380"/>
  <c r="F196" i="380"/>
  <c r="O19" i="380"/>
  <c r="O63" i="380"/>
  <c r="O65" i="380"/>
  <c r="F26" i="380"/>
  <c r="I138" i="380"/>
  <c r="I139" i="380"/>
  <c r="M138" i="380"/>
  <c r="M140" i="380"/>
  <c r="G264" i="380"/>
  <c r="M49" i="380"/>
  <c r="N44" i="380"/>
  <c r="H65" i="380"/>
  <c r="J144" i="380"/>
  <c r="O264" i="380"/>
  <c r="F138" i="380"/>
  <c r="F140" i="380"/>
  <c r="I65" i="380"/>
  <c r="O156" i="380"/>
  <c r="T156" i="380"/>
  <c r="O200" i="380"/>
  <c r="Q27" i="375"/>
  <c r="M51" i="380"/>
  <c r="N43" i="380"/>
  <c r="L13" i="380"/>
  <c r="H260" i="380"/>
  <c r="H264" i="380"/>
  <c r="O115" i="380"/>
  <c r="O144" i="380"/>
  <c r="O48" i="380"/>
  <c r="V77" i="380"/>
  <c r="W77" i="380"/>
  <c r="U84" i="380"/>
  <c r="U83" i="380"/>
  <c r="U21" i="380"/>
  <c r="T84" i="380"/>
  <c r="T83" i="380"/>
  <c r="T21" i="380"/>
  <c r="V103" i="380"/>
  <c r="V45" i="380"/>
  <c r="O260" i="380"/>
  <c r="G191" i="380"/>
  <c r="E264" i="380"/>
  <c r="E65" i="380"/>
  <c r="I260" i="380"/>
  <c r="M260" i="380"/>
  <c r="U129" i="380"/>
  <c r="V129" i="380"/>
  <c r="W129" i="380"/>
  <c r="X129" i="380"/>
  <c r="O130" i="380"/>
  <c r="K260" i="380"/>
  <c r="L260" i="380"/>
  <c r="J200" i="380"/>
  <c r="P27" i="375"/>
  <c r="P51" i="375"/>
  <c r="P75" i="375"/>
  <c r="P15" i="375"/>
  <c r="P40" i="375"/>
  <c r="P64" i="375"/>
  <c r="U103" i="380"/>
  <c r="U68" i="380"/>
  <c r="U46" i="380"/>
  <c r="T48" i="380"/>
  <c r="O102" i="380"/>
  <c r="H25" i="380"/>
  <c r="H26" i="380"/>
  <c r="J260" i="380"/>
  <c r="F260" i="380"/>
  <c r="T68" i="380"/>
  <c r="T46" i="380"/>
  <c r="N266" i="380"/>
  <c r="D140" i="380"/>
  <c r="D141" i="380"/>
  <c r="D139" i="380"/>
  <c r="O75" i="380"/>
  <c r="J63" i="380"/>
  <c r="J65" i="380"/>
  <c r="W102" i="380"/>
  <c r="W71" i="380"/>
  <c r="N106" i="380"/>
  <c r="T56" i="380"/>
  <c r="O57" i="380"/>
  <c r="O58" i="380"/>
  <c r="O85" i="380"/>
  <c r="V71" i="380"/>
  <c r="M65" i="380"/>
  <c r="X71" i="380"/>
  <c r="N9" i="380"/>
  <c r="N12" i="380"/>
  <c r="M91" i="380"/>
  <c r="X68" i="380"/>
  <c r="X46" i="380"/>
  <c r="X45" i="380"/>
  <c r="Q29" i="375"/>
  <c r="M128" i="380"/>
  <c r="N128" i="380"/>
  <c r="M137" i="380"/>
  <c r="M116" i="380"/>
  <c r="F13" i="381"/>
  <c r="T124" i="380"/>
  <c r="O14" i="380"/>
  <c r="T9" i="380"/>
  <c r="T189" i="380"/>
  <c r="P189" i="380"/>
  <c r="V54" i="383"/>
  <c r="U58" i="383"/>
  <c r="X35" i="383"/>
  <c r="X42" i="383"/>
  <c r="W42" i="383"/>
  <c r="N49" i="380"/>
  <c r="F20" i="382"/>
  <c r="U96" i="380"/>
  <c r="C26" i="382"/>
  <c r="E20" i="382"/>
  <c r="T96" i="380"/>
  <c r="H20" i="382"/>
  <c r="W96" i="380"/>
  <c r="I20" i="382"/>
  <c r="X96" i="380"/>
  <c r="G20" i="382"/>
  <c r="V96" i="380"/>
  <c r="Q44" i="383"/>
  <c r="Q46" i="383"/>
  <c r="Q47" i="383"/>
  <c r="U46" i="383"/>
  <c r="U47" i="383"/>
  <c r="O50" i="380"/>
  <c r="P47" i="380"/>
  <c r="T47" i="380"/>
  <c r="O31" i="380"/>
  <c r="O36" i="380"/>
  <c r="P48" i="380"/>
  <c r="O107" i="380"/>
  <c r="P46" i="380"/>
  <c r="P83" i="380"/>
  <c r="P87" i="380"/>
  <c r="P71" i="380"/>
  <c r="R97" i="380"/>
  <c r="R99" i="380"/>
  <c r="Q98" i="380"/>
  <c r="P98" i="380"/>
  <c r="P99" i="380"/>
  <c r="K141" i="380"/>
  <c r="E139" i="380"/>
  <c r="N97" i="380"/>
  <c r="O97" i="380"/>
  <c r="T97" i="380"/>
  <c r="T99" i="380"/>
  <c r="O22" i="380"/>
  <c r="K139" i="380"/>
  <c r="C140" i="380"/>
  <c r="C141" i="380"/>
  <c r="N107" i="380"/>
  <c r="T107" i="380"/>
  <c r="O138" i="380"/>
  <c r="O140" i="380"/>
  <c r="O141" i="380"/>
  <c r="U45" i="380"/>
  <c r="N51" i="380"/>
  <c r="F139" i="380"/>
  <c r="O91" i="380"/>
  <c r="O13" i="380"/>
  <c r="N140" i="380"/>
  <c r="N141" i="380"/>
  <c r="O55" i="380"/>
  <c r="O51" i="380"/>
  <c r="L140" i="380"/>
  <c r="I140" i="380"/>
  <c r="G141" i="380"/>
  <c r="O49" i="380"/>
  <c r="M139" i="380"/>
  <c r="H140" i="380"/>
  <c r="H139" i="380"/>
  <c r="N30" i="380"/>
  <c r="N34" i="380"/>
  <c r="N37" i="380"/>
  <c r="N94" i="380"/>
  <c r="V68" i="380"/>
  <c r="V46" i="380"/>
  <c r="U54" i="380"/>
  <c r="V54" i="380"/>
  <c r="W54" i="380"/>
  <c r="X54" i="380"/>
  <c r="U105" i="380"/>
  <c r="V105" i="380"/>
  <c r="W105" i="380"/>
  <c r="X105" i="380"/>
  <c r="X107" i="380"/>
  <c r="O266" i="380"/>
  <c r="O128" i="380"/>
  <c r="O116" i="380"/>
  <c r="Q7" i="375"/>
  <c r="O137" i="380"/>
  <c r="V84" i="380"/>
  <c r="V83" i="380"/>
  <c r="V21" i="380"/>
  <c r="F147" i="380"/>
  <c r="F141" i="380"/>
  <c r="W103" i="380"/>
  <c r="O71" i="380"/>
  <c r="O83" i="380"/>
  <c r="W84" i="380"/>
  <c r="W83" i="380"/>
  <c r="W21" i="380"/>
  <c r="X77" i="380"/>
  <c r="X84" i="380"/>
  <c r="X83" i="380"/>
  <c r="X21" i="380"/>
  <c r="U48" i="380"/>
  <c r="T31" i="380"/>
  <c r="T35" i="380"/>
  <c r="T86" i="380"/>
  <c r="U56" i="380"/>
  <c r="T85" i="380"/>
  <c r="T57" i="380"/>
  <c r="T58" i="380"/>
  <c r="O103" i="380"/>
  <c r="O68" i="380"/>
  <c r="T187" i="380"/>
  <c r="T251" i="380"/>
  <c r="M141" i="380"/>
  <c r="M147" i="380"/>
  <c r="N14" i="380"/>
  <c r="N91" i="380"/>
  <c r="N13" i="380"/>
  <c r="U47" i="380"/>
  <c r="T55" i="380"/>
  <c r="T22" i="380"/>
  <c r="T98" i="380"/>
  <c r="F22" i="381"/>
  <c r="F24" i="381"/>
  <c r="P21" i="380"/>
  <c r="G26" i="382"/>
  <c r="V93" i="380"/>
  <c r="V64" i="380"/>
  <c r="F26" i="382"/>
  <c r="U93" i="380"/>
  <c r="U64" i="380"/>
  <c r="C32" i="382"/>
  <c r="H26" i="382"/>
  <c r="W93" i="380"/>
  <c r="W64" i="380"/>
  <c r="I26" i="382"/>
  <c r="X93" i="380"/>
  <c r="X64" i="380"/>
  <c r="E26" i="382"/>
  <c r="T93" i="380"/>
  <c r="T64" i="380"/>
  <c r="T78" i="380"/>
  <c r="W54" i="383"/>
  <c r="V58" i="383"/>
  <c r="T43" i="380"/>
  <c r="T51" i="380"/>
  <c r="U43" i="380"/>
  <c r="P43" i="380"/>
  <c r="O34" i="380"/>
  <c r="P22" i="380"/>
  <c r="T44" i="380"/>
  <c r="T49" i="380"/>
  <c r="U44" i="380"/>
  <c r="P44" i="380"/>
  <c r="P49" i="380"/>
  <c r="P51" i="380"/>
  <c r="P55" i="380"/>
  <c r="P76" i="380"/>
  <c r="P79" i="380"/>
  <c r="P63" i="380"/>
  <c r="P65" i="380"/>
  <c r="T42" i="380"/>
  <c r="T50" i="380"/>
  <c r="U42" i="380"/>
  <c r="P42" i="380"/>
  <c r="P50" i="380"/>
  <c r="S97" i="380"/>
  <c r="R98" i="380"/>
  <c r="P68" i="380"/>
  <c r="P12" i="380"/>
  <c r="Q9" i="380"/>
  <c r="U97" i="380"/>
  <c r="U99" i="380"/>
  <c r="O98" i="380"/>
  <c r="O100" i="380"/>
  <c r="O139" i="380"/>
  <c r="T30" i="380"/>
  <c r="U49" i="380"/>
  <c r="V44" i="380"/>
  <c r="U107" i="380"/>
  <c r="H141" i="380"/>
  <c r="H147" i="380"/>
  <c r="L147" i="380"/>
  <c r="L141" i="380"/>
  <c r="I147" i="380"/>
  <c r="I141" i="380"/>
  <c r="V107" i="380"/>
  <c r="Q17" i="375"/>
  <c r="Q18" i="375"/>
  <c r="W45" i="380"/>
  <c r="W68" i="380"/>
  <c r="W46" i="380"/>
  <c r="W107" i="380"/>
  <c r="U86" i="380"/>
  <c r="U57" i="380"/>
  <c r="U58" i="380"/>
  <c r="U85" i="380"/>
  <c r="V56" i="380"/>
  <c r="U31" i="380"/>
  <c r="U35" i="380"/>
  <c r="V48" i="380"/>
  <c r="O21" i="380"/>
  <c r="O87" i="380"/>
  <c r="T82" i="380"/>
  <c r="T87" i="380"/>
  <c r="U82" i="380"/>
  <c r="U51" i="380"/>
  <c r="V43" i="380"/>
  <c r="T76" i="380"/>
  <c r="T79" i="380"/>
  <c r="T12" i="380"/>
  <c r="U55" i="380"/>
  <c r="V47" i="380"/>
  <c r="U50" i="380"/>
  <c r="V42" i="380"/>
  <c r="U22" i="380"/>
  <c r="V97" i="380"/>
  <c r="C65" i="381"/>
  <c r="F27" i="381"/>
  <c r="F32" i="382"/>
  <c r="U94" i="380"/>
  <c r="I32" i="382"/>
  <c r="X94" i="380"/>
  <c r="C38" i="382"/>
  <c r="G32" i="382"/>
  <c r="V94" i="380"/>
  <c r="H32" i="382"/>
  <c r="W94" i="380"/>
  <c r="E32" i="382"/>
  <c r="T94" i="380"/>
  <c r="W58" i="383"/>
  <c r="X54" i="383"/>
  <c r="X58" i="383"/>
  <c r="O37" i="380"/>
  <c r="O94" i="380"/>
  <c r="P30" i="380"/>
  <c r="P34" i="380"/>
  <c r="P37" i="380"/>
  <c r="S98" i="380"/>
  <c r="S99" i="380"/>
  <c r="R9" i="380"/>
  <c r="Q13" i="380"/>
  <c r="P13" i="380"/>
  <c r="P91" i="380"/>
  <c r="P107" i="380"/>
  <c r="U98" i="380"/>
  <c r="V49" i="380"/>
  <c r="W44" i="380"/>
  <c r="V51" i="380"/>
  <c r="W43" i="380"/>
  <c r="W56" i="380"/>
  <c r="V86" i="380"/>
  <c r="V57" i="380"/>
  <c r="V58" i="380"/>
  <c r="V85" i="380"/>
  <c r="O23" i="380"/>
  <c r="O24" i="380"/>
  <c r="P19" i="380"/>
  <c r="P23" i="380"/>
  <c r="P24" i="380"/>
  <c r="P25" i="380"/>
  <c r="U87" i="380"/>
  <c r="V82" i="380"/>
  <c r="V31" i="380"/>
  <c r="V35" i="380"/>
  <c r="W48" i="380"/>
  <c r="V98" i="380"/>
  <c r="W97" i="380"/>
  <c r="V99" i="380"/>
  <c r="U10" i="380"/>
  <c r="U76" i="380"/>
  <c r="U9" i="380"/>
  <c r="T91" i="380"/>
  <c r="T13" i="380"/>
  <c r="T14" i="380"/>
  <c r="U75" i="380"/>
  <c r="T63" i="380"/>
  <c r="T65" i="380"/>
  <c r="V50" i="380"/>
  <c r="W42" i="380"/>
  <c r="W47" i="380"/>
  <c r="V55" i="380"/>
  <c r="V22" i="380"/>
  <c r="I38" i="382"/>
  <c r="X92" i="380"/>
  <c r="E38" i="382"/>
  <c r="T92" i="380"/>
  <c r="C44" i="382"/>
  <c r="H38" i="382"/>
  <c r="W92" i="380"/>
  <c r="F38" i="382"/>
  <c r="U92" i="380"/>
  <c r="G38" i="382"/>
  <c r="V92" i="380"/>
  <c r="Q116" i="380"/>
  <c r="Q130" i="380"/>
  <c r="T243" i="380"/>
  <c r="P26" i="380"/>
  <c r="R13" i="380"/>
  <c r="S9" i="380"/>
  <c r="S12" i="380"/>
  <c r="W51" i="380"/>
  <c r="X43" i="380"/>
  <c r="V87" i="380"/>
  <c r="W82" i="380"/>
  <c r="W99" i="380"/>
  <c r="W98" i="380"/>
  <c r="X97" i="380"/>
  <c r="X48" i="380"/>
  <c r="W31" i="380"/>
  <c r="W35" i="380"/>
  <c r="O25" i="380"/>
  <c r="O26" i="380"/>
  <c r="T19" i="380"/>
  <c r="T23" i="380"/>
  <c r="T24" i="380"/>
  <c r="W85" i="380"/>
  <c r="X56" i="380"/>
  <c r="W57" i="380"/>
  <c r="W58" i="380"/>
  <c r="W86" i="380"/>
  <c r="V10" i="380"/>
  <c r="V76" i="380"/>
  <c r="W50" i="380"/>
  <c r="X42" i="380"/>
  <c r="X47" i="380"/>
  <c r="W22" i="380"/>
  <c r="W55" i="380"/>
  <c r="U78" i="380"/>
  <c r="U11" i="380"/>
  <c r="U12" i="380"/>
  <c r="W49" i="380"/>
  <c r="X44" i="380"/>
  <c r="R116" i="380"/>
  <c r="R130" i="380"/>
  <c r="Q138" i="380"/>
  <c r="H44" i="382"/>
  <c r="G44" i="382"/>
  <c r="C56" i="382"/>
  <c r="E44" i="382"/>
  <c r="F44" i="382"/>
  <c r="I44" i="382"/>
  <c r="C50" i="382"/>
  <c r="S14" i="380"/>
  <c r="S91" i="380"/>
  <c r="S111" i="380"/>
  <c r="S115" i="380"/>
  <c r="S13" i="380"/>
  <c r="X49" i="380"/>
  <c r="W87" i="380"/>
  <c r="X82" i="380"/>
  <c r="X98" i="380"/>
  <c r="X99" i="380"/>
  <c r="X57" i="380"/>
  <c r="X58" i="380"/>
  <c r="X85" i="380"/>
  <c r="X86" i="380"/>
  <c r="U19" i="380"/>
  <c r="U23" i="380"/>
  <c r="U24" i="380"/>
  <c r="U26" i="380"/>
  <c r="T25" i="380"/>
  <c r="T26" i="380"/>
  <c r="X31" i="380"/>
  <c r="X35" i="380"/>
  <c r="X51" i="380"/>
  <c r="U14" i="380"/>
  <c r="U91" i="380"/>
  <c r="U111" i="380"/>
  <c r="U115" i="380"/>
  <c r="U13" i="380"/>
  <c r="V9" i="380"/>
  <c r="W10" i="380"/>
  <c r="W76" i="380"/>
  <c r="U79" i="380"/>
  <c r="X50" i="380"/>
  <c r="X22" i="380"/>
  <c r="X55" i="380"/>
  <c r="R138" i="380"/>
  <c r="R139" i="380"/>
  <c r="T115" i="380"/>
  <c r="U116" i="380"/>
  <c r="U222" i="380"/>
  <c r="P116" i="380"/>
  <c r="T111" i="380"/>
  <c r="Q139" i="380"/>
  <c r="Q140" i="380"/>
  <c r="S116" i="380"/>
  <c r="S127" i="380"/>
  <c r="S130" i="380"/>
  <c r="S136" i="380"/>
  <c r="S162" i="380"/>
  <c r="R140" i="380"/>
  <c r="G50" i="382"/>
  <c r="I50" i="382"/>
  <c r="F50" i="382"/>
  <c r="U121" i="380"/>
  <c r="H50" i="382"/>
  <c r="E50" i="382"/>
  <c r="G56" i="382"/>
  <c r="V153" i="380"/>
  <c r="I56" i="382"/>
  <c r="X153" i="380"/>
  <c r="H56" i="382"/>
  <c r="W153" i="380"/>
  <c r="E56" i="382"/>
  <c r="F56" i="382"/>
  <c r="U153" i="380"/>
  <c r="V19" i="380"/>
  <c r="V23" i="380"/>
  <c r="V24" i="380"/>
  <c r="X87" i="380"/>
  <c r="U25" i="380"/>
  <c r="X76" i="380"/>
  <c r="X10" i="380"/>
  <c r="V75" i="380"/>
  <c r="U63" i="380"/>
  <c r="U65" i="380"/>
  <c r="S7" i="375"/>
  <c r="U136" i="380"/>
  <c r="U162" i="380"/>
  <c r="U237" i="380"/>
  <c r="S138" i="380"/>
  <c r="S139" i="380"/>
  <c r="X185" i="380"/>
  <c r="X187" i="380"/>
  <c r="W213" i="380"/>
  <c r="R147" i="380"/>
  <c r="R208" i="380"/>
  <c r="R205" i="380"/>
  <c r="R141" i="380"/>
  <c r="T127" i="380"/>
  <c r="U124" i="380"/>
  <c r="V121" i="380"/>
  <c r="T136" i="380"/>
  <c r="T137" i="380"/>
  <c r="V185" i="380"/>
  <c r="V187" i="380"/>
  <c r="U185" i="380"/>
  <c r="W185" i="380"/>
  <c r="W187" i="380"/>
  <c r="S238" i="380"/>
  <c r="T238" i="380"/>
  <c r="U238" i="380"/>
  <c r="Q147" i="380"/>
  <c r="Q208" i="380"/>
  <c r="Q205" i="380"/>
  <c r="Q141" i="380"/>
  <c r="R7" i="375"/>
  <c r="R17" i="375"/>
  <c r="T116" i="380"/>
  <c r="W19" i="380"/>
  <c r="V26" i="380"/>
  <c r="V25" i="380"/>
  <c r="V78" i="380"/>
  <c r="V11" i="380"/>
  <c r="V12" i="380"/>
  <c r="U235" i="380"/>
  <c r="U221" i="380"/>
  <c r="S140" i="380"/>
  <c r="S143" i="380"/>
  <c r="T130" i="380"/>
  <c r="T128" i="380"/>
  <c r="U128" i="380"/>
  <c r="Q263" i="380"/>
  <c r="Q144" i="380"/>
  <c r="U187" i="380"/>
  <c r="U251" i="380"/>
  <c r="V251" i="380"/>
  <c r="W251" i="380"/>
  <c r="X251" i="380"/>
  <c r="P259" i="380"/>
  <c r="P260" i="380"/>
  <c r="S225" i="380"/>
  <c r="T225" i="380"/>
  <c r="U225" i="380"/>
  <c r="T162" i="380"/>
  <c r="W121" i="380"/>
  <c r="V124" i="380"/>
  <c r="P139" i="380"/>
  <c r="T138" i="380"/>
  <c r="T139" i="380"/>
  <c r="R263" i="380"/>
  <c r="R144" i="380"/>
  <c r="S141" i="380"/>
  <c r="S147" i="380"/>
  <c r="S208" i="380"/>
  <c r="S205" i="380"/>
  <c r="Q211" i="380"/>
  <c r="Q198" i="380"/>
  <c r="Q149" i="380"/>
  <c r="S17" i="375"/>
  <c r="R198" i="380"/>
  <c r="R151" i="380"/>
  <c r="R211" i="380"/>
  <c r="V13" i="380"/>
  <c r="V14" i="380"/>
  <c r="V91" i="380"/>
  <c r="V111" i="380"/>
  <c r="V115" i="380"/>
  <c r="W9" i="380"/>
  <c r="V79" i="380"/>
  <c r="W23" i="380"/>
  <c r="W24" i="380"/>
  <c r="V128" i="380"/>
  <c r="W128" i="380"/>
  <c r="X128" i="380"/>
  <c r="U127" i="380"/>
  <c r="U130" i="380"/>
  <c r="U138" i="380"/>
  <c r="S211" i="380"/>
  <c r="S169" i="380"/>
  <c r="S198" i="380"/>
  <c r="S149" i="380"/>
  <c r="S151" i="380"/>
  <c r="X121" i="380"/>
  <c r="X124" i="380"/>
  <c r="W124" i="380"/>
  <c r="R156" i="380"/>
  <c r="Q156" i="380"/>
  <c r="S263" i="380"/>
  <c r="S144" i="380"/>
  <c r="P141" i="380"/>
  <c r="T140" i="380"/>
  <c r="T143" i="380"/>
  <c r="P208" i="380"/>
  <c r="Q259" i="380"/>
  <c r="Q260" i="380"/>
  <c r="X19" i="380"/>
  <c r="W25" i="380"/>
  <c r="W26" i="380"/>
  <c r="V63" i="380"/>
  <c r="V65" i="380"/>
  <c r="W75" i="380"/>
  <c r="V237" i="380"/>
  <c r="V116" i="380"/>
  <c r="T7" i="375"/>
  <c r="V127" i="380"/>
  <c r="V130" i="380"/>
  <c r="V136" i="380"/>
  <c r="V162" i="380"/>
  <c r="V225" i="380"/>
  <c r="U139" i="380"/>
  <c r="U140" i="380"/>
  <c r="U143" i="380"/>
  <c r="Q190" i="380"/>
  <c r="P144" i="380"/>
  <c r="P263" i="380"/>
  <c r="T147" i="380"/>
  <c r="T208" i="380"/>
  <c r="T141" i="380"/>
  <c r="R259" i="380"/>
  <c r="R260" i="380"/>
  <c r="P205" i="380"/>
  <c r="P209" i="380"/>
  <c r="Q206" i="380"/>
  <c r="Q209" i="380"/>
  <c r="R206" i="380"/>
  <c r="R209" i="380"/>
  <c r="S206" i="380"/>
  <c r="S209" i="380"/>
  <c r="S156" i="380"/>
  <c r="S161" i="380"/>
  <c r="V138" i="380"/>
  <c r="T17" i="375"/>
  <c r="T32" i="375"/>
  <c r="T54" i="375"/>
  <c r="V222" i="380"/>
  <c r="V238" i="380"/>
  <c r="V221" i="380"/>
  <c r="V235" i="380"/>
  <c r="W78" i="380"/>
  <c r="W11" i="380"/>
  <c r="W12" i="380"/>
  <c r="X23" i="380"/>
  <c r="X24" i="380"/>
  <c r="Q195" i="380"/>
  <c r="U147" i="380"/>
  <c r="U208" i="380"/>
  <c r="U205" i="380"/>
  <c r="U141" i="380"/>
  <c r="S259" i="380"/>
  <c r="S260" i="380"/>
  <c r="T220" i="380"/>
  <c r="S170" i="380"/>
  <c r="R190" i="380"/>
  <c r="T236" i="380"/>
  <c r="U236" i="380"/>
  <c r="S239" i="380"/>
  <c r="T239" i="380"/>
  <c r="P211" i="380"/>
  <c r="T263" i="380"/>
  <c r="R9" i="375"/>
  <c r="T144" i="380"/>
  <c r="T205" i="380"/>
  <c r="T211" i="380"/>
  <c r="T209" i="380"/>
  <c r="U206" i="380"/>
  <c r="U209" i="380"/>
  <c r="V206" i="380"/>
  <c r="Q199" i="380"/>
  <c r="Q200" i="380"/>
  <c r="W79" i="380"/>
  <c r="X75" i="380"/>
  <c r="V139" i="380"/>
  <c r="V140" i="380"/>
  <c r="X26" i="380"/>
  <c r="X25" i="380"/>
  <c r="X9" i="380"/>
  <c r="W13" i="380"/>
  <c r="W91" i="380"/>
  <c r="W111" i="380"/>
  <c r="W115" i="380"/>
  <c r="W14" i="380"/>
  <c r="Q196" i="380"/>
  <c r="S9" i="375"/>
  <c r="U144" i="380"/>
  <c r="U263" i="380"/>
  <c r="U169" i="380"/>
  <c r="U211" i="380"/>
  <c r="U149" i="380"/>
  <c r="U151" i="380"/>
  <c r="R18" i="375"/>
  <c r="R21" i="375"/>
  <c r="T259" i="380"/>
  <c r="T260" i="380"/>
  <c r="U220" i="380"/>
  <c r="T169" i="380"/>
  <c r="T198" i="380"/>
  <c r="P198" i="380"/>
  <c r="U239" i="380"/>
  <c r="V236" i="380"/>
  <c r="V239" i="380"/>
  <c r="T149" i="380"/>
  <c r="R195" i="380"/>
  <c r="R196" i="380"/>
  <c r="R199" i="380"/>
  <c r="R200" i="380"/>
  <c r="T170" i="380"/>
  <c r="S171" i="380"/>
  <c r="W63" i="380"/>
  <c r="W65" i="380"/>
  <c r="V143" i="380"/>
  <c r="V147" i="380"/>
  <c r="V208" i="380"/>
  <c r="V209" i="380"/>
  <c r="W206" i="380"/>
  <c r="V141" i="380"/>
  <c r="W116" i="380"/>
  <c r="W237" i="380"/>
  <c r="W136" i="380"/>
  <c r="W162" i="380"/>
  <c r="W225" i="380"/>
  <c r="W127" i="380"/>
  <c r="W130" i="380"/>
  <c r="U7" i="375"/>
  <c r="X78" i="380"/>
  <c r="X11" i="380"/>
  <c r="X12" i="380"/>
  <c r="U198" i="380"/>
  <c r="U243" i="380"/>
  <c r="U154" i="380"/>
  <c r="S11" i="375"/>
  <c r="S23" i="375"/>
  <c r="U161" i="380"/>
  <c r="E18" i="375"/>
  <c r="E20" i="375"/>
  <c r="S21" i="375"/>
  <c r="S18" i="375"/>
  <c r="U259" i="380"/>
  <c r="U260" i="380"/>
  <c r="U170" i="380"/>
  <c r="U171" i="380"/>
  <c r="V220" i="380"/>
  <c r="V259" i="380"/>
  <c r="S190" i="380"/>
  <c r="S194" i="380"/>
  <c r="P156" i="380"/>
  <c r="U156" i="380"/>
  <c r="V156" i="380"/>
  <c r="W156" i="380"/>
  <c r="X156" i="380"/>
  <c r="T151" i="380"/>
  <c r="T154" i="380"/>
  <c r="R11" i="375"/>
  <c r="R23" i="375"/>
  <c r="P154" i="380"/>
  <c r="P168" i="380"/>
  <c r="T168" i="380"/>
  <c r="V205" i="380"/>
  <c r="V169" i="380"/>
  <c r="W138" i="380"/>
  <c r="W139" i="380"/>
  <c r="T9" i="375"/>
  <c r="V263" i="380"/>
  <c r="V144" i="380"/>
  <c r="X14" i="380"/>
  <c r="X13" i="380"/>
  <c r="X91" i="380"/>
  <c r="X111" i="380"/>
  <c r="X115" i="380"/>
  <c r="W235" i="380"/>
  <c r="W238" i="380"/>
  <c r="W222" i="380"/>
  <c r="W236" i="380"/>
  <c r="W221" i="380"/>
  <c r="X79" i="380"/>
  <c r="X63" i="380"/>
  <c r="X65" i="380"/>
  <c r="U32" i="375"/>
  <c r="U41" i="375"/>
  <c r="U17" i="375"/>
  <c r="U54" i="375"/>
  <c r="U63" i="375"/>
  <c r="W220" i="380"/>
  <c r="W259" i="380"/>
  <c r="W260" i="380"/>
  <c r="W170" i="380"/>
  <c r="V211" i="380"/>
  <c r="V260" i="380"/>
  <c r="V170" i="380"/>
  <c r="T161" i="380"/>
  <c r="T171" i="380"/>
  <c r="S254" i="380"/>
  <c r="T254" i="380"/>
  <c r="U254" i="380"/>
  <c r="U190" i="380"/>
  <c r="U194" i="380"/>
  <c r="S199" i="380"/>
  <c r="S200" i="380"/>
  <c r="S195" i="380"/>
  <c r="S196" i="380"/>
  <c r="W140" i="380"/>
  <c r="W147" i="380"/>
  <c r="V149" i="380"/>
  <c r="V151" i="380"/>
  <c r="V161" i="380"/>
  <c r="T18" i="375"/>
  <c r="T56" i="375"/>
  <c r="T22" i="375"/>
  <c r="T34" i="375"/>
  <c r="X127" i="380"/>
  <c r="X130" i="380"/>
  <c r="X237" i="380"/>
  <c r="X116" i="380"/>
  <c r="X238" i="380"/>
  <c r="V7" i="375"/>
  <c r="X136" i="380"/>
  <c r="X162" i="380"/>
  <c r="X225" i="380"/>
  <c r="W239" i="380"/>
  <c r="V198" i="380"/>
  <c r="V243" i="380"/>
  <c r="W141" i="380"/>
  <c r="V154" i="380"/>
  <c r="T11" i="375"/>
  <c r="T36" i="375"/>
  <c r="W143" i="380"/>
  <c r="W144" i="380"/>
  <c r="U196" i="380"/>
  <c r="U199" i="380"/>
  <c r="S13" i="375"/>
  <c r="U195" i="380"/>
  <c r="P190" i="380"/>
  <c r="T194" i="380"/>
  <c r="T190" i="380"/>
  <c r="T191" i="380"/>
  <c r="U189" i="380"/>
  <c r="U191" i="380"/>
  <c r="T42" i="375"/>
  <c r="T46" i="375"/>
  <c r="X235" i="380"/>
  <c r="W208" i="380"/>
  <c r="W148" i="380"/>
  <c r="V171" i="380"/>
  <c r="V254" i="380"/>
  <c r="X236" i="380"/>
  <c r="X138" i="380"/>
  <c r="X221" i="380"/>
  <c r="X220" i="380"/>
  <c r="X222" i="380"/>
  <c r="T19" i="375"/>
  <c r="V54" i="375"/>
  <c r="V63" i="375"/>
  <c r="V32" i="375"/>
  <c r="V41" i="375"/>
  <c r="V17" i="375"/>
  <c r="T24" i="375"/>
  <c r="W263" i="380"/>
  <c r="U9" i="375"/>
  <c r="U34" i="375"/>
  <c r="T199" i="380"/>
  <c r="R13" i="375"/>
  <c r="T196" i="380"/>
  <c r="T195" i="380"/>
  <c r="Q189" i="380"/>
  <c r="Q191" i="380"/>
  <c r="E34" i="375"/>
  <c r="E36" i="375"/>
  <c r="S25" i="375"/>
  <c r="S24" i="375"/>
  <c r="P196" i="380"/>
  <c r="P195" i="380"/>
  <c r="P199" i="380"/>
  <c r="P200" i="380"/>
  <c r="S15" i="375"/>
  <c r="E47" i="375"/>
  <c r="E49" i="375"/>
  <c r="U200" i="380"/>
  <c r="S27" i="375"/>
  <c r="U219" i="380"/>
  <c r="V189" i="380"/>
  <c r="X259" i="380"/>
  <c r="X260" i="380"/>
  <c r="X170" i="380"/>
  <c r="T47" i="375"/>
  <c r="X239" i="380"/>
  <c r="X139" i="380"/>
  <c r="X140" i="380"/>
  <c r="W205" i="380"/>
  <c r="W209" i="380"/>
  <c r="X206" i="380"/>
  <c r="U56" i="375"/>
  <c r="V194" i="380"/>
  <c r="V190" i="380"/>
  <c r="U18" i="375"/>
  <c r="U22" i="375"/>
  <c r="V191" i="380"/>
  <c r="W189" i="380"/>
  <c r="R19" i="375"/>
  <c r="R25" i="375"/>
  <c r="R24" i="375"/>
  <c r="U223" i="380"/>
  <c r="U262" i="380"/>
  <c r="R189" i="380"/>
  <c r="R191" i="380"/>
  <c r="R15" i="375"/>
  <c r="T200" i="380"/>
  <c r="R27" i="375"/>
  <c r="S19" i="375"/>
  <c r="P262" i="380"/>
  <c r="P264" i="380"/>
  <c r="W211" i="380"/>
  <c r="W149" i="380"/>
  <c r="W151" i="380"/>
  <c r="W169" i="380"/>
  <c r="X141" i="380"/>
  <c r="X147" i="380"/>
  <c r="X143" i="380"/>
  <c r="U42" i="375"/>
  <c r="U46" i="375"/>
  <c r="V195" i="380"/>
  <c r="V196" i="380"/>
  <c r="V199" i="380"/>
  <c r="V200" i="380"/>
  <c r="T13" i="375"/>
  <c r="V219" i="380"/>
  <c r="V223" i="380"/>
  <c r="S28" i="375"/>
  <c r="U264" i="380"/>
  <c r="Q262" i="380"/>
  <c r="Q264" i="380"/>
  <c r="S189" i="380"/>
  <c r="S191" i="380"/>
  <c r="S219" i="380"/>
  <c r="P212" i="380"/>
  <c r="P213" i="380"/>
  <c r="S212" i="380"/>
  <c r="S213" i="380"/>
  <c r="R212" i="380"/>
  <c r="R213" i="380"/>
  <c r="Q212" i="380"/>
  <c r="Q213" i="380"/>
  <c r="W198" i="380"/>
  <c r="W243" i="380"/>
  <c r="W154" i="380"/>
  <c r="U11" i="375"/>
  <c r="W161" i="380"/>
  <c r="X148" i="380"/>
  <c r="X208" i="380"/>
  <c r="V212" i="380"/>
  <c r="V213" i="380"/>
  <c r="T212" i="380"/>
  <c r="T213" i="380"/>
  <c r="U212" i="380"/>
  <c r="O212" i="380"/>
  <c r="T25" i="375"/>
  <c r="T60" i="375"/>
  <c r="T20" i="375"/>
  <c r="T26" i="375"/>
  <c r="X144" i="380"/>
  <c r="X263" i="380"/>
  <c r="V9" i="375"/>
  <c r="V262" i="380"/>
  <c r="T27" i="375"/>
  <c r="T219" i="380"/>
  <c r="T262" i="380"/>
  <c r="S262" i="380"/>
  <c r="S264" i="380"/>
  <c r="S223" i="380"/>
  <c r="T223" i="380"/>
  <c r="E21" i="375"/>
  <c r="E24" i="375"/>
  <c r="E26" i="375"/>
  <c r="E27" i="375"/>
  <c r="S29" i="375"/>
  <c r="R262" i="380"/>
  <c r="R264" i="380"/>
  <c r="U24" i="375"/>
  <c r="U19" i="375"/>
  <c r="U36" i="375"/>
  <c r="X205" i="380"/>
  <c r="X209" i="380"/>
  <c r="G14" i="375"/>
  <c r="G15" i="375"/>
  <c r="O213" i="380"/>
  <c r="G8" i="375"/>
  <c r="V22" i="375"/>
  <c r="V18" i="375"/>
  <c r="V34" i="375"/>
  <c r="V56" i="375"/>
  <c r="U213" i="380"/>
  <c r="E22" i="375"/>
  <c r="W171" i="380"/>
  <c r="W254" i="380"/>
  <c r="V264" i="380"/>
  <c r="T264" i="380"/>
  <c r="R28" i="375"/>
  <c r="R29" i="375"/>
  <c r="P26" i="375"/>
  <c r="P50" i="375"/>
  <c r="P74" i="375"/>
  <c r="Q26" i="375"/>
  <c r="S26" i="375"/>
  <c r="R26" i="375"/>
  <c r="U43" i="375"/>
  <c r="U47" i="375"/>
  <c r="V42" i="375"/>
  <c r="V46" i="375"/>
  <c r="X149" i="380"/>
  <c r="X151" i="380"/>
  <c r="X169" i="380"/>
  <c r="W194" i="380"/>
  <c r="W190" i="380"/>
  <c r="W191" i="380"/>
  <c r="R22" i="375"/>
  <c r="S22" i="375"/>
  <c r="Q22" i="375"/>
  <c r="E37" i="375"/>
  <c r="F22" i="375"/>
  <c r="G22" i="375"/>
  <c r="T50" i="375"/>
  <c r="T28" i="375"/>
  <c r="T51" i="375"/>
  <c r="E50" i="375"/>
  <c r="E52" i="375"/>
  <c r="F37" i="375"/>
  <c r="E39" i="375"/>
  <c r="X198" i="380"/>
  <c r="X243" i="380"/>
  <c r="X189" i="380"/>
  <c r="W219" i="380"/>
  <c r="W199" i="380"/>
  <c r="W200" i="380"/>
  <c r="W196" i="380"/>
  <c r="W195" i="380"/>
  <c r="U13" i="375"/>
  <c r="X161" i="380"/>
  <c r="X154" i="380"/>
  <c r="V11" i="375"/>
  <c r="X171" i="380"/>
  <c r="X254" i="380"/>
  <c r="U60" i="375"/>
  <c r="U26" i="375"/>
  <c r="U20" i="375"/>
  <c r="U25" i="375"/>
  <c r="W223" i="380"/>
  <c r="W262" i="380"/>
  <c r="E40" i="375"/>
  <c r="G37" i="375"/>
  <c r="G50" i="375"/>
  <c r="F50" i="375"/>
  <c r="V24" i="375"/>
  <c r="V36" i="375"/>
  <c r="V19" i="375"/>
  <c r="E53" i="375"/>
  <c r="V43" i="375"/>
  <c r="V47" i="375"/>
  <c r="W264" i="380"/>
  <c r="U27" i="375"/>
  <c r="X194" i="380"/>
  <c r="X190" i="380"/>
  <c r="X191" i="380"/>
  <c r="X219" i="380"/>
  <c r="X262" i="380"/>
  <c r="X223" i="380"/>
  <c r="X199" i="380"/>
  <c r="X200" i="380"/>
  <c r="X196" i="380"/>
  <c r="V13" i="375"/>
  <c r="X195" i="380"/>
  <c r="U50" i="375"/>
  <c r="U28" i="375"/>
  <c r="U51" i="375"/>
  <c r="V25" i="375"/>
  <c r="V60" i="375"/>
  <c r="V20" i="375"/>
  <c r="V26" i="375"/>
  <c r="X264" i="380"/>
  <c r="V27" i="375"/>
  <c r="V50" i="375"/>
  <c r="V28" i="375"/>
  <c r="V51" i="375"/>
  <c r="M18" i="375"/>
  <c r="N18" i="375"/>
  <c r="O18" i="375"/>
  <c r="P18" i="375"/>
  <c r="N19" i="375"/>
  <c r="O19" i="375"/>
  <c r="P19" i="375"/>
  <c r="Q19" i="375"/>
  <c r="P21" i="375"/>
  <c r="P22" i="375"/>
  <c r="P23" i="375"/>
  <c r="P25" i="375"/>
  <c r="P24" i="375"/>
  <c r="P29" i="375"/>
  <c r="P256" i="380"/>
  <c r="P257" i="380"/>
  <c r="Q256" i="380"/>
  <c r="Q257" i="380"/>
  <c r="R256" i="380"/>
  <c r="R257" i="380"/>
  <c r="T244" i="380"/>
  <c r="S245" i="380"/>
  <c r="T245" i="380"/>
  <c r="T256" i="380"/>
  <c r="S256" i="380"/>
  <c r="S232" i="380"/>
  <c r="T232" i="380"/>
  <c r="S233" i="380"/>
  <c r="T233" i="380"/>
  <c r="T257" i="380"/>
  <c r="S257" i="380"/>
  <c r="U30" i="380"/>
  <c r="V30" i="380"/>
  <c r="W30" i="380"/>
  <c r="X30" i="380"/>
  <c r="T33" i="380"/>
  <c r="U33" i="380"/>
  <c r="V33" i="380"/>
  <c r="W33" i="380"/>
  <c r="X33" i="380"/>
  <c r="T34" i="380"/>
  <c r="U34" i="380"/>
  <c r="V34" i="380"/>
  <c r="W34" i="380"/>
  <c r="X34" i="380"/>
  <c r="T36" i="380"/>
  <c r="U36" i="380"/>
  <c r="V36" i="380"/>
  <c r="W36" i="380"/>
  <c r="X36" i="380"/>
  <c r="T37" i="380"/>
  <c r="U37" i="380"/>
  <c r="V37" i="380"/>
  <c r="W37" i="380"/>
  <c r="X37" i="380"/>
  <c r="U232" i="380"/>
  <c r="V232" i="380"/>
  <c r="W232" i="380"/>
  <c r="X232" i="380"/>
  <c r="U233" i="380"/>
  <c r="V233" i="380"/>
  <c r="W233" i="380"/>
  <c r="X233" i="380"/>
  <c r="U244" i="380"/>
  <c r="V244" i="380"/>
  <c r="W244" i="380"/>
  <c r="X244" i="380"/>
  <c r="U245" i="380"/>
  <c r="V245" i="380"/>
  <c r="W245" i="380"/>
  <c r="X245" i="380"/>
  <c r="U256" i="380"/>
  <c r="V256" i="380"/>
  <c r="W256" i="380"/>
  <c r="X256" i="380"/>
  <c r="U257" i="380"/>
  <c r="V257" i="380"/>
  <c r="W257" i="380"/>
  <c r="X257" i="380"/>
  <c r="F18" i="375"/>
  <c r="G18" i="375"/>
  <c r="F20" i="375"/>
  <c r="G20" i="375"/>
  <c r="F21" i="375"/>
  <c r="G21" i="375"/>
  <c r="F24" i="375"/>
  <c r="G24" i="375"/>
  <c r="F26" i="375"/>
  <c r="G26" i="375"/>
  <c r="F27" i="375"/>
  <c r="G27" i="375"/>
  <c r="G30" i="375"/>
  <c r="G31" i="375"/>
  <c r="Q32" i="375"/>
  <c r="R32" i="375"/>
  <c r="S32" i="375"/>
  <c r="F34" i="375"/>
  <c r="G34" i="375"/>
  <c r="Q34" i="375"/>
  <c r="R34" i="375"/>
  <c r="S34" i="375"/>
  <c r="F36" i="375"/>
  <c r="G36" i="375"/>
  <c r="Q36" i="375"/>
  <c r="R36" i="375"/>
  <c r="S36" i="375"/>
  <c r="Q38" i="375"/>
  <c r="R38" i="375"/>
  <c r="S38" i="375"/>
  <c r="F39" i="375"/>
  <c r="G39" i="375"/>
  <c r="F40" i="375"/>
  <c r="G40" i="375"/>
  <c r="Q40" i="375"/>
  <c r="R40" i="375"/>
  <c r="S40" i="375"/>
  <c r="T41" i="375"/>
  <c r="Q42" i="375"/>
  <c r="R42" i="375"/>
  <c r="S42" i="375"/>
  <c r="G43" i="375"/>
  <c r="Q43" i="375"/>
  <c r="R43" i="375"/>
  <c r="S43" i="375"/>
  <c r="T43" i="375"/>
  <c r="G44" i="375"/>
  <c r="Q44" i="375"/>
  <c r="R44" i="375"/>
  <c r="S44" i="375"/>
  <c r="T44" i="375"/>
  <c r="Q46" i="375"/>
  <c r="R46" i="375"/>
  <c r="S46" i="375"/>
  <c r="F47" i="375"/>
  <c r="G47" i="375"/>
  <c r="Q47" i="375"/>
  <c r="R47" i="375"/>
  <c r="S47" i="375"/>
  <c r="Q48" i="375"/>
  <c r="R48" i="375"/>
  <c r="S48" i="375"/>
  <c r="F49" i="375"/>
  <c r="G49" i="375"/>
  <c r="Q49" i="375"/>
  <c r="R49" i="375"/>
  <c r="S49" i="375"/>
  <c r="Q50" i="375"/>
  <c r="R50" i="375"/>
  <c r="S50" i="375"/>
  <c r="Q51" i="375"/>
  <c r="R51" i="375"/>
  <c r="S51" i="375"/>
  <c r="F52" i="375"/>
  <c r="G52" i="375"/>
  <c r="Q52" i="375"/>
  <c r="R52" i="375"/>
  <c r="S52" i="375"/>
  <c r="F53" i="375"/>
  <c r="G53" i="375"/>
  <c r="Q53" i="375"/>
  <c r="R53" i="375"/>
  <c r="S53" i="375"/>
  <c r="G56" i="375"/>
  <c r="Q56" i="375"/>
  <c r="R56" i="375"/>
  <c r="S56" i="375"/>
  <c r="G57" i="375"/>
  <c r="Q58" i="375"/>
  <c r="R58" i="375"/>
  <c r="S58" i="375"/>
  <c r="Q60" i="375"/>
  <c r="R60" i="375"/>
  <c r="S60" i="375"/>
  <c r="Q61" i="375"/>
  <c r="R61" i="375"/>
  <c r="S61" i="375"/>
  <c r="Q62" i="375"/>
  <c r="R62" i="375"/>
  <c r="S62" i="375"/>
  <c r="Q63" i="375"/>
  <c r="R63" i="375"/>
  <c r="S63" i="375"/>
  <c r="T63" i="375"/>
  <c r="Q64" i="375"/>
  <c r="R64" i="375"/>
  <c r="S64" i="375"/>
  <c r="Q66" i="375"/>
  <c r="R66" i="375"/>
  <c r="S66" i="375"/>
  <c r="Q73" i="375"/>
  <c r="R73" i="375"/>
  <c r="S73" i="375"/>
  <c r="Q74" i="375"/>
  <c r="R74" i="375"/>
  <c r="S74" i="375"/>
  <c r="Q75" i="375"/>
  <c r="R75" i="375"/>
  <c r="S75" i="375"/>
  <c r="Q76" i="375"/>
  <c r="R76" i="375"/>
  <c r="S76" i="375"/>
  <c r="Q77" i="375"/>
  <c r="R77" i="375"/>
  <c r="S77" i="375"/>
</calcChain>
</file>

<file path=xl/sharedStrings.xml><?xml version="1.0" encoding="utf-8"?>
<sst xmlns="http://schemas.openxmlformats.org/spreadsheetml/2006/main" count="564" uniqueCount="391">
  <si>
    <t>Gross Additions</t>
  </si>
  <si>
    <t>Total Current Assets</t>
  </si>
  <si>
    <t xml:space="preserve">  Sales and Marketing</t>
  </si>
  <si>
    <t>3Q14A</t>
  </si>
  <si>
    <t>Pre-Tax Income</t>
  </si>
  <si>
    <t>Accrued Interest &amp; other current liabilities</t>
  </si>
  <si>
    <t>Other Current Assets</t>
  </si>
  <si>
    <t xml:space="preserve"> Amortization</t>
  </si>
  <si>
    <t>ARPU</t>
  </si>
  <si>
    <t xml:space="preserve"> Issue of Long-Term Debt</t>
  </si>
  <si>
    <t xml:space="preserve"> Net Income </t>
  </si>
  <si>
    <t>BOP NOLs</t>
  </si>
  <si>
    <t>Expiring NOLs</t>
  </si>
  <si>
    <t>Reported Pre-Tax Income</t>
  </si>
  <si>
    <t>EOP NOLs</t>
  </si>
  <si>
    <t>Tax Savings</t>
  </si>
  <si>
    <t xml:space="preserve">  Programming &amp; Content</t>
  </si>
  <si>
    <t>Net Income</t>
  </si>
  <si>
    <t>EBITDA</t>
  </si>
  <si>
    <t>Intangible Assets</t>
  </si>
  <si>
    <t xml:space="preserve">  Revenue Share &amp; Royalties</t>
  </si>
  <si>
    <t xml:space="preserve">   % of revenues</t>
  </si>
  <si>
    <t xml:space="preserve"> Share Repurchase</t>
  </si>
  <si>
    <t>Retained Earnings (Deficit)</t>
  </si>
  <si>
    <t>Interest Expense</t>
  </si>
  <si>
    <t>Cash</t>
  </si>
  <si>
    <t>Treasury Stock</t>
  </si>
  <si>
    <t xml:space="preserve"> Net maturity (purchase) of ST &amp; Restricted Investments</t>
  </si>
  <si>
    <t>Revenue</t>
  </si>
  <si>
    <t xml:space="preserve"> Change in Working Capital Requirements</t>
  </si>
  <si>
    <t>OEM Gross Adds</t>
  </si>
  <si>
    <t>Accumulated Other Comprehensive Income</t>
  </si>
  <si>
    <t>Unpaid Promo Conversions</t>
  </si>
  <si>
    <t>check</t>
  </si>
  <si>
    <t xml:space="preserve"> Dividends Paid</t>
  </si>
  <si>
    <t xml:space="preserve">  Satellite &amp; Transmission</t>
  </si>
  <si>
    <t>Total Assets</t>
  </si>
  <si>
    <t>Deferred revenue</t>
  </si>
  <si>
    <t>Deactivations</t>
  </si>
  <si>
    <t>EOP Cash Balance</t>
  </si>
  <si>
    <t>Accounts Receivable</t>
  </si>
  <si>
    <t>Unpaid promo cars sold with radios</t>
  </si>
  <si>
    <t>Average OEM Subscribers</t>
  </si>
  <si>
    <t>Unpaid Promo OEM Conversions to Pay</t>
  </si>
  <si>
    <t>EV</t>
  </si>
  <si>
    <t>Restricted Investments</t>
  </si>
  <si>
    <t>Self-Pay Gross Adds</t>
  </si>
  <si>
    <t>In-Vehicle Penetration</t>
  </si>
  <si>
    <t>OEM Unpaid "Gross Adds"</t>
  </si>
  <si>
    <t>OEM Rolling Off Unpaid Promo</t>
  </si>
  <si>
    <t>Used Rolling Off Unpaid Promo</t>
  </si>
  <si>
    <t>Used Unpaid Promo Converts</t>
  </si>
  <si>
    <t>Unsolicited Reconnects</t>
  </si>
  <si>
    <t xml:space="preserve"> Non-cash Interest Expense</t>
  </si>
  <si>
    <t>Long-term Debt</t>
  </si>
  <si>
    <t>Self-Pay Disconnects</t>
  </si>
  <si>
    <t>G&amp;A</t>
  </si>
  <si>
    <t>Reported Fully Diluted EPS</t>
  </si>
  <si>
    <t>Model</t>
  </si>
  <si>
    <t>Additional Paid-In-Capital</t>
  </si>
  <si>
    <t>Used+Unsolicited Gross Adds</t>
  </si>
  <si>
    <t>New OEM Conversion Rate</t>
  </si>
  <si>
    <t>Beginning Unpaid Trials</t>
  </si>
  <si>
    <t>Ending Unpaid Promo Trials</t>
  </si>
  <si>
    <t>2011A</t>
  </si>
  <si>
    <t>2018E</t>
  </si>
  <si>
    <t>Base</t>
  </si>
  <si>
    <t>SIRI</t>
  </si>
  <si>
    <t>Deferred Compensation</t>
  </si>
  <si>
    <t>Total Marketing &amp; SAC</t>
  </si>
  <si>
    <t>Cost of Revenue</t>
  </si>
  <si>
    <t>2016E</t>
  </si>
  <si>
    <t>Equipment</t>
  </si>
  <si>
    <t>BOP Cash Balance</t>
  </si>
  <si>
    <t>Net Increase (Decrease) in Cash</t>
  </si>
  <si>
    <t>2013A</t>
  </si>
  <si>
    <t xml:space="preserve"> Paydown of Existing Debt</t>
  </si>
  <si>
    <t>2012A</t>
  </si>
  <si>
    <t>Deferred Financing Fees</t>
  </si>
  <si>
    <t xml:space="preserve"> Deferred Income Tax</t>
  </si>
  <si>
    <t>Bull</t>
  </si>
  <si>
    <t xml:space="preserve"> Equity Granted to Third Parties &amp; Employees</t>
  </si>
  <si>
    <t>Goodwill</t>
  </si>
  <si>
    <t>Tax Rate</t>
  </si>
  <si>
    <t>Total Cost of Revenue</t>
  </si>
  <si>
    <t>DARS License</t>
  </si>
  <si>
    <t>Per Gross Addition (CPGA, incl. rev share)</t>
  </si>
  <si>
    <t>2017E</t>
  </si>
  <si>
    <t>Cash &amp; Equivalents</t>
  </si>
  <si>
    <t>Other</t>
  </si>
  <si>
    <t>Reclass from self-pay</t>
  </si>
  <si>
    <t xml:space="preserve"> Change in Debt</t>
  </si>
  <si>
    <t>Total Revenues</t>
  </si>
  <si>
    <t>Adjusted Fully Diluted EPS</t>
  </si>
  <si>
    <t xml:space="preserve"> Proceeds From Exercise of Stock Options &amp; Warrants</t>
  </si>
  <si>
    <t>Deferred Tax Assets</t>
  </si>
  <si>
    <t>Retail Gross Adds</t>
  </si>
  <si>
    <t>Paid promo OEM penetration rate</t>
  </si>
  <si>
    <t>Unpaid promo OEM penetration rate</t>
  </si>
  <si>
    <t xml:space="preserve"> Gain (Cost) Associated with Debt Restructuring</t>
  </si>
  <si>
    <t>2Q14A</t>
  </si>
  <si>
    <t xml:space="preserve">  Customer Care &amp; Billing</t>
  </si>
  <si>
    <t xml:space="preserve">  Cost of equipment</t>
  </si>
  <si>
    <t>Converts to Self-Pay</t>
  </si>
  <si>
    <t>Non-converts</t>
  </si>
  <si>
    <t>Paid Promo Additions</t>
  </si>
  <si>
    <t>Short-term debt</t>
  </si>
  <si>
    <t>Total Liabilities &amp; Equity</t>
  </si>
  <si>
    <t>Net Debt</t>
  </si>
  <si>
    <t xml:space="preserve"> Proceeds From Issuance of Common Stock</t>
  </si>
  <si>
    <t>Prepaid expenses</t>
  </si>
  <si>
    <t>Used "Gross Adds"</t>
  </si>
  <si>
    <t>Deferred tax liabilities</t>
  </si>
  <si>
    <t xml:space="preserve"> Costs associated with Debt Restructuring &amp; Other</t>
  </si>
  <si>
    <t>Advertising, Net of Commissions</t>
  </si>
  <si>
    <t>Accounts payable &amp; accrued liabilities</t>
  </si>
  <si>
    <t>Total Current Liabilities</t>
  </si>
  <si>
    <t>Unsolicited Reconnect Gross Adds</t>
  </si>
  <si>
    <t>% Change</t>
  </si>
  <si>
    <t>% Turnover of Vehicles</t>
  </si>
  <si>
    <t>FCF Yield</t>
  </si>
  <si>
    <t>1Q14A</t>
  </si>
  <si>
    <t>Average Used Subscribers</t>
  </si>
  <si>
    <t>Used Monthly Churn</t>
  </si>
  <si>
    <t>2019E</t>
  </si>
  <si>
    <t>2020E</t>
  </si>
  <si>
    <t>2015E</t>
  </si>
  <si>
    <t>Preferred Equity</t>
  </si>
  <si>
    <t>Common Equity</t>
  </si>
  <si>
    <t xml:space="preserve">  Subscriber Acquisition Costs</t>
  </si>
  <si>
    <t>Net PP&amp;E</t>
  </si>
  <si>
    <t>Price</t>
  </si>
  <si>
    <t xml:space="preserve"> Proceeds From Issuance of Preferred Stock</t>
  </si>
  <si>
    <t>Beginning Subs</t>
  </si>
  <si>
    <t>Net Adds</t>
  </si>
  <si>
    <t>Ending Subs</t>
  </si>
  <si>
    <t>4Q14A</t>
  </si>
  <si>
    <t>2014A</t>
  </si>
  <si>
    <t xml:space="preserve"> Acquisitions / Other</t>
  </si>
  <si>
    <t>1Q15A</t>
  </si>
  <si>
    <t>Dashboard Summary</t>
  </si>
  <si>
    <t>$M, unless otherwise stated</t>
  </si>
  <si>
    <t>TRADING STATISTICS</t>
  </si>
  <si>
    <t>BASE CASE FINANCIALS / METRICS</t>
  </si>
  <si>
    <t>Share price ($)</t>
  </si>
  <si>
    <t>Shares outstanding (M)</t>
  </si>
  <si>
    <t>Consensus</t>
  </si>
  <si>
    <t>Market cap</t>
  </si>
  <si>
    <t>Net debt</t>
  </si>
  <si>
    <t>Minority interest</t>
  </si>
  <si>
    <t>EPS ($)</t>
  </si>
  <si>
    <t>Enterprise value</t>
  </si>
  <si>
    <t>Upside</t>
  </si>
  <si>
    <t>Downside</t>
  </si>
  <si>
    <t>FCF ($)</t>
  </si>
  <si>
    <t>EV/EBITDA</t>
  </si>
  <si>
    <t>Revenue growth</t>
  </si>
  <si>
    <t>EBITDA margin</t>
  </si>
  <si>
    <t>FCF growth</t>
  </si>
  <si>
    <t>P/EPS</t>
  </si>
  <si>
    <t>Premium/(Discount)</t>
  </si>
  <si>
    <t>FCF yield</t>
  </si>
  <si>
    <t>Probability</t>
  </si>
  <si>
    <t>FCF/share ($)</t>
  </si>
  <si>
    <t>Weighted average price ($)</t>
  </si>
  <si>
    <t>Net debt / EBITDA</t>
  </si>
  <si>
    <t>UPSIDE CASE FINANCIALS / METRICS</t>
  </si>
  <si>
    <t>TSO (M)</t>
  </si>
  <si>
    <t>DOWNSIDE CASE FINANCIALS / METRICS</t>
  </si>
  <si>
    <t>Adj. EBITDA</t>
  </si>
  <si>
    <t>FCF 2017</t>
  </si>
  <si>
    <t>Equity Value</t>
  </si>
  <si>
    <t>Shares Outstanding</t>
  </si>
  <si>
    <t>LMCA</t>
  </si>
  <si>
    <t>Base Case</t>
  </si>
  <si>
    <t>$m Unless Noted</t>
  </si>
  <si>
    <t>Shares</t>
  </si>
  <si>
    <t>Time Warner</t>
  </si>
  <si>
    <t>Time Inc.</t>
  </si>
  <si>
    <t>Live Nation</t>
  </si>
  <si>
    <t>Net Asset Value</t>
  </si>
  <si>
    <t>Total: Public Assets</t>
  </si>
  <si>
    <t>Total: Private Assets</t>
  </si>
  <si>
    <t xml:space="preserve">Implied Price </t>
  </si>
  <si>
    <t>Implied price</t>
  </si>
  <si>
    <t>FCF/Share</t>
  </si>
  <si>
    <t>2Q15A</t>
  </si>
  <si>
    <t>Self-Pay Monthly Churn</t>
  </si>
  <si>
    <t>Self-Pay Subs</t>
  </si>
  <si>
    <t>Used OEM Conversion Rate</t>
  </si>
  <si>
    <t>Customer Economics</t>
  </si>
  <si>
    <t>Annualized ARPU</t>
  </si>
  <si>
    <t>Fixed Costs</t>
  </si>
  <si>
    <t>Revenues</t>
  </si>
  <si>
    <t>Subscriber Revenues</t>
  </si>
  <si>
    <t>REV SHARE?</t>
  </si>
  <si>
    <t>Total Operating Expenses</t>
  </si>
  <si>
    <t>D&amp;A</t>
  </si>
  <si>
    <t>Operating Income</t>
  </si>
  <si>
    <t>Current Taxes</t>
  </si>
  <si>
    <t>Deferred Taxes</t>
  </si>
  <si>
    <t>Royalty Rate</t>
  </si>
  <si>
    <t>fixed</t>
  </si>
  <si>
    <t>Engineering/R&amp;D</t>
  </si>
  <si>
    <t>70% of this?</t>
  </si>
  <si>
    <t>Adjusted EBITDA</t>
  </si>
  <si>
    <t>Customer Service + Billing per Subscriber</t>
  </si>
  <si>
    <t>SAC per Installation</t>
  </si>
  <si>
    <t>CFO</t>
  </si>
  <si>
    <t>CFI</t>
  </si>
  <si>
    <t>CFF</t>
  </si>
  <si>
    <t>Daily Weighted Average Subs</t>
  </si>
  <si>
    <t>1. Segment Revenue Build</t>
  </si>
  <si>
    <t>2. Consolidated Income Statement</t>
  </si>
  <si>
    <t>SOTP/NAV Analysis</t>
  </si>
  <si>
    <t>Margin %</t>
  </si>
  <si>
    <t>Less:  Extraordinary Items</t>
  </si>
  <si>
    <t>EBITDA/FCF Conversion</t>
  </si>
  <si>
    <t>U.S. Auto Sales</t>
  </si>
  <si>
    <t>Used Conversion Rate</t>
  </si>
  <si>
    <t>1. Base</t>
  </si>
  <si>
    <t>2. Bull</t>
  </si>
  <si>
    <t>3. Bear</t>
  </si>
  <si>
    <t>Churn</t>
  </si>
  <si>
    <t>SAC</t>
  </si>
  <si>
    <t>Share Count</t>
  </si>
  <si>
    <t>x</t>
  </si>
  <si>
    <t>3. Cash Flow Statement</t>
  </si>
  <si>
    <t>4. Balance Sheet</t>
  </si>
  <si>
    <t>% of Revenues</t>
  </si>
  <si>
    <t>% Margin</t>
  </si>
  <si>
    <t>Fully Diluted Shares Out</t>
  </si>
  <si>
    <t>Customer Care &amp; Billing per Customer</t>
  </si>
  <si>
    <t>mix</t>
  </si>
  <si>
    <t>Total U.S. Auto Sales (000)</t>
  </si>
  <si>
    <t>Drivers + Unit Economics</t>
  </si>
  <si>
    <t>Total Liabilities</t>
  </si>
  <si>
    <t>Shareholder's Equity</t>
  </si>
  <si>
    <t>Net Debt / EBITDA</t>
  </si>
  <si>
    <t>NOL Analysis</t>
  </si>
  <si>
    <t>Taxes from Tax Rate</t>
  </si>
  <si>
    <t xml:space="preserve"> Capital Expenditures</t>
  </si>
  <si>
    <t>Auto/Vehicle Drivers</t>
  </si>
  <si>
    <t>Operating Expenses</t>
  </si>
  <si>
    <t>SIRI: Used Car Conversion</t>
  </si>
  <si>
    <t>EPS</t>
  </si>
  <si>
    <t>FCF</t>
  </si>
  <si>
    <t>% difference</t>
  </si>
  <si>
    <t>Cost of Revenue / User</t>
  </si>
  <si>
    <t>2014 ARPU: $12.50</t>
  </si>
  <si>
    <t>Capex / User</t>
  </si>
  <si>
    <t>Subscriber Acquisition Cost** (2014)</t>
  </si>
  <si>
    <t>Normalized Capex: $150m</t>
  </si>
  <si>
    <t>FCF / User</t>
  </si>
  <si>
    <t>Annualized ARPU (grows 2% y/y)</t>
  </si>
  <si>
    <t>Royalties/User</t>
  </si>
  <si>
    <t>Other Fixed Overhead</t>
  </si>
  <si>
    <t>2014 Revenues: 4,188m</t>
  </si>
  <si>
    <t>2014 Gross Adds: 10,080m</t>
  </si>
  <si>
    <t>2014 Self-Pay Subscribers: 22,522m</t>
  </si>
  <si>
    <t>Cumulative:</t>
  </si>
  <si>
    <t>Discounted (10%)</t>
  </si>
  <si>
    <t>OEM Subscribers</t>
  </si>
  <si>
    <t>Used Subscribers</t>
  </si>
  <si>
    <t>FY2020 Subs (m)</t>
  </si>
  <si>
    <t>Method 1:</t>
  </si>
  <si>
    <t>Current EV:</t>
  </si>
  <si>
    <t>Method 2:</t>
  </si>
  <si>
    <t>Gross Margin %</t>
  </si>
  <si>
    <t>Discount Rate</t>
  </si>
  <si>
    <t>LTV</t>
  </si>
  <si>
    <t>2020 LTV</t>
  </si>
  <si>
    <t>Difference:</t>
  </si>
  <si>
    <t>"LTV" EV:</t>
  </si>
  <si>
    <t>Implied EV Growth Rate</t>
  </si>
  <si>
    <t>Enterprise Value (growing at 5%)</t>
  </si>
  <si>
    <t>2020 EV</t>
  </si>
  <si>
    <t>Difference</t>
  </si>
  <si>
    <t>Unpaid Promo Partners</t>
  </si>
  <si>
    <t>Paid Promo Partners (48% in FY14)</t>
  </si>
  <si>
    <t>Estimated Turnover of Vehicles with Radios</t>
  </si>
  <si>
    <t>Sirius XM Installed Base</t>
  </si>
  <si>
    <t>Used Car Sales</t>
  </si>
  <si>
    <t>% of Cars With Promos</t>
  </si>
  <si>
    <t>y/y change %</t>
  </si>
  <si>
    <t>Paid promo cars sold with radios</t>
  </si>
  <si>
    <t>Summary</t>
  </si>
  <si>
    <t>Total Subs - Beginning</t>
  </si>
  <si>
    <t>Total Adds</t>
  </si>
  <si>
    <t>Total Disconnects</t>
  </si>
  <si>
    <t>Total Subs - Ending</t>
  </si>
  <si>
    <t>Reclass to Paid Promo</t>
  </si>
  <si>
    <t>Starting: Self-Pay Subs</t>
  </si>
  <si>
    <t>Ending: Self-Pay Subs</t>
  </si>
  <si>
    <t>Paid Promo Disconnects (non-converts)</t>
  </si>
  <si>
    <t>Subs Rolling Off Paid Promo</t>
  </si>
  <si>
    <t>Non-Converts</t>
  </si>
  <si>
    <t>Self-Pay Churned</t>
  </si>
  <si>
    <t>Self-Pay Monthly Churn %</t>
  </si>
  <si>
    <t>Self Pay Subs</t>
  </si>
  <si>
    <t>Conversions to Self-Pay (Paid Promo Converts)</t>
  </si>
  <si>
    <t>Growth y/y %</t>
  </si>
  <si>
    <t>Starting: OEM Subs</t>
  </si>
  <si>
    <t>Starting: Used Subs</t>
  </si>
  <si>
    <t>Ending: OEM Subs</t>
  </si>
  <si>
    <t>Ending: Used Subs</t>
  </si>
  <si>
    <t>Unpaid Promo (OEM + USED)</t>
  </si>
  <si>
    <t>Self-Pay vs. Promo</t>
  </si>
  <si>
    <t>Self-Pay Subscriber Walk:</t>
  </si>
  <si>
    <t>Promo Subscriber Walk:</t>
  </si>
  <si>
    <t>Scenario Toggle:</t>
  </si>
  <si>
    <t>(1 = base | 2 = bull | 3 = bear)</t>
  </si>
  <si>
    <t>OEM Unpaid Promo: Starting</t>
  </si>
  <si>
    <t>Used Unpaid Promo: Starting</t>
  </si>
  <si>
    <t>OEM Unpaid Promo: Ending</t>
  </si>
  <si>
    <t>Used Unpaid Promo: Ending</t>
  </si>
  <si>
    <t>Royalty / Rev Share Growth</t>
  </si>
  <si>
    <t>Atlanta Braves Valuation</t>
  </si>
  <si>
    <t>Mixed-Use Development</t>
  </si>
  <si>
    <t>Stadium Debt at Completion</t>
  </si>
  <si>
    <t>Mixed-Use Debt at Completion</t>
  </si>
  <si>
    <t>Inter-Group Note</t>
  </si>
  <si>
    <t>Notes:</t>
  </si>
  <si>
    <t>Other Debt as of 9/30/2015</t>
  </si>
  <si>
    <t>12 14 2015 - updated from jpm</t>
  </si>
  <si>
    <t>Non-Cash WC</t>
  </si>
  <si>
    <t>y/y Change</t>
  </si>
  <si>
    <t>DR as % of sales</t>
  </si>
  <si>
    <t>Other non-current liabilities / Plug</t>
  </si>
  <si>
    <t>Other Assets / Plug</t>
  </si>
  <si>
    <t xml:space="preserve"> Depreciation</t>
  </si>
  <si>
    <t>2Q16</t>
  </si>
  <si>
    <t>3Q16</t>
  </si>
  <si>
    <t>4Q16</t>
  </si>
  <si>
    <t>Revs</t>
  </si>
  <si>
    <t>Less: Deferred Tax Benefits</t>
  </si>
  <si>
    <t>Fully-Taxed Free Cash Flow</t>
  </si>
  <si>
    <t>Fully-Taxed FCF/Share</t>
  </si>
  <si>
    <t xml:space="preserve">Free Cash Flow + NOL's </t>
  </si>
  <si>
    <t>Free Cash Flow (CFO less Capex)</t>
  </si>
  <si>
    <t xml:space="preserve"> Loss on Disposal of Assets / Doubtful Accounts</t>
  </si>
  <si>
    <t>Less: NPV of NOLs</t>
  </si>
  <si>
    <t>PV of Future Tax Savings (10% disc rate)</t>
  </si>
  <si>
    <t>Adjusted enterprise value</t>
  </si>
  <si>
    <t>Adj. EV/EBITDA</t>
  </si>
  <si>
    <t>Fully-Taxed FCF ($)</t>
  </si>
  <si>
    <t>Fully-Taxed FCF yield</t>
  </si>
  <si>
    <t>Fully-Taxed FCF/share ($)</t>
  </si>
  <si>
    <t>(adj. share price; less NOL's)</t>
  </si>
  <si>
    <t>PV of NOL's per share</t>
  </si>
  <si>
    <t>VALUATION (Adj. EV)</t>
  </si>
  <si>
    <t>VALUATION (SIRI FCF)</t>
  </si>
  <si>
    <t>VALUATION (Fully-Taxed FCF)</t>
  </si>
  <si>
    <t>Add: NPV of NOL's (2017)</t>
  </si>
  <si>
    <t>Liberty 1.375% converts due 2023</t>
  </si>
  <si>
    <t>2015A</t>
  </si>
  <si>
    <t>1q</t>
  </si>
  <si>
    <t>3Q15A</t>
  </si>
  <si>
    <t>4Q15A</t>
  </si>
  <si>
    <t>4Q16E</t>
  </si>
  <si>
    <t>Less: Liberty Group Interest (20%)</t>
  </si>
  <si>
    <t>Per Share Value</t>
  </si>
  <si>
    <t xml:space="preserve">Shares Outstanding </t>
  </si>
  <si>
    <t>Assumed Price (current)</t>
  </si>
  <si>
    <t>Viacom/Other</t>
  </si>
  <si>
    <t>Liberty Braves Stake</t>
  </si>
  <si>
    <t>LMCA/BATRA/LSXMA</t>
  </si>
  <si>
    <t>LMCA (Liberty Media Group)</t>
  </si>
  <si>
    <t>BATRA (Liberty Braves Group)</t>
  </si>
  <si>
    <t>LSXMA (Liberty SiriusXM Group)</t>
  </si>
  <si>
    <t>SIRI Shares Owned</t>
  </si>
  <si>
    <t>LSXMA</t>
  </si>
  <si>
    <t>Bridge to Consensus</t>
  </si>
  <si>
    <t>BATRA</t>
  </si>
  <si>
    <t>BATRA: buck incl. MLBAM</t>
  </si>
  <si>
    <t>LMCA: MS incl. overhead</t>
  </si>
  <si>
    <t>Add: Cash</t>
  </si>
  <si>
    <t>Less: Margin Loans</t>
  </si>
  <si>
    <t>LSXMA Price</t>
  </si>
  <si>
    <t>Discount</t>
  </si>
  <si>
    <t xml:space="preserve"> Impairment Loss / Other</t>
  </si>
  <si>
    <t>LMCA Price</t>
  </si>
  <si>
    <t>1Q16A</t>
  </si>
  <si>
    <t>2Q16A</t>
  </si>
  <si>
    <t>3Q16A</t>
  </si>
  <si>
    <t>Model:</t>
  </si>
  <si>
    <t>B:</t>
  </si>
  <si>
    <t>M:</t>
  </si>
  <si>
    <t>SIRI - Customer LTV Analysis</t>
  </si>
  <si>
    <t>NPV of NOL's</t>
  </si>
  <si>
    <t>Add: NPV of NOL's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</si>
</sst>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3">
    <numFmt numFmtId="5" formatCode="&quot;$&quot;#,##0_);\(&quot;$&quot;#,##0\)"/>
    <numFmt numFmtId="6" formatCode="&quot;$&quot;#,##0_);[Red]\(&quot;$&quot;#,##0\)"/>
    <numFmt numFmtId="7" formatCode="&quot;$&quot;#,##0.00_);\(&quot;$&quot;#,##0.00\)"/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#,##0.0_);\(#,##0.0\)"/>
    <numFmt numFmtId="166" formatCode="&quot;$&quot;#,##0.0_);[Red]\(&quot;$&quot;#,##0.0\)"/>
    <numFmt numFmtId="167" formatCode="_(* #,##0_);_(* \(#,##0\);_(* &quot;-&quot;??_);_(@_)"/>
    <numFmt numFmtId="168" formatCode="_(* #,##0.0_);_(* \(#,##0.0\);_(* &quot;-&quot;??_);_(@_)"/>
    <numFmt numFmtId="169" formatCode="&quot;$&quot;#,##0.0_);\(&quot;$&quot;#,##0.0\)"/>
    <numFmt numFmtId="170" formatCode="#,##0.0;[Red]\(#,##0.0\)"/>
    <numFmt numFmtId="171" formatCode="&quot;$&quot;#,##0.0;[Red]\(&quot;$&quot;#,##0.0\)"/>
    <numFmt numFmtId="172" formatCode="#,##0_);\(#,##0\);\ \-\-\-_)"/>
    <numFmt numFmtId="173" formatCode="0.0\x"/>
    <numFmt numFmtId="174" formatCode="0_)"/>
    <numFmt numFmtId="175" formatCode="_(* #,##0.0_);_(* \(#,##0.0\);_(* &quot;-&quot;?_);_(@_)"/>
    <numFmt numFmtId="176" formatCode="#,##0.0;\(#,##0.0\)"/>
    <numFmt numFmtId="177" formatCode="0.0%_);\(0.0%\);&quot;–&quot;_)"/>
    <numFmt numFmtId="178" formatCode="&quot;$&quot;#,##0.0_);\(&quot;$&quot;#,##0.0\);\–_);&quot;–&quot;_)"/>
    <numFmt numFmtId="179" formatCode="#,##0.0_);\(#,##0.0\);\–_);&quot;–&quot;_)"/>
    <numFmt numFmtId="180" formatCode="&quot;$&quot;#,##0.00_);\(&quot;$&quot;#,##0.00\);\–_);&quot;–&quot;_)"/>
    <numFmt numFmtId="181" formatCode="#,##0_);\(#,##0\);\–_);&quot;–&quot;_)"/>
    <numFmt numFmtId="182" formatCode="_(#,##0.0_)_%;_(\(#,##0.0\)_%;_(&quot;–&quot;_)_%;@_(_%"/>
    <numFmt numFmtId="183" formatCode="0.00%_);\(0.00%\);&quot;–&quot;_)"/>
    <numFmt numFmtId="184" formatCode="_(&quot;$&quot;#,##0.0_)_%;_(\(&quot;$&quot;#,##0.0\)_%;_(&quot;–&quot;_)_%;@_(_%"/>
    <numFmt numFmtId="185" formatCode="&quot;$&quot;#,##0.000_);\(&quot;$&quot;#,##0.000\);\–_);&quot;–&quot;_)"/>
    <numFmt numFmtId="186" formatCode="&quot;$&quot;#,##0_);\(&quot;$&quot;#,##0\);\–_);&quot;–&quot;_)"/>
    <numFmt numFmtId="187" formatCode="_(&quot;$&quot;#,##0.00_)_%;_(\(&quot;$&quot;#,##0.00\)_%;_(&quot;–&quot;_)_%;@_(_%"/>
    <numFmt numFmtId="188" formatCode="#,##0.00000000000_);\(#,##0.00000000000\)"/>
    <numFmt numFmtId="189" formatCode="#,##0.000_);\(#,##0.000\)"/>
  </numFmts>
  <fonts count="66" x14ac:knownFonts="1">
    <font>
      <sz val="10"/>
      <name val="Arial Narrow"/>
    </font>
    <font>
      <sz val="11"/>
      <color theme="1"/>
      <name val="Calibri"/>
      <family val="2"/>
      <scheme val="minor"/>
    </font>
    <font>
      <sz val="10"/>
      <name val="Arial Narrow"/>
      <family val="2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u/>
      <sz val="8"/>
      <name val="Arial"/>
      <family val="2"/>
    </font>
    <font>
      <i/>
      <sz val="10"/>
      <name val="Arial"/>
      <family val="2"/>
    </font>
    <font>
      <sz val="8"/>
      <name val="Times New Roman"/>
      <family val="1"/>
    </font>
    <font>
      <sz val="8.5"/>
      <name val="Arial Narrow"/>
      <family val="2"/>
    </font>
    <font>
      <sz val="8.5"/>
      <color indexed="8"/>
      <name val="Arial Narrow"/>
      <family val="2"/>
    </font>
    <font>
      <sz val="10"/>
      <name val="MS Sans Serif"/>
      <family val="2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name val="Times New Roman"/>
      <family val="1"/>
    </font>
    <font>
      <b/>
      <sz val="10"/>
      <name val="Arial Narrow"/>
      <family val="2"/>
    </font>
    <font>
      <sz val="9"/>
      <name val="Times New Roman"/>
      <family val="1"/>
    </font>
    <font>
      <i/>
      <sz val="8"/>
      <name val="Times New Roman"/>
      <family val="1"/>
    </font>
    <font>
      <sz val="10"/>
      <name val="Arial Narrow"/>
      <family val="2"/>
    </font>
    <font>
      <sz val="10"/>
      <name val="Arial"/>
      <family val="2"/>
    </font>
    <font>
      <b/>
      <u/>
      <sz val="10"/>
      <name val="Arial Narrow"/>
      <family val="2"/>
    </font>
    <font>
      <i/>
      <sz val="10"/>
      <name val="Arial Narrow"/>
      <family val="2"/>
    </font>
    <font>
      <sz val="10"/>
      <name val="Arial"/>
      <family val="2"/>
    </font>
    <font>
      <sz val="10"/>
      <name val="MS Sans Serif"/>
      <family val="2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name val="Arial"/>
      <family val="2"/>
    </font>
    <font>
      <sz val="8"/>
      <color indexed="12"/>
      <name val="Tms Rmn"/>
      <family val="1"/>
    </font>
    <font>
      <sz val="10"/>
      <color indexed="18"/>
      <name val="Times New Roman"/>
      <family val="1"/>
    </font>
    <font>
      <b/>
      <sz val="8"/>
      <color indexed="18"/>
      <name val="Times New Roman"/>
      <family val="1"/>
    </font>
    <font>
      <sz val="10"/>
      <name val="Arial"/>
      <family val="2"/>
    </font>
    <font>
      <sz val="10"/>
      <name val="Courier"/>
      <family val="3"/>
    </font>
    <font>
      <sz val="10"/>
      <name val="Arial"/>
      <family val="2"/>
    </font>
    <font>
      <sz val="11"/>
      <name val="Arial"/>
      <family val="2"/>
    </font>
    <font>
      <u/>
      <sz val="10"/>
      <name val="Arial Narrow"/>
      <family val="2"/>
    </font>
    <font>
      <b/>
      <i/>
      <sz val="10"/>
      <name val="Arial Narrow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2"/>
      <color rgb="FF000080"/>
      <name val="Arial"/>
      <family val="2"/>
    </font>
    <font>
      <b/>
      <sz val="11"/>
      <color rgb="FF0000CC"/>
      <name val="Calibri"/>
      <family val="2"/>
      <scheme val="minor"/>
    </font>
    <font>
      <sz val="11"/>
      <color rgb="FF0000CC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indexed="12"/>
      <name val="Calibri"/>
      <family val="2"/>
      <scheme val="minor"/>
    </font>
    <font>
      <sz val="11"/>
      <color rgb="FF0000FF"/>
      <name val="Calibri"/>
      <family val="2"/>
      <scheme val="minor"/>
    </font>
    <font>
      <b/>
      <u/>
      <sz val="11"/>
      <name val="Calibri"/>
      <family val="2"/>
      <scheme val="minor"/>
    </font>
    <font>
      <u/>
      <sz val="11"/>
      <name val="Calibri"/>
      <family val="2"/>
      <scheme val="minor"/>
    </font>
    <font>
      <i/>
      <sz val="11"/>
      <color rgb="FF0000FF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1"/>
      <color rgb="FF0070C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2" tint="-0.749992370372631"/>
      <name val="Calibri"/>
      <family val="2"/>
      <scheme val="minor"/>
    </font>
    <font>
      <i/>
      <u/>
      <sz val="11"/>
      <name val="Calibri"/>
      <family val="2"/>
      <scheme val="minor"/>
    </font>
    <font>
      <i/>
      <sz val="11"/>
      <color indexed="12"/>
      <name val="Calibri"/>
      <family val="2"/>
      <scheme val="minor"/>
    </font>
    <font>
      <i/>
      <u/>
      <sz val="11"/>
      <color rgb="FF0000FF"/>
      <name val="Calibri"/>
      <family val="2"/>
      <scheme val="minor"/>
    </font>
    <font>
      <sz val="11"/>
      <color theme="6" tint="-0.499984740745262"/>
      <name val="Calibri"/>
      <family val="2"/>
      <scheme val="minor"/>
    </font>
    <font>
      <i/>
      <sz val="11"/>
      <color theme="6" tint="-0.49998474074526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CC"/>
      <name val="Calibri"/>
      <family val="2"/>
      <scheme val="minor"/>
    </font>
    <font>
      <u/>
      <sz val="11"/>
      <color rgb="FF0000FF"/>
      <name val="Calibri"/>
      <family val="2"/>
      <scheme val="minor"/>
    </font>
    <font>
      <u/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000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9">
    <xf numFmtId="0" fontId="0" fillId="0" borderId="0"/>
    <xf numFmtId="0" fontId="4" fillId="0" borderId="0"/>
    <xf numFmtId="0" fontId="4" fillId="0" borderId="0"/>
    <xf numFmtId="0" fontId="23" fillId="0" borderId="0"/>
    <xf numFmtId="0" fontId="4" fillId="0" borderId="0"/>
    <xf numFmtId="0" fontId="12" fillId="0" borderId="0"/>
    <xf numFmtId="0" fontId="24" fillId="0" borderId="0"/>
    <xf numFmtId="0" fontId="12" fillId="0" borderId="0"/>
    <xf numFmtId="0" fontId="24" fillId="0" borderId="0"/>
    <xf numFmtId="0" fontId="28" fillId="0" borderId="0" applyNumberFormat="0" applyFill="0" applyBorder="0" applyAlignment="0" applyProtection="0"/>
    <xf numFmtId="0" fontId="13" fillId="0" borderId="0"/>
    <xf numFmtId="0" fontId="25" fillId="0" borderId="0"/>
    <xf numFmtId="1" fontId="29" fillId="0" borderId="0"/>
    <xf numFmtId="43" fontId="2" fillId="0" borderId="0" applyFont="0" applyFill="0" applyBorder="0" applyAlignment="0" applyProtection="0"/>
    <xf numFmtId="170" fontId="9" fillId="0" borderId="0"/>
    <xf numFmtId="43" fontId="19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11" fillId="0" borderId="0"/>
    <xf numFmtId="44" fontId="2" fillId="0" borderId="0" applyFont="0" applyFill="0" applyBorder="0" applyAlignment="0" applyProtection="0"/>
    <xf numFmtId="171" fontId="9" fillId="0" borderId="0"/>
    <xf numFmtId="171" fontId="10" fillId="0" borderId="0"/>
    <xf numFmtId="44" fontId="20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31" fillId="0" borderId="0" applyFont="0" applyFill="0" applyBorder="0" applyAlignment="0" applyProtection="0"/>
    <xf numFmtId="0" fontId="37" fillId="0" borderId="0"/>
    <xf numFmtId="0" fontId="20" fillId="0" borderId="0"/>
    <xf numFmtId="0" fontId="27" fillId="0" borderId="0"/>
    <xf numFmtId="0" fontId="19" fillId="0" borderId="0"/>
    <xf numFmtId="0" fontId="31" fillId="0" borderId="0"/>
    <xf numFmtId="0" fontId="33" fillId="0" borderId="0"/>
    <xf numFmtId="0" fontId="3" fillId="0" borderId="0"/>
    <xf numFmtId="0" fontId="32" fillId="0" borderId="0"/>
    <xf numFmtId="0" fontId="9" fillId="0" borderId="0"/>
    <xf numFmtId="43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17" fillId="0" borderId="0">
      <alignment vertical="center"/>
    </xf>
    <xf numFmtId="9" fontId="2" fillId="0" borderId="0" applyFont="0" applyFill="0" applyBorder="0" applyAlignment="0" applyProtection="0"/>
    <xf numFmtId="164" fontId="9" fillId="0" borderId="0"/>
    <xf numFmtId="9" fontId="19" fillId="0" borderId="0" applyFont="0" applyFill="0" applyBorder="0" applyAlignment="0" applyProtection="0"/>
    <xf numFmtId="9" fontId="3" fillId="0" borderId="0" applyFont="0" applyFill="0" applyBorder="0" applyAlignment="0" applyProtection="0"/>
    <xf numFmtId="8" fontId="30" fillId="0" borderId="1">
      <alignment horizontal="right"/>
    </xf>
    <xf numFmtId="0" fontId="3" fillId="2" borderId="0" applyNumberFormat="0" applyFont="0" applyBorder="0" applyAlignment="0" applyProtection="0"/>
    <xf numFmtId="0" fontId="14" fillId="0" borderId="0"/>
    <xf numFmtId="0" fontId="26" fillId="0" borderId="0"/>
    <xf numFmtId="0" fontId="14" fillId="0" borderId="2">
      <alignment horizontal="centerContinuous"/>
    </xf>
    <xf numFmtId="0" fontId="26" fillId="0" borderId="2">
      <alignment horizontal="centerContinuous"/>
    </xf>
    <xf numFmtId="0" fontId="18" fillId="0" borderId="2"/>
    <xf numFmtId="0" fontId="4" fillId="0" borderId="0"/>
    <xf numFmtId="0" fontId="4" fillId="0" borderId="0">
      <alignment vertical="top"/>
    </xf>
  </cellStyleXfs>
  <cellXfs count="519">
    <xf numFmtId="0" fontId="0" fillId="0" borderId="0" xfId="0"/>
    <xf numFmtId="174" fontId="5" fillId="0" borderId="0" xfId="0" applyNumberFormat="1" applyFont="1" applyFill="1" applyBorder="1" applyAlignment="1" applyProtection="1">
      <alignment horizontal="left"/>
    </xf>
    <xf numFmtId="174" fontId="5" fillId="0" borderId="0" xfId="0" applyNumberFormat="1" applyFont="1" applyBorder="1" applyAlignment="1" applyProtection="1">
      <alignment horizontal="left"/>
    </xf>
    <xf numFmtId="174" fontId="5" fillId="0" borderId="0" xfId="0" applyNumberFormat="1" applyFont="1" applyBorder="1" applyProtection="1"/>
    <xf numFmtId="174" fontId="6" fillId="0" borderId="0" xfId="0" applyNumberFormat="1" applyFont="1" applyBorder="1" applyAlignment="1" applyProtection="1">
      <alignment horizontal="left"/>
    </xf>
    <xf numFmtId="6" fontId="5" fillId="0" borderId="0" xfId="0" applyNumberFormat="1" applyFont="1" applyFill="1" applyBorder="1"/>
    <xf numFmtId="172" fontId="5" fillId="0" borderId="0" xfId="0" applyNumberFormat="1" applyFont="1" applyFill="1" applyBorder="1"/>
    <xf numFmtId="172" fontId="5" fillId="0" borderId="0" xfId="0" applyNumberFormat="1" applyFont="1" applyBorder="1"/>
    <xf numFmtId="174" fontId="5" fillId="0" borderId="0" xfId="0" quotePrefix="1" applyNumberFormat="1" applyFont="1" applyBorder="1" applyAlignment="1" applyProtection="1">
      <alignment horizontal="left"/>
    </xf>
    <xf numFmtId="0" fontId="0" fillId="0" borderId="0" xfId="0" applyBorder="1"/>
    <xf numFmtId="0" fontId="0" fillId="0" borderId="4" xfId="0" applyBorder="1"/>
    <xf numFmtId="0" fontId="0" fillId="0" borderId="12" xfId="0" applyBorder="1"/>
    <xf numFmtId="0" fontId="0" fillId="0" borderId="5" xfId="0" applyBorder="1"/>
    <xf numFmtId="0" fontId="3" fillId="3" borderId="0" xfId="31" applyFont="1" applyFill="1" applyAlignment="1">
      <alignment vertical="top"/>
    </xf>
    <xf numFmtId="0" fontId="33" fillId="3" borderId="0" xfId="29" applyFill="1" applyAlignment="1">
      <alignment vertical="top"/>
    </xf>
    <xf numFmtId="0" fontId="33" fillId="3" borderId="0" xfId="29" applyFill="1"/>
    <xf numFmtId="0" fontId="34" fillId="3" borderId="0" xfId="31" applyFont="1" applyFill="1" applyAlignment="1">
      <alignment horizontal="left" vertical="top"/>
    </xf>
    <xf numFmtId="0" fontId="3" fillId="3" borderId="0" xfId="29" applyFont="1" applyFill="1" applyAlignment="1">
      <alignment vertical="top"/>
    </xf>
    <xf numFmtId="0" fontId="8" fillId="3" borderId="0" xfId="31" applyFont="1" applyFill="1" applyAlignment="1">
      <alignment vertical="top"/>
    </xf>
    <xf numFmtId="0" fontId="0" fillId="3" borderId="0" xfId="0" applyFill="1" applyAlignment="1">
      <alignment vertical="top"/>
    </xf>
    <xf numFmtId="0" fontId="39" fillId="3" borderId="0" xfId="0" applyFont="1" applyFill="1" applyAlignment="1">
      <alignment vertical="top"/>
    </xf>
    <xf numFmtId="0" fontId="40" fillId="3" borderId="0" xfId="0" applyFont="1" applyFill="1" applyAlignment="1">
      <alignment vertical="top"/>
    </xf>
    <xf numFmtId="0" fontId="39" fillId="3" borderId="27" xfId="0" applyFont="1" applyFill="1" applyBorder="1" applyAlignment="1">
      <alignment vertical="top"/>
    </xf>
    <xf numFmtId="9" fontId="39" fillId="3" borderId="27" xfId="0" applyNumberFormat="1" applyFont="1" applyFill="1" applyBorder="1" applyAlignment="1">
      <alignment vertical="top"/>
    </xf>
    <xf numFmtId="3" fontId="39" fillId="3" borderId="27" xfId="0" applyNumberFormat="1" applyFont="1" applyFill="1" applyBorder="1" applyAlignment="1">
      <alignment vertical="top"/>
    </xf>
    <xf numFmtId="0" fontId="41" fillId="0" borderId="3" xfId="0" applyFont="1" applyBorder="1"/>
    <xf numFmtId="0" fontId="37" fillId="0" borderId="3" xfId="0" applyFont="1" applyBorder="1"/>
    <xf numFmtId="0" fontId="38" fillId="0" borderId="3" xfId="0" applyNumberFormat="1" applyFont="1" applyBorder="1"/>
    <xf numFmtId="0" fontId="37" fillId="0" borderId="0" xfId="0" applyFont="1"/>
    <xf numFmtId="0" fontId="41" fillId="0" borderId="0" xfId="0" applyFont="1" applyBorder="1"/>
    <xf numFmtId="0" fontId="37" fillId="0" borderId="0" xfId="0" applyFont="1" applyBorder="1"/>
    <xf numFmtId="0" fontId="38" fillId="0" borderId="0" xfId="0" applyNumberFormat="1" applyFont="1" applyBorder="1"/>
    <xf numFmtId="0" fontId="38" fillId="0" borderId="0" xfId="0" applyFont="1"/>
    <xf numFmtId="0" fontId="38" fillId="0" borderId="3" xfId="0" applyFont="1" applyBorder="1"/>
    <xf numFmtId="168" fontId="43" fillId="0" borderId="0" xfId="13" applyNumberFormat="1" applyFont="1"/>
    <xf numFmtId="0" fontId="37" fillId="0" borderId="5" xfId="0" applyFont="1" applyBorder="1"/>
    <xf numFmtId="168" fontId="43" fillId="0" borderId="5" xfId="13" applyNumberFormat="1" applyFont="1" applyBorder="1"/>
    <xf numFmtId="0" fontId="44" fillId="0" borderId="0" xfId="0" applyFont="1" applyAlignment="1">
      <alignment horizontal="left" indent="1"/>
    </xf>
    <xf numFmtId="0" fontId="43" fillId="0" borderId="0" xfId="0" applyFont="1"/>
    <xf numFmtId="168" fontId="45" fillId="0" borderId="0" xfId="13" applyNumberFormat="1" applyFont="1"/>
    <xf numFmtId="43" fontId="43" fillId="0" borderId="0" xfId="13" applyNumberFormat="1" applyFont="1"/>
    <xf numFmtId="168" fontId="37" fillId="0" borderId="0" xfId="13" applyNumberFormat="1" applyFont="1"/>
    <xf numFmtId="43" fontId="45" fillId="0" borderId="0" xfId="13" applyNumberFormat="1" applyFont="1"/>
    <xf numFmtId="168" fontId="37" fillId="0" borderId="0" xfId="0" applyNumberFormat="1" applyFont="1"/>
    <xf numFmtId="7" fontId="45" fillId="0" borderId="0" xfId="0" applyNumberFormat="1" applyFont="1"/>
    <xf numFmtId="173" fontId="42" fillId="0" borderId="5" xfId="13" applyNumberFormat="1" applyFont="1" applyBorder="1"/>
    <xf numFmtId="164" fontId="43" fillId="0" borderId="0" xfId="0" applyNumberFormat="1" applyFont="1"/>
    <xf numFmtId="168" fontId="37" fillId="0" borderId="5" xfId="0" applyNumberFormat="1" applyFont="1" applyBorder="1"/>
    <xf numFmtId="0" fontId="43" fillId="0" borderId="0" xfId="13" applyNumberFormat="1" applyFont="1" applyBorder="1"/>
    <xf numFmtId="173" fontId="43" fillId="0" borderId="0" xfId="13" applyNumberFormat="1" applyFont="1" applyBorder="1"/>
    <xf numFmtId="43" fontId="43" fillId="0" borderId="0" xfId="13" applyNumberFormat="1" applyFont="1" applyBorder="1"/>
    <xf numFmtId="164" fontId="37" fillId="0" borderId="0" xfId="0" applyNumberFormat="1" applyFont="1"/>
    <xf numFmtId="164" fontId="42" fillId="0" borderId="0" xfId="0" applyNumberFormat="1" applyFont="1"/>
    <xf numFmtId="8" fontId="43" fillId="0" borderId="0" xfId="0" applyNumberFormat="1" applyFont="1"/>
    <xf numFmtId="165" fontId="43" fillId="0" borderId="0" xfId="0" applyNumberFormat="1" applyFont="1"/>
    <xf numFmtId="0" fontId="37" fillId="0" borderId="13" xfId="0" applyFont="1" applyBorder="1"/>
    <xf numFmtId="0" fontId="37" fillId="0" borderId="12" xfId="0" applyFont="1" applyBorder="1"/>
    <xf numFmtId="8" fontId="38" fillId="4" borderId="15" xfId="24" applyNumberFormat="1" applyFont="1" applyFill="1" applyBorder="1" applyAlignment="1">
      <alignment horizontal="center"/>
    </xf>
    <xf numFmtId="0" fontId="37" fillId="0" borderId="9" xfId="0" applyFont="1" applyBorder="1"/>
    <xf numFmtId="164" fontId="38" fillId="4" borderId="14" xfId="0" applyNumberFormat="1" applyFont="1" applyFill="1" applyBorder="1" applyAlignment="1">
      <alignment horizontal="center"/>
    </xf>
    <xf numFmtId="164" fontId="38" fillId="0" borderId="0" xfId="0" applyNumberFormat="1" applyFont="1" applyBorder="1"/>
    <xf numFmtId="0" fontId="37" fillId="0" borderId="19" xfId="0" applyFont="1" applyBorder="1"/>
    <xf numFmtId="0" fontId="46" fillId="0" borderId="0" xfId="0" applyFont="1" applyFill="1" applyBorder="1"/>
    <xf numFmtId="0" fontId="43" fillId="0" borderId="13" xfId="0" applyFont="1" applyBorder="1"/>
    <xf numFmtId="0" fontId="43" fillId="0" borderId="12" xfId="0" applyFont="1" applyBorder="1"/>
    <xf numFmtId="0" fontId="43" fillId="0" borderId="15" xfId="0" applyFont="1" applyBorder="1"/>
    <xf numFmtId="0" fontId="43" fillId="0" borderId="8" xfId="0" applyFont="1" applyBorder="1"/>
    <xf numFmtId="0" fontId="43" fillId="0" borderId="0" xfId="0" applyFont="1" applyFill="1" applyBorder="1"/>
    <xf numFmtId="0" fontId="43" fillId="0" borderId="0" xfId="0" applyFont="1" applyBorder="1"/>
    <xf numFmtId="0" fontId="43" fillId="0" borderId="4" xfId="0" applyFont="1" applyBorder="1"/>
    <xf numFmtId="10" fontId="47" fillId="0" borderId="0" xfId="0" applyNumberFormat="1" applyFont="1" applyFill="1" applyBorder="1"/>
    <xf numFmtId="164" fontId="47" fillId="0" borderId="0" xfId="0" applyNumberFormat="1" applyFont="1" applyFill="1" applyBorder="1"/>
    <xf numFmtId="0" fontId="43" fillId="0" borderId="9" xfId="0" applyFont="1" applyBorder="1"/>
    <xf numFmtId="0" fontId="43" fillId="0" borderId="5" xfId="0" applyFont="1" applyBorder="1"/>
    <xf numFmtId="0" fontId="43" fillId="0" borderId="14" xfId="0" applyFont="1" applyBorder="1"/>
    <xf numFmtId="164" fontId="47" fillId="0" borderId="0" xfId="36" applyNumberFormat="1" applyFont="1" applyFill="1"/>
    <xf numFmtId="167" fontId="47" fillId="0" borderId="0" xfId="0" applyNumberFormat="1" applyFont="1" applyFill="1"/>
    <xf numFmtId="0" fontId="50" fillId="0" borderId="0" xfId="0" applyFont="1"/>
    <xf numFmtId="0" fontId="43" fillId="0" borderId="0" xfId="0" applyFont="1" applyAlignment="1">
      <alignment horizontal="left"/>
    </xf>
    <xf numFmtId="0" fontId="43" fillId="0" borderId="0" xfId="0" applyFont="1" applyAlignment="1">
      <alignment horizontal="right"/>
    </xf>
    <xf numFmtId="8" fontId="43" fillId="0" borderId="0" xfId="13" applyNumberFormat="1" applyFont="1"/>
    <xf numFmtId="8" fontId="45" fillId="0" borderId="0" xfId="13" applyNumberFormat="1" applyFont="1"/>
    <xf numFmtId="180" fontId="38" fillId="0" borderId="0" xfId="0" applyNumberFormat="1" applyFont="1"/>
    <xf numFmtId="175" fontId="37" fillId="0" borderId="0" xfId="0" applyNumberFormat="1" applyFont="1"/>
    <xf numFmtId="0" fontId="41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177" fontId="22" fillId="0" borderId="0" xfId="0" applyNumberFormat="1" applyFont="1" applyBorder="1" applyAlignment="1">
      <alignment horizontal="center"/>
    </xf>
    <xf numFmtId="0" fontId="2" fillId="0" borderId="0" xfId="0" applyFont="1" applyBorder="1"/>
    <xf numFmtId="168" fontId="37" fillId="0" borderId="19" xfId="13" applyNumberFormat="1" applyFont="1" applyBorder="1"/>
    <xf numFmtId="0" fontId="38" fillId="0" borderId="3" xfId="0" applyNumberFormat="1" applyFont="1" applyBorder="1" applyAlignment="1">
      <alignment horizontal="center"/>
    </xf>
    <xf numFmtId="180" fontId="0" fillId="0" borderId="0" xfId="0" applyNumberFormat="1" applyBorder="1" applyAlignment="1">
      <alignment horizontal="center"/>
    </xf>
    <xf numFmtId="177" fontId="43" fillId="0" borderId="0" xfId="0" applyNumberFormat="1" applyFont="1"/>
    <xf numFmtId="177" fontId="45" fillId="0" borderId="0" xfId="0" applyNumberFormat="1" applyFont="1"/>
    <xf numFmtId="0" fontId="43" fillId="0" borderId="21" xfId="0" applyFont="1" applyBorder="1"/>
    <xf numFmtId="179" fontId="43" fillId="0" borderId="0" xfId="0" applyNumberFormat="1" applyFont="1"/>
    <xf numFmtId="181" fontId="43" fillId="0" borderId="0" xfId="0" applyNumberFormat="1" applyFont="1"/>
    <xf numFmtId="0" fontId="49" fillId="0" borderId="0" xfId="0" applyFont="1"/>
    <xf numFmtId="181" fontId="43" fillId="0" borderId="0" xfId="0" applyNumberFormat="1" applyFont="1" applyBorder="1"/>
    <xf numFmtId="177" fontId="51" fillId="0" borderId="0" xfId="0" applyNumberFormat="1" applyFont="1"/>
    <xf numFmtId="182" fontId="43" fillId="0" borderId="0" xfId="0" applyNumberFormat="1" applyFont="1"/>
    <xf numFmtId="178" fontId="43" fillId="0" borderId="0" xfId="0" applyNumberFormat="1" applyFont="1"/>
    <xf numFmtId="183" fontId="51" fillId="0" borderId="0" xfId="0" applyNumberFormat="1" applyFont="1"/>
    <xf numFmtId="182" fontId="43" fillId="0" borderId="0" xfId="0" quotePrefix="1" applyNumberFormat="1" applyFont="1" applyAlignment="1">
      <alignment horizontal="left"/>
    </xf>
    <xf numFmtId="177" fontId="48" fillId="0" borderId="0" xfId="0" applyNumberFormat="1" applyFont="1"/>
    <xf numFmtId="181" fontId="48" fillId="0" borderId="0" xfId="0" applyNumberFormat="1" applyFont="1"/>
    <xf numFmtId="178" fontId="43" fillId="0" borderId="0" xfId="0" applyNumberFormat="1" applyFont="1" applyBorder="1"/>
    <xf numFmtId="180" fontId="43" fillId="0" borderId="0" xfId="0" applyNumberFormat="1" applyFont="1" applyBorder="1"/>
    <xf numFmtId="180" fontId="43" fillId="0" borderId="0" xfId="0" applyNumberFormat="1" applyFont="1"/>
    <xf numFmtId="182" fontId="49" fillId="0" borderId="0" xfId="0" quotePrefix="1" applyNumberFormat="1" applyFont="1" applyAlignment="1">
      <alignment horizontal="left"/>
    </xf>
    <xf numFmtId="0" fontId="46" fillId="0" borderId="0" xfId="0" applyFont="1"/>
    <xf numFmtId="179" fontId="46" fillId="0" borderId="0" xfId="0" applyNumberFormat="1" applyFont="1"/>
    <xf numFmtId="182" fontId="46" fillId="0" borderId="0" xfId="0" applyNumberFormat="1" applyFont="1"/>
    <xf numFmtId="0" fontId="43" fillId="0" borderId="0" xfId="0" applyFont="1" applyAlignment="1">
      <alignment horizontal="left" indent="1"/>
    </xf>
    <xf numFmtId="0" fontId="45" fillId="0" borderId="0" xfId="0" applyFont="1" applyAlignment="1">
      <alignment horizontal="left" indent="1"/>
    </xf>
    <xf numFmtId="182" fontId="45" fillId="0" borderId="0" xfId="0" applyNumberFormat="1" applyFont="1" applyAlignment="1">
      <alignment horizontal="left" indent="1"/>
    </xf>
    <xf numFmtId="181" fontId="48" fillId="0" borderId="0" xfId="0" applyNumberFormat="1" applyFont="1" applyBorder="1"/>
    <xf numFmtId="0" fontId="52" fillId="5" borderId="7" xfId="0" applyFont="1" applyFill="1" applyBorder="1" applyAlignment="1">
      <alignment horizontal="left"/>
    </xf>
    <xf numFmtId="14" fontId="0" fillId="5" borderId="10" xfId="0" applyNumberFormat="1" applyFill="1" applyBorder="1"/>
    <xf numFmtId="0" fontId="0" fillId="5" borderId="10" xfId="0" applyFill="1" applyBorder="1"/>
    <xf numFmtId="0" fontId="2" fillId="0" borderId="8" xfId="0" applyFont="1" applyBorder="1"/>
    <xf numFmtId="180" fontId="0" fillId="0" borderId="4" xfId="0" applyNumberFormat="1" applyBorder="1" applyAlignment="1">
      <alignment horizontal="center"/>
    </xf>
    <xf numFmtId="177" fontId="22" fillId="0" borderId="4" xfId="0" applyNumberFormat="1" applyFont="1" applyBorder="1" applyAlignment="1">
      <alignment horizontal="center"/>
    </xf>
    <xf numFmtId="0" fontId="2" fillId="0" borderId="9" xfId="0" applyFont="1" applyBorder="1"/>
    <xf numFmtId="0" fontId="43" fillId="4" borderId="0" xfId="0" applyFont="1" applyFill="1"/>
    <xf numFmtId="0" fontId="52" fillId="4" borderId="0" xfId="0" applyFont="1" applyFill="1" applyBorder="1" applyAlignment="1">
      <alignment horizontal="left"/>
    </xf>
    <xf numFmtId="179" fontId="0" fillId="4" borderId="0" xfId="0" applyNumberFormat="1" applyFill="1" applyBorder="1"/>
    <xf numFmtId="181" fontId="43" fillId="0" borderId="4" xfId="0" applyNumberFormat="1" applyFont="1" applyBorder="1"/>
    <xf numFmtId="177" fontId="45" fillId="0" borderId="4" xfId="0" applyNumberFormat="1" applyFont="1" applyBorder="1"/>
    <xf numFmtId="180" fontId="43" fillId="0" borderId="4" xfId="0" applyNumberFormat="1" applyFont="1" applyBorder="1"/>
    <xf numFmtId="179" fontId="46" fillId="0" borderId="4" xfId="0" applyNumberFormat="1" applyFont="1" applyBorder="1"/>
    <xf numFmtId="179" fontId="43" fillId="0" borderId="4" xfId="0" applyNumberFormat="1" applyFont="1" applyBorder="1"/>
    <xf numFmtId="14" fontId="41" fillId="0" borderId="0" xfId="0" applyNumberFormat="1" applyFont="1" applyBorder="1"/>
    <xf numFmtId="177" fontId="51" fillId="0" borderId="4" xfId="0" applyNumberFormat="1" applyFont="1" applyBorder="1"/>
    <xf numFmtId="181" fontId="48" fillId="0" borderId="4" xfId="0" applyNumberFormat="1" applyFont="1" applyBorder="1"/>
    <xf numFmtId="177" fontId="45" fillId="0" borderId="0" xfId="0" applyNumberFormat="1" applyFont="1" applyBorder="1"/>
    <xf numFmtId="184" fontId="43" fillId="0" borderId="0" xfId="0" applyNumberFormat="1" applyFont="1" applyAlignment="1">
      <alignment horizontal="left" indent="1"/>
    </xf>
    <xf numFmtId="0" fontId="49" fillId="0" borderId="0" xfId="0" applyFont="1" applyFill="1" applyBorder="1" applyAlignment="1">
      <alignment horizontal="right"/>
    </xf>
    <xf numFmtId="9" fontId="43" fillId="4" borderId="0" xfId="0" applyNumberFormat="1" applyFont="1" applyFill="1" applyBorder="1" applyAlignment="1">
      <alignment vertical="center"/>
    </xf>
    <xf numFmtId="0" fontId="43" fillId="4" borderId="0" xfId="0" applyFont="1" applyFill="1" applyBorder="1"/>
    <xf numFmtId="0" fontId="53" fillId="6" borderId="6" xfId="0" applyFont="1" applyFill="1" applyBorder="1" applyAlignment="1">
      <alignment horizontal="center"/>
    </xf>
    <xf numFmtId="0" fontId="53" fillId="4" borderId="0" xfId="0" applyFont="1" applyFill="1" applyBorder="1" applyAlignment="1">
      <alignment horizontal="center"/>
    </xf>
    <xf numFmtId="180" fontId="47" fillId="0" borderId="0" xfId="0" applyNumberFormat="1" applyFont="1" applyFill="1" applyBorder="1"/>
    <xf numFmtId="180" fontId="47" fillId="0" borderId="0" xfId="36" applyNumberFormat="1" applyFont="1" applyFill="1"/>
    <xf numFmtId="179" fontId="47" fillId="0" borderId="0" xfId="0" applyNumberFormat="1" applyFont="1" applyFill="1" applyBorder="1"/>
    <xf numFmtId="179" fontId="47" fillId="0" borderId="0" xfId="36" applyNumberFormat="1" applyFont="1" applyFill="1"/>
    <xf numFmtId="183" fontId="51" fillId="0" borderId="4" xfId="0" applyNumberFormat="1" applyFont="1" applyBorder="1"/>
    <xf numFmtId="177" fontId="54" fillId="0" borderId="4" xfId="0" applyNumberFormat="1" applyFont="1" applyBorder="1"/>
    <xf numFmtId="177" fontId="51" fillId="4" borderId="0" xfId="0" applyNumberFormat="1" applyFont="1" applyFill="1"/>
    <xf numFmtId="182" fontId="43" fillId="0" borderId="0" xfId="0" applyNumberFormat="1" applyFont="1" applyAlignment="1">
      <alignment horizontal="left" indent="1"/>
    </xf>
    <xf numFmtId="179" fontId="43" fillId="0" borderId="0" xfId="0" applyNumberFormat="1" applyFont="1" applyBorder="1"/>
    <xf numFmtId="179" fontId="46" fillId="0" borderId="0" xfId="0" applyNumberFormat="1" applyFont="1" applyBorder="1"/>
    <xf numFmtId="177" fontId="54" fillId="0" borderId="0" xfId="0" applyNumberFormat="1" applyFont="1" applyBorder="1"/>
    <xf numFmtId="183" fontId="51" fillId="0" borderId="0" xfId="0" applyNumberFormat="1" applyFont="1" applyBorder="1"/>
    <xf numFmtId="177" fontId="51" fillId="0" borderId="0" xfId="0" applyNumberFormat="1" applyFont="1" applyBorder="1"/>
    <xf numFmtId="181" fontId="43" fillId="0" borderId="8" xfId="0" applyNumberFormat="1" applyFont="1" applyBorder="1"/>
    <xf numFmtId="181" fontId="48" fillId="0" borderId="8" xfId="0" applyNumberFormat="1" applyFont="1" applyBorder="1"/>
    <xf numFmtId="180" fontId="43" fillId="0" borderId="8" xfId="0" applyNumberFormat="1" applyFont="1" applyBorder="1"/>
    <xf numFmtId="183" fontId="51" fillId="0" borderId="8" xfId="0" applyNumberFormat="1" applyFont="1" applyBorder="1"/>
    <xf numFmtId="177" fontId="51" fillId="0" borderId="8" xfId="0" applyNumberFormat="1" applyFont="1" applyBorder="1"/>
    <xf numFmtId="177" fontId="45" fillId="0" borderId="8" xfId="0" applyNumberFormat="1" applyFont="1" applyBorder="1"/>
    <xf numFmtId="179" fontId="43" fillId="0" borderId="8" xfId="0" applyNumberFormat="1" applyFont="1" applyBorder="1"/>
    <xf numFmtId="179" fontId="46" fillId="0" borderId="8" xfId="0" applyNumberFormat="1" applyFont="1" applyBorder="1"/>
    <xf numFmtId="177" fontId="54" fillId="0" borderId="8" xfId="0" applyNumberFormat="1" applyFont="1" applyBorder="1"/>
    <xf numFmtId="179" fontId="48" fillId="0" borderId="0" xfId="0" applyNumberFormat="1" applyFont="1" applyBorder="1"/>
    <xf numFmtId="0" fontId="43" fillId="0" borderId="0" xfId="0" applyFont="1" applyBorder="1" applyAlignment="1">
      <alignment horizontal="left" indent="1"/>
    </xf>
    <xf numFmtId="174" fontId="43" fillId="0" borderId="0" xfId="0" applyNumberFormat="1" applyFont="1" applyFill="1" applyBorder="1" applyAlignment="1" applyProtection="1">
      <alignment horizontal="left"/>
    </xf>
    <xf numFmtId="174" fontId="43" fillId="0" borderId="0" xfId="0" applyNumberFormat="1" applyFont="1" applyFill="1" applyBorder="1" applyProtection="1"/>
    <xf numFmtId="0" fontId="43" fillId="0" borderId="0" xfId="0" applyFont="1" applyFill="1" applyBorder="1" applyAlignment="1" applyProtection="1">
      <alignment horizontal="left"/>
    </xf>
    <xf numFmtId="174" fontId="46" fillId="0" borderId="0" xfId="0" applyNumberFormat="1" applyFont="1" applyFill="1" applyBorder="1" applyAlignment="1" applyProtection="1">
      <alignment horizontal="left"/>
    </xf>
    <xf numFmtId="166" fontId="43" fillId="0" borderId="0" xfId="18" applyNumberFormat="1" applyFont="1" applyFill="1"/>
    <xf numFmtId="170" fontId="43" fillId="0" borderId="0" xfId="14" applyFont="1" applyFill="1" applyBorder="1"/>
    <xf numFmtId="0" fontId="45" fillId="0" borderId="0" xfId="0" applyFont="1" applyFill="1" applyBorder="1" applyAlignment="1">
      <alignment horizontal="left" indent="1"/>
    </xf>
    <xf numFmtId="179" fontId="45" fillId="0" borderId="0" xfId="14" applyNumberFormat="1" applyFont="1" applyFill="1" applyBorder="1" applyAlignment="1">
      <alignment horizontal="right"/>
    </xf>
    <xf numFmtId="6" fontId="43" fillId="0" borderId="0" xfId="0" applyNumberFormat="1" applyFont="1" applyFill="1" applyBorder="1"/>
    <xf numFmtId="172" fontId="43" fillId="0" borderId="0" xfId="0" applyNumberFormat="1" applyFont="1" applyFill="1" applyBorder="1"/>
    <xf numFmtId="172" fontId="43" fillId="0" borderId="0" xfId="0" applyNumberFormat="1" applyFont="1" applyBorder="1"/>
    <xf numFmtId="174" fontId="46" fillId="0" borderId="0" xfId="0" applyNumberFormat="1" applyFont="1" applyBorder="1" applyAlignment="1" applyProtection="1">
      <alignment horizontal="left"/>
    </xf>
    <xf numFmtId="174" fontId="43" fillId="0" borderId="0" xfId="0" applyNumberFormat="1" applyFont="1" applyBorder="1" applyProtection="1"/>
    <xf numFmtId="174" fontId="43" fillId="0" borderId="0" xfId="0" applyNumberFormat="1" applyFont="1" applyBorder="1" applyAlignment="1" applyProtection="1">
      <alignment horizontal="left"/>
    </xf>
    <xf numFmtId="174" fontId="43" fillId="0" borderId="0" xfId="0" quotePrefix="1" applyNumberFormat="1" applyFont="1" applyBorder="1" applyAlignment="1" applyProtection="1">
      <alignment horizontal="left"/>
    </xf>
    <xf numFmtId="171" fontId="43" fillId="0" borderId="0" xfId="18" applyNumberFormat="1" applyFont="1" applyFill="1"/>
    <xf numFmtId="171" fontId="43" fillId="0" borderId="0" xfId="18" applyNumberFormat="1" applyFont="1" applyFill="1" applyBorder="1"/>
    <xf numFmtId="169" fontId="43" fillId="0" borderId="0" xfId="18" applyNumberFormat="1" applyFont="1" applyFill="1" applyBorder="1"/>
    <xf numFmtId="176" fontId="43" fillId="0" borderId="0" xfId="14" applyNumberFormat="1" applyFont="1" applyFill="1" applyBorder="1"/>
    <xf numFmtId="176" fontId="43" fillId="0" borderId="22" xfId="14" applyNumberFormat="1" applyFont="1" applyFill="1" applyBorder="1"/>
    <xf numFmtId="0" fontId="43" fillId="0" borderId="0" xfId="32" applyFont="1"/>
    <xf numFmtId="176" fontId="43" fillId="0" borderId="5" xfId="14" applyNumberFormat="1" applyFont="1" applyFill="1" applyBorder="1"/>
    <xf numFmtId="179" fontId="43" fillId="0" borderId="5" xfId="0" applyNumberFormat="1" applyFont="1" applyBorder="1"/>
    <xf numFmtId="179" fontId="43" fillId="0" borderId="0" xfId="18" applyNumberFormat="1" applyFont="1" applyFill="1"/>
    <xf numFmtId="179" fontId="43" fillId="0" borderId="0" xfId="14" applyNumberFormat="1" applyFont="1" applyFill="1" applyBorder="1"/>
    <xf numFmtId="179" fontId="43" fillId="0" borderId="5" xfId="14" applyNumberFormat="1" applyFont="1" applyFill="1" applyBorder="1"/>
    <xf numFmtId="179" fontId="43" fillId="0" borderId="0" xfId="18" applyNumberFormat="1" applyFont="1" applyFill="1" applyBorder="1"/>
    <xf numFmtId="179" fontId="43" fillId="0" borderId="0" xfId="0" applyNumberFormat="1" applyFont="1" applyFill="1" applyBorder="1"/>
    <xf numFmtId="179" fontId="43" fillId="0" borderId="0" xfId="36" applyNumberFormat="1" applyFont="1" applyFill="1" applyBorder="1"/>
    <xf numFmtId="185" fontId="43" fillId="0" borderId="0" xfId="0" applyNumberFormat="1" applyFont="1"/>
    <xf numFmtId="185" fontId="43" fillId="0" borderId="0" xfId="0" applyNumberFormat="1" applyFont="1" applyBorder="1"/>
    <xf numFmtId="185" fontId="43" fillId="0" borderId="8" xfId="0" applyNumberFormat="1" applyFont="1" applyBorder="1"/>
    <xf numFmtId="185" fontId="43" fillId="0" borderId="4" xfId="0" applyNumberFormat="1" applyFont="1" applyBorder="1"/>
    <xf numFmtId="0" fontId="43" fillId="0" borderId="20" xfId="0" applyFont="1" applyBorder="1"/>
    <xf numFmtId="179" fontId="43" fillId="0" borderId="20" xfId="0" applyNumberFormat="1" applyFont="1" applyBorder="1"/>
    <xf numFmtId="173" fontId="43" fillId="0" borderId="20" xfId="0" applyNumberFormat="1" applyFont="1" applyBorder="1"/>
    <xf numFmtId="173" fontId="43" fillId="0" borderId="0" xfId="0" applyNumberFormat="1" applyFont="1" applyBorder="1"/>
    <xf numFmtId="179" fontId="56" fillId="0" borderId="0" xfId="0" applyNumberFormat="1" applyFont="1"/>
    <xf numFmtId="179" fontId="43" fillId="0" borderId="0" xfId="13" applyNumberFormat="1" applyFont="1" applyFill="1" applyBorder="1"/>
    <xf numFmtId="178" fontId="0" fillId="0" borderId="0" xfId="0" applyNumberFormat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Alignment="1">
      <alignment horizontal="center"/>
    </xf>
    <xf numFmtId="177" fontId="22" fillId="0" borderId="0" xfId="0" applyNumberFormat="1" applyFont="1" applyAlignment="1">
      <alignment horizontal="center"/>
    </xf>
    <xf numFmtId="178" fontId="0" fillId="0" borderId="0" xfId="0" applyNumberFormat="1" applyAlignment="1">
      <alignment horizontal="center"/>
    </xf>
    <xf numFmtId="179" fontId="0" fillId="0" borderId="0" xfId="0" applyNumberFormat="1" applyAlignment="1">
      <alignment horizontal="center"/>
    </xf>
    <xf numFmtId="180" fontId="0" fillId="0" borderId="0" xfId="0" applyNumberFormat="1" applyAlignment="1">
      <alignment horizontal="center"/>
    </xf>
    <xf numFmtId="183" fontId="22" fillId="0" borderId="0" xfId="0" applyNumberFormat="1" applyFont="1" applyAlignment="1">
      <alignment horizontal="center"/>
    </xf>
    <xf numFmtId="0" fontId="21" fillId="0" borderId="0" xfId="0" applyFont="1" applyAlignment="1">
      <alignment horizontal="center"/>
    </xf>
    <xf numFmtId="0" fontId="16" fillId="0" borderId="0" xfId="0" applyFont="1" applyAlignment="1">
      <alignment horizontal="right"/>
    </xf>
    <xf numFmtId="0" fontId="2" fillId="0" borderId="13" xfId="0" applyFont="1" applyBorder="1"/>
    <xf numFmtId="7" fontId="0" fillId="0" borderId="15" xfId="0" applyNumberFormat="1" applyBorder="1"/>
    <xf numFmtId="178" fontId="16" fillId="0" borderId="14" xfId="0" applyNumberFormat="1" applyFont="1" applyBorder="1"/>
    <xf numFmtId="164" fontId="43" fillId="4" borderId="0" xfId="36" applyNumberFormat="1" applyFont="1" applyFill="1" applyBorder="1"/>
    <xf numFmtId="0" fontId="45" fillId="4" borderId="0" xfId="0" applyFont="1" applyFill="1" applyAlignment="1">
      <alignment horizontal="left" indent="1"/>
    </xf>
    <xf numFmtId="0" fontId="37" fillId="0" borderId="3" xfId="0" applyNumberFormat="1" applyFont="1" applyBorder="1"/>
    <xf numFmtId="0" fontId="33" fillId="3" borderId="0" xfId="29" applyFill="1" applyBorder="1"/>
    <xf numFmtId="168" fontId="43" fillId="0" borderId="0" xfId="13" applyNumberFormat="1" applyFont="1" applyAlignment="1">
      <alignment horizontal="right"/>
    </xf>
    <xf numFmtId="168" fontId="43" fillId="4" borderId="0" xfId="13" applyNumberFormat="1" applyFont="1" applyFill="1" applyAlignment="1">
      <alignment horizontal="right"/>
    </xf>
    <xf numFmtId="168" fontId="45" fillId="0" borderId="0" xfId="13" applyNumberFormat="1" applyFont="1" applyAlignment="1">
      <alignment horizontal="right"/>
    </xf>
    <xf numFmtId="0" fontId="37" fillId="0" borderId="0" xfId="0" applyFont="1" applyAlignment="1">
      <alignment horizontal="right"/>
    </xf>
    <xf numFmtId="0" fontId="33" fillId="3" borderId="0" xfId="29" applyFill="1" applyAlignment="1">
      <alignment horizontal="right"/>
    </xf>
    <xf numFmtId="179" fontId="33" fillId="3" borderId="0" xfId="29" applyNumberFormat="1" applyFill="1" applyAlignment="1">
      <alignment horizontal="right"/>
    </xf>
    <xf numFmtId="183" fontId="8" fillId="3" borderId="0" xfId="29" applyNumberFormat="1" applyFont="1" applyFill="1" applyAlignment="1">
      <alignment horizontal="right"/>
    </xf>
    <xf numFmtId="8" fontId="43" fillId="0" borderId="0" xfId="13" applyNumberFormat="1" applyFont="1" applyAlignment="1">
      <alignment horizontal="right"/>
    </xf>
    <xf numFmtId="187" fontId="43" fillId="4" borderId="0" xfId="13" applyNumberFormat="1" applyFont="1" applyFill="1" applyAlignment="1">
      <alignment horizontal="right"/>
    </xf>
    <xf numFmtId="43" fontId="43" fillId="0" borderId="0" xfId="13" applyNumberFormat="1" applyFont="1" applyAlignment="1">
      <alignment horizontal="right"/>
    </xf>
    <xf numFmtId="43" fontId="45" fillId="0" borderId="0" xfId="13" applyNumberFormat="1" applyFont="1" applyAlignment="1">
      <alignment horizontal="right"/>
    </xf>
    <xf numFmtId="8" fontId="45" fillId="4" borderId="0" xfId="13" applyNumberFormat="1" applyFont="1" applyFill="1" applyAlignment="1">
      <alignment horizontal="right"/>
    </xf>
    <xf numFmtId="179" fontId="44" fillId="0" borderId="0" xfId="0" applyNumberFormat="1" applyFont="1" applyAlignment="1">
      <alignment horizontal="right"/>
    </xf>
    <xf numFmtId="177" fontId="44" fillId="0" borderId="0" xfId="0" applyNumberFormat="1" applyFont="1" applyAlignment="1">
      <alignment horizontal="right"/>
    </xf>
    <xf numFmtId="177" fontId="8" fillId="3" borderId="0" xfId="29" applyNumberFormat="1" applyFont="1" applyFill="1" applyAlignment="1">
      <alignment horizontal="right"/>
    </xf>
    <xf numFmtId="164" fontId="43" fillId="0" borderId="0" xfId="0" applyNumberFormat="1" applyFont="1" applyAlignment="1">
      <alignment horizontal="right"/>
    </xf>
    <xf numFmtId="164" fontId="37" fillId="0" borderId="0" xfId="0" applyNumberFormat="1" applyFont="1" applyAlignment="1">
      <alignment horizontal="right"/>
    </xf>
    <xf numFmtId="0" fontId="43" fillId="0" borderId="0" xfId="13" applyNumberFormat="1" applyFont="1" applyBorder="1" applyAlignment="1">
      <alignment horizontal="right"/>
    </xf>
    <xf numFmtId="173" fontId="43" fillId="0" borderId="0" xfId="13" applyNumberFormat="1" applyFont="1" applyBorder="1" applyAlignment="1">
      <alignment horizontal="right"/>
    </xf>
    <xf numFmtId="43" fontId="43" fillId="0" borderId="0" xfId="13" applyNumberFormat="1" applyFont="1" applyBorder="1" applyAlignment="1">
      <alignment horizontal="right"/>
    </xf>
    <xf numFmtId="8" fontId="43" fillId="0" borderId="0" xfId="0" applyNumberFormat="1" applyFont="1" applyAlignment="1">
      <alignment horizontal="right"/>
    </xf>
    <xf numFmtId="165" fontId="43" fillId="0" borderId="0" xfId="0" applyNumberFormat="1" applyFont="1" applyAlignment="1">
      <alignment horizontal="right"/>
    </xf>
    <xf numFmtId="0" fontId="2" fillId="0" borderId="8" xfId="0" applyFont="1" applyFill="1" applyBorder="1"/>
    <xf numFmtId="7" fontId="0" fillId="0" borderId="4" xfId="0" applyNumberFormat="1" applyBorder="1"/>
    <xf numFmtId="0" fontId="0" fillId="0" borderId="15" xfId="0" applyBorder="1"/>
    <xf numFmtId="0" fontId="0" fillId="0" borderId="8" xfId="0" applyBorder="1"/>
    <xf numFmtId="178" fontId="0" fillId="0" borderId="0" xfId="0" applyNumberFormat="1" applyBorder="1"/>
    <xf numFmtId="7" fontId="0" fillId="0" borderId="0" xfId="0" applyNumberFormat="1" applyBorder="1"/>
    <xf numFmtId="180" fontId="0" fillId="0" borderId="0" xfId="0" applyNumberFormat="1" applyBorder="1"/>
    <xf numFmtId="180" fontId="0" fillId="0" borderId="4" xfId="0" applyNumberFormat="1" applyBorder="1"/>
    <xf numFmtId="185" fontId="0" fillId="0" borderId="0" xfId="0" applyNumberFormat="1" applyBorder="1"/>
    <xf numFmtId="0" fontId="0" fillId="0" borderId="9" xfId="0" applyBorder="1"/>
    <xf numFmtId="0" fontId="0" fillId="0" borderId="14" xfId="0" applyBorder="1"/>
    <xf numFmtId="178" fontId="16" fillId="0" borderId="0" xfId="0" applyNumberFormat="1" applyFont="1" applyBorder="1"/>
    <xf numFmtId="0" fontId="16" fillId="0" borderId="13" xfId="0" applyFont="1" applyBorder="1"/>
    <xf numFmtId="3" fontId="0" fillId="0" borderId="4" xfId="0" applyNumberFormat="1" applyBorder="1"/>
    <xf numFmtId="0" fontId="21" fillId="0" borderId="0" xfId="0" applyFont="1" applyBorder="1" applyAlignment="1">
      <alignment horizontal="center"/>
    </xf>
    <xf numFmtId="0" fontId="21" fillId="0" borderId="4" xfId="0" applyFont="1" applyBorder="1" applyAlignment="1">
      <alignment horizontal="center"/>
    </xf>
    <xf numFmtId="186" fontId="0" fillId="0" borderId="0" xfId="0" applyNumberFormat="1" applyBorder="1" applyAlignment="1">
      <alignment horizontal="center"/>
    </xf>
    <xf numFmtId="5" fontId="0" fillId="0" borderId="0" xfId="0" applyNumberFormat="1" applyBorder="1" applyAlignment="1">
      <alignment horizontal="center"/>
    </xf>
    <xf numFmtId="5" fontId="0" fillId="0" borderId="4" xfId="0" applyNumberFormat="1" applyBorder="1" applyAlignment="1">
      <alignment horizontal="center"/>
    </xf>
    <xf numFmtId="178" fontId="0" fillId="0" borderId="0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7" fontId="0" fillId="0" borderId="0" xfId="0" applyNumberFormat="1" applyBorder="1" applyAlignment="1">
      <alignment horizontal="center"/>
    </xf>
    <xf numFmtId="7" fontId="0" fillId="0" borderId="4" xfId="0" applyNumberFormat="1" applyBorder="1" applyAlignment="1">
      <alignment horizontal="center"/>
    </xf>
    <xf numFmtId="180" fontId="0" fillId="0" borderId="5" xfId="0" applyNumberFormat="1" applyBorder="1" applyAlignment="1">
      <alignment horizontal="center"/>
    </xf>
    <xf numFmtId="180" fontId="0" fillId="0" borderId="14" xfId="0" applyNumberFormat="1" applyBorder="1" applyAlignment="1">
      <alignment horizontal="center"/>
    </xf>
    <xf numFmtId="0" fontId="2" fillId="7" borderId="13" xfId="0" applyFont="1" applyFill="1" applyBorder="1"/>
    <xf numFmtId="178" fontId="0" fillId="7" borderId="12" xfId="0" applyNumberFormat="1" applyFill="1" applyBorder="1"/>
    <xf numFmtId="179" fontId="16" fillId="7" borderId="15" xfId="0" applyNumberFormat="1" applyFont="1" applyFill="1" applyBorder="1"/>
    <xf numFmtId="0" fontId="2" fillId="7" borderId="8" xfId="0" applyFont="1" applyFill="1" applyBorder="1"/>
    <xf numFmtId="178" fontId="0" fillId="7" borderId="0" xfId="0" applyNumberFormat="1" applyFill="1" applyBorder="1"/>
    <xf numFmtId="179" fontId="16" fillId="7" borderId="4" xfId="0" applyNumberFormat="1" applyFont="1" applyFill="1" applyBorder="1"/>
    <xf numFmtId="0" fontId="2" fillId="7" borderId="9" xfId="0" applyFont="1" applyFill="1" applyBorder="1"/>
    <xf numFmtId="178" fontId="0" fillId="7" borderId="5" xfId="0" applyNumberFormat="1" applyFill="1" applyBorder="1"/>
    <xf numFmtId="177" fontId="22" fillId="7" borderId="14" xfId="0" applyNumberFormat="1" applyFont="1" applyFill="1" applyBorder="1"/>
    <xf numFmtId="179" fontId="0" fillId="0" borderId="5" xfId="0" applyNumberFormat="1" applyBorder="1"/>
    <xf numFmtId="0" fontId="0" fillId="4" borderId="0" xfId="0" applyFill="1" applyBorder="1"/>
    <xf numFmtId="0" fontId="2" fillId="4" borderId="0" xfId="0" applyFont="1" applyFill="1" applyBorder="1"/>
    <xf numFmtId="178" fontId="0" fillId="4" borderId="0" xfId="0" applyNumberFormat="1" applyFill="1" applyBorder="1"/>
    <xf numFmtId="179" fontId="16" fillId="4" borderId="0" xfId="0" applyNumberFormat="1" applyFont="1" applyFill="1" applyBorder="1"/>
    <xf numFmtId="177" fontId="22" fillId="4" borderId="0" xfId="0" applyNumberFormat="1" applyFont="1" applyFill="1" applyBorder="1"/>
    <xf numFmtId="0" fontId="2" fillId="0" borderId="9" xfId="0" applyFont="1" applyFill="1" applyBorder="1"/>
    <xf numFmtId="9" fontId="16" fillId="0" borderId="14" xfId="0" applyNumberFormat="1" applyFont="1" applyBorder="1"/>
    <xf numFmtId="179" fontId="16" fillId="0" borderId="14" xfId="0" applyNumberFormat="1" applyFont="1" applyBorder="1"/>
    <xf numFmtId="0" fontId="2" fillId="0" borderId="13" xfId="0" applyFont="1" applyFill="1" applyBorder="1"/>
    <xf numFmtId="179" fontId="0" fillId="0" borderId="15" xfId="0" applyNumberFormat="1" applyBorder="1"/>
    <xf numFmtId="177" fontId="36" fillId="0" borderId="14" xfId="0" applyNumberFormat="1" applyFont="1" applyBorder="1"/>
    <xf numFmtId="179" fontId="49" fillId="0" borderId="0" xfId="0" applyNumberFormat="1" applyFont="1"/>
    <xf numFmtId="179" fontId="48" fillId="0" borderId="4" xfId="0" applyNumberFormat="1" applyFont="1" applyBorder="1"/>
    <xf numFmtId="9" fontId="43" fillId="0" borderId="0" xfId="0" applyNumberFormat="1" applyFont="1"/>
    <xf numFmtId="177" fontId="54" fillId="0" borderId="0" xfId="0" applyNumberFormat="1" applyFont="1"/>
    <xf numFmtId="188" fontId="43" fillId="0" borderId="0" xfId="0" applyNumberFormat="1" applyFont="1"/>
    <xf numFmtId="14" fontId="0" fillId="4" borderId="0" xfId="0" applyNumberFormat="1" applyFill="1" applyBorder="1"/>
    <xf numFmtId="14" fontId="0" fillId="4" borderId="12" xfId="0" applyNumberFormat="1" applyFill="1" applyBorder="1"/>
    <xf numFmtId="0" fontId="37" fillId="4" borderId="0" xfId="0" applyFont="1" applyFill="1" applyBorder="1" applyAlignment="1">
      <alignment horizontal="left"/>
    </xf>
    <xf numFmtId="0" fontId="37" fillId="4" borderId="0" xfId="0" applyFont="1" applyFill="1" applyBorder="1" applyAlignment="1">
      <alignment horizontal="left" indent="1"/>
    </xf>
    <xf numFmtId="179" fontId="43" fillId="4" borderId="0" xfId="0" applyNumberFormat="1" applyFont="1" applyFill="1"/>
    <xf numFmtId="179" fontId="43" fillId="4" borderId="0" xfId="0" applyNumberFormat="1" applyFont="1" applyFill="1" applyBorder="1"/>
    <xf numFmtId="177" fontId="57" fillId="0" borderId="0" xfId="0" applyNumberFormat="1" applyFont="1"/>
    <xf numFmtId="0" fontId="44" fillId="4" borderId="0" xfId="0" applyFont="1" applyFill="1" applyBorder="1" applyAlignment="1">
      <alignment horizontal="left" indent="1"/>
    </xf>
    <xf numFmtId="177" fontId="45" fillId="4" borderId="0" xfId="0" applyNumberFormat="1" applyFont="1" applyFill="1" applyBorder="1"/>
    <xf numFmtId="14" fontId="0" fillId="4" borderId="15" xfId="0" applyNumberFormat="1" applyFill="1" applyBorder="1"/>
    <xf numFmtId="14" fontId="0" fillId="4" borderId="4" xfId="0" applyNumberFormat="1" applyFill="1" applyBorder="1"/>
    <xf numFmtId="179" fontId="48" fillId="4" borderId="4" xfId="0" applyNumberFormat="1" applyFont="1" applyFill="1" applyBorder="1"/>
    <xf numFmtId="179" fontId="43" fillId="4" borderId="4" xfId="0" applyNumberFormat="1" applyFont="1" applyFill="1" applyBorder="1"/>
    <xf numFmtId="177" fontId="45" fillId="4" borderId="4" xfId="0" applyNumberFormat="1" applyFont="1" applyFill="1" applyBorder="1"/>
    <xf numFmtId="14" fontId="0" fillId="4" borderId="13" xfId="0" applyNumberFormat="1" applyFill="1" applyBorder="1"/>
    <xf numFmtId="14" fontId="0" fillId="4" borderId="8" xfId="0" applyNumberFormat="1" applyFill="1" applyBorder="1"/>
    <xf numFmtId="179" fontId="43" fillId="4" borderId="8" xfId="0" applyNumberFormat="1" applyFont="1" applyFill="1" applyBorder="1"/>
    <xf numFmtId="177" fontId="45" fillId="4" borderId="8" xfId="0" applyNumberFormat="1" applyFont="1" applyFill="1" applyBorder="1"/>
    <xf numFmtId="14" fontId="0" fillId="5" borderId="7" xfId="0" applyNumberFormat="1" applyFill="1" applyBorder="1"/>
    <xf numFmtId="179" fontId="0" fillId="4" borderId="8" xfId="0" applyNumberFormat="1" applyFill="1" applyBorder="1"/>
    <xf numFmtId="179" fontId="43" fillId="0" borderId="9" xfId="0" applyNumberFormat="1" applyFont="1" applyBorder="1"/>
    <xf numFmtId="179" fontId="48" fillId="0" borderId="8" xfId="0" applyNumberFormat="1" applyFont="1" applyBorder="1"/>
    <xf numFmtId="173" fontId="43" fillId="0" borderId="8" xfId="0" applyNumberFormat="1" applyFont="1" applyBorder="1"/>
    <xf numFmtId="0" fontId="37" fillId="4" borderId="3" xfId="0" applyFont="1" applyFill="1" applyBorder="1" applyAlignment="1">
      <alignment horizontal="left"/>
    </xf>
    <xf numFmtId="179" fontId="43" fillId="4" borderId="3" xfId="0" applyNumberFormat="1" applyFont="1" applyFill="1" applyBorder="1"/>
    <xf numFmtId="179" fontId="43" fillId="4" borderId="17" xfId="0" applyNumberFormat="1" applyFont="1" applyFill="1" applyBorder="1"/>
    <xf numFmtId="179" fontId="43" fillId="4" borderId="18" xfId="0" applyNumberFormat="1" applyFont="1" applyFill="1" applyBorder="1"/>
    <xf numFmtId="0" fontId="43" fillId="0" borderId="3" xfId="0" applyFont="1" applyBorder="1"/>
    <xf numFmtId="0" fontId="49" fillId="0" borderId="3" xfId="0" applyFont="1" applyBorder="1"/>
    <xf numFmtId="177" fontId="45" fillId="0" borderId="3" xfId="0" applyNumberFormat="1" applyFont="1" applyBorder="1"/>
    <xf numFmtId="177" fontId="45" fillId="0" borderId="17" xfId="0" applyNumberFormat="1" applyFont="1" applyBorder="1"/>
    <xf numFmtId="177" fontId="45" fillId="0" borderId="18" xfId="0" applyNumberFormat="1" applyFont="1" applyBorder="1"/>
    <xf numFmtId="177" fontId="51" fillId="0" borderId="3" xfId="0" applyNumberFormat="1" applyFont="1" applyBorder="1"/>
    <xf numFmtId="179" fontId="50" fillId="0" borderId="0" xfId="0" applyNumberFormat="1" applyFont="1"/>
    <xf numFmtId="0" fontId="43" fillId="0" borderId="17" xfId="0" applyFont="1" applyBorder="1"/>
    <xf numFmtId="0" fontId="43" fillId="0" borderId="18" xfId="0" applyFont="1" applyBorder="1"/>
    <xf numFmtId="182" fontId="43" fillId="0" borderId="3" xfId="0" quotePrefix="1" applyNumberFormat="1" applyFont="1" applyBorder="1" applyAlignment="1">
      <alignment horizontal="left"/>
    </xf>
    <xf numFmtId="181" fontId="43" fillId="0" borderId="3" xfId="0" applyNumberFormat="1" applyFont="1" applyBorder="1"/>
    <xf numFmtId="181" fontId="43" fillId="0" borderId="17" xfId="0" applyNumberFormat="1" applyFont="1" applyBorder="1"/>
    <xf numFmtId="181" fontId="43" fillId="0" borderId="18" xfId="0" applyNumberFormat="1" applyFont="1" applyBorder="1"/>
    <xf numFmtId="10" fontId="47" fillId="0" borderId="0" xfId="36" applyNumberFormat="1" applyFont="1" applyFill="1"/>
    <xf numFmtId="0" fontId="41" fillId="6" borderId="6" xfId="0" applyFont="1" applyFill="1" applyBorder="1" applyAlignment="1">
      <alignment horizontal="center"/>
    </xf>
    <xf numFmtId="180" fontId="43" fillId="4" borderId="0" xfId="13" applyNumberFormat="1" applyFont="1" applyFill="1" applyAlignment="1">
      <alignment horizontal="right"/>
    </xf>
    <xf numFmtId="179" fontId="43" fillId="4" borderId="0" xfId="13" applyNumberFormat="1" applyFont="1" applyFill="1" applyAlignment="1">
      <alignment horizontal="right"/>
    </xf>
    <xf numFmtId="168" fontId="37" fillId="0" borderId="0" xfId="13" applyNumberFormat="1" applyFont="1" applyBorder="1"/>
    <xf numFmtId="164" fontId="42" fillId="0" borderId="0" xfId="0" applyNumberFormat="1" applyFont="1" applyBorder="1"/>
    <xf numFmtId="168" fontId="37" fillId="0" borderId="0" xfId="0" applyNumberFormat="1" applyFont="1" applyBorder="1"/>
    <xf numFmtId="168" fontId="42" fillId="0" borderId="0" xfId="0" applyNumberFormat="1" applyFont="1" applyBorder="1"/>
    <xf numFmtId="7" fontId="38" fillId="0" borderId="0" xfId="18" applyNumberFormat="1" applyFont="1" applyBorder="1"/>
    <xf numFmtId="179" fontId="43" fillId="0" borderId="10" xfId="0" applyNumberFormat="1" applyFont="1" applyBorder="1"/>
    <xf numFmtId="179" fontId="43" fillId="0" borderId="16" xfId="0" applyNumberFormat="1" applyFont="1" applyBorder="1"/>
    <xf numFmtId="181" fontId="51" fillId="0" borderId="0" xfId="0" applyNumberFormat="1" applyFont="1"/>
    <xf numFmtId="181" fontId="51" fillId="0" borderId="0" xfId="0" applyNumberFormat="1" applyFont="1" applyBorder="1"/>
    <xf numFmtId="181" fontId="51" fillId="0" borderId="4" xfId="0" applyNumberFormat="1" applyFont="1" applyBorder="1"/>
    <xf numFmtId="181" fontId="54" fillId="0" borderId="0" xfId="0" applyNumberFormat="1" applyFont="1"/>
    <xf numFmtId="179" fontId="50" fillId="0" borderId="0" xfId="0" applyNumberFormat="1" applyFont="1" applyBorder="1"/>
    <xf numFmtId="179" fontId="50" fillId="0" borderId="8" xfId="0" applyNumberFormat="1" applyFont="1" applyBorder="1"/>
    <xf numFmtId="179" fontId="50" fillId="0" borderId="4" xfId="0" applyNumberFormat="1" applyFont="1" applyBorder="1"/>
    <xf numFmtId="177" fontId="57" fillId="0" borderId="0" xfId="0" applyNumberFormat="1" applyFont="1" applyBorder="1"/>
    <xf numFmtId="177" fontId="57" fillId="0" borderId="8" xfId="0" applyNumberFormat="1" applyFont="1" applyBorder="1"/>
    <xf numFmtId="177" fontId="57" fillId="0" borderId="4" xfId="0" applyNumberFormat="1" applyFont="1" applyBorder="1"/>
    <xf numFmtId="177" fontId="58" fillId="0" borderId="0" xfId="0" applyNumberFormat="1" applyFont="1" applyFill="1" applyBorder="1"/>
    <xf numFmtId="177" fontId="58" fillId="0" borderId="0" xfId="36" applyNumberFormat="1" applyFont="1" applyFill="1"/>
    <xf numFmtId="177" fontId="59" fillId="0" borderId="0" xfId="0" applyNumberFormat="1" applyFont="1"/>
    <xf numFmtId="183" fontId="61" fillId="0" borderId="0" xfId="0" applyNumberFormat="1" applyFont="1" applyBorder="1"/>
    <xf numFmtId="177" fontId="61" fillId="0" borderId="0" xfId="0" applyNumberFormat="1" applyFont="1" applyBorder="1"/>
    <xf numFmtId="181" fontId="60" fillId="0" borderId="0" xfId="0" applyNumberFormat="1" applyFont="1" applyBorder="1"/>
    <xf numFmtId="0" fontId="49" fillId="4" borderId="0" xfId="0" applyFont="1" applyFill="1"/>
    <xf numFmtId="178" fontId="0" fillId="4" borderId="4" xfId="0" applyNumberFormat="1" applyFill="1" applyBorder="1"/>
    <xf numFmtId="179" fontId="0" fillId="4" borderId="15" xfId="0" applyNumberFormat="1" applyFill="1" applyBorder="1"/>
    <xf numFmtId="177" fontId="42" fillId="0" borderId="5" xfId="13" applyNumberFormat="1" applyFont="1" applyBorder="1"/>
    <xf numFmtId="0" fontId="43" fillId="0" borderId="0" xfId="0" applyFont="1" applyAlignment="1">
      <alignment horizontal="center"/>
    </xf>
    <xf numFmtId="0" fontId="50" fillId="0" borderId="0" xfId="0" applyFont="1" applyBorder="1" applyAlignment="1">
      <alignment horizontal="center"/>
    </xf>
    <xf numFmtId="180" fontId="60" fillId="0" borderId="0" xfId="0" applyNumberFormat="1" applyFont="1" applyBorder="1"/>
    <xf numFmtId="9" fontId="43" fillId="0" borderId="0" xfId="0" applyNumberFormat="1" applyFont="1" applyBorder="1" applyAlignment="1">
      <alignment horizontal="center"/>
    </xf>
    <xf numFmtId="179" fontId="43" fillId="0" borderId="0" xfId="0" applyNumberFormat="1" applyFont="1" applyBorder="1" applyAlignment="1">
      <alignment horizontal="center"/>
    </xf>
    <xf numFmtId="180" fontId="48" fillId="0" borderId="0" xfId="0" applyNumberFormat="1" applyFont="1" applyBorder="1"/>
    <xf numFmtId="0" fontId="46" fillId="0" borderId="5" xfId="0" applyFont="1" applyBorder="1"/>
    <xf numFmtId="0" fontId="46" fillId="0" borderId="0" xfId="0" applyFont="1" applyBorder="1"/>
    <xf numFmtId="17" fontId="43" fillId="4" borderId="0" xfId="0" applyNumberFormat="1" applyFont="1" applyFill="1" applyBorder="1" applyAlignment="1">
      <alignment horizontal="center"/>
    </xf>
    <xf numFmtId="179" fontId="48" fillId="0" borderId="0" xfId="0" applyNumberFormat="1" applyFont="1" applyBorder="1" applyAlignment="1">
      <alignment horizontal="center"/>
    </xf>
    <xf numFmtId="0" fontId="43" fillId="4" borderId="0" xfId="0" applyFont="1" applyFill="1" applyBorder="1" applyAlignment="1">
      <alignment horizontal="center"/>
    </xf>
    <xf numFmtId="0" fontId="43" fillId="0" borderId="5" xfId="0" applyFont="1" applyBorder="1" applyAlignment="1">
      <alignment horizontal="center"/>
    </xf>
    <xf numFmtId="181" fontId="43" fillId="4" borderId="0" xfId="0" applyNumberFormat="1" applyFont="1" applyFill="1" applyBorder="1" applyAlignment="1">
      <alignment horizontal="center"/>
    </xf>
    <xf numFmtId="181" fontId="46" fillId="0" borderId="0" xfId="0" applyNumberFormat="1" applyFont="1" applyBorder="1" applyAlignment="1">
      <alignment horizontal="center"/>
    </xf>
    <xf numFmtId="181" fontId="43" fillId="0" borderId="0" xfId="0" applyNumberFormat="1" applyFont="1" applyBorder="1" applyAlignment="1">
      <alignment horizontal="center"/>
    </xf>
    <xf numFmtId="181" fontId="46" fillId="4" borderId="0" xfId="0" applyNumberFormat="1" applyFont="1" applyFill="1" applyBorder="1" applyAlignment="1">
      <alignment horizontal="center"/>
    </xf>
    <xf numFmtId="179" fontId="43" fillId="4" borderId="0" xfId="0" applyNumberFormat="1" applyFont="1" applyFill="1" applyBorder="1" applyAlignment="1">
      <alignment horizontal="center"/>
    </xf>
    <xf numFmtId="0" fontId="50" fillId="0" borderId="0" xfId="0" applyFont="1" applyBorder="1"/>
    <xf numFmtId="0" fontId="50" fillId="4" borderId="0" xfId="0" applyFont="1" applyFill="1" applyBorder="1" applyAlignment="1">
      <alignment horizontal="center"/>
    </xf>
    <xf numFmtId="173" fontId="43" fillId="0" borderId="4" xfId="0" applyNumberFormat="1" applyFont="1" applyBorder="1"/>
    <xf numFmtId="179" fontId="48" fillId="0" borderId="0" xfId="14" applyNumberFormat="1" applyFont="1" applyFill="1" applyBorder="1"/>
    <xf numFmtId="179" fontId="43" fillId="0" borderId="0" xfId="15" applyNumberFormat="1" applyFont="1" applyFill="1" applyBorder="1"/>
    <xf numFmtId="179" fontId="43" fillId="0" borderId="0" xfId="13" applyNumberFormat="1" applyFont="1" applyFill="1"/>
    <xf numFmtId="179" fontId="43" fillId="0" borderId="0" xfId="15" applyNumberFormat="1" applyFont="1" applyFill="1"/>
    <xf numFmtId="179" fontId="43" fillId="0" borderId="11" xfId="18" applyNumberFormat="1" applyFont="1" applyFill="1" applyBorder="1"/>
    <xf numFmtId="179" fontId="43" fillId="0" borderId="5" xfId="13" applyNumberFormat="1" applyFont="1" applyFill="1" applyBorder="1"/>
    <xf numFmtId="179" fontId="43" fillId="0" borderId="5" xfId="15" applyNumberFormat="1" applyFont="1" applyFill="1" applyBorder="1"/>
    <xf numFmtId="179" fontId="62" fillId="4" borderId="0" xfId="0" applyNumberFormat="1" applyFont="1" applyFill="1" applyBorder="1"/>
    <xf numFmtId="179" fontId="62" fillId="0" borderId="0" xfId="0" applyNumberFormat="1" applyFont="1"/>
    <xf numFmtId="0" fontId="39" fillId="3" borderId="0" xfId="0" applyFont="1" applyFill="1" applyAlignment="1">
      <alignment vertical="top"/>
    </xf>
    <xf numFmtId="0" fontId="50" fillId="0" borderId="0" xfId="0" applyFont="1" applyBorder="1" applyAlignment="1">
      <alignment horizontal="left" indent="1"/>
    </xf>
    <xf numFmtId="179" fontId="45" fillId="0" borderId="0" xfId="0" applyNumberFormat="1" applyFont="1" applyBorder="1"/>
    <xf numFmtId="179" fontId="45" fillId="0" borderId="8" xfId="0" applyNumberFormat="1" applyFont="1" applyBorder="1"/>
    <xf numFmtId="0" fontId="46" fillId="0" borderId="0" xfId="32" applyFont="1"/>
    <xf numFmtId="179" fontId="37" fillId="0" borderId="0" xfId="0" applyNumberFormat="1" applyFont="1"/>
    <xf numFmtId="179" fontId="37" fillId="0" borderId="5" xfId="0" applyNumberFormat="1" applyFont="1" applyBorder="1"/>
    <xf numFmtId="0" fontId="43" fillId="3" borderId="0" xfId="29" applyFont="1" applyFill="1"/>
    <xf numFmtId="179" fontId="43" fillId="3" borderId="0" xfId="29" applyNumberFormat="1" applyFont="1" applyFill="1"/>
    <xf numFmtId="0" fontId="37" fillId="0" borderId="0" xfId="0" applyFont="1" applyAlignment="1">
      <alignment horizontal="left" indent="1"/>
    </xf>
    <xf numFmtId="0" fontId="43" fillId="0" borderId="0" xfId="32" applyFont="1" applyAlignment="1">
      <alignment horizontal="left" indent="1"/>
    </xf>
    <xf numFmtId="179" fontId="37" fillId="0" borderId="0" xfId="13" applyNumberFormat="1" applyFont="1"/>
    <xf numFmtId="179" fontId="48" fillId="4" borderId="0" xfId="0" applyNumberFormat="1" applyFont="1" applyFill="1" applyBorder="1"/>
    <xf numFmtId="180" fontId="42" fillId="0" borderId="0" xfId="13" applyNumberFormat="1" applyFont="1"/>
    <xf numFmtId="180" fontId="62" fillId="0" borderId="0" xfId="13" applyNumberFormat="1" applyFont="1"/>
    <xf numFmtId="178" fontId="43" fillId="0" borderId="4" xfId="0" applyNumberFormat="1" applyFont="1" applyBorder="1"/>
    <xf numFmtId="177" fontId="59" fillId="0" borderId="4" xfId="0" applyNumberFormat="1" applyFont="1" applyBorder="1"/>
    <xf numFmtId="179" fontId="43" fillId="0" borderId="6" xfId="0" applyNumberFormat="1" applyFont="1" applyBorder="1"/>
    <xf numFmtId="183" fontId="45" fillId="0" borderId="4" xfId="0" applyNumberFormat="1" applyFont="1" applyBorder="1"/>
    <xf numFmtId="181" fontId="54" fillId="0" borderId="4" xfId="0" applyNumberFormat="1" applyFont="1" applyBorder="1"/>
    <xf numFmtId="14" fontId="0" fillId="5" borderId="16" xfId="0" applyNumberFormat="1" applyFill="1" applyBorder="1"/>
    <xf numFmtId="179" fontId="55" fillId="0" borderId="4" xfId="0" applyNumberFormat="1" applyFont="1" applyBorder="1"/>
    <xf numFmtId="179" fontId="0" fillId="4" borderId="4" xfId="0" applyNumberFormat="1" applyFill="1" applyBorder="1"/>
    <xf numFmtId="179" fontId="43" fillId="0" borderId="4" xfId="18" applyNumberFormat="1" applyFont="1" applyFill="1" applyBorder="1"/>
    <xf numFmtId="179" fontId="43" fillId="0" borderId="14" xfId="18" applyNumberFormat="1" applyFont="1" applyFill="1" applyBorder="1"/>
    <xf numFmtId="179" fontId="43" fillId="0" borderId="4" xfId="0" applyNumberFormat="1" applyFont="1" applyFill="1" applyBorder="1"/>
    <xf numFmtId="179" fontId="43" fillId="0" borderId="4" xfId="14" applyNumberFormat="1" applyFont="1" applyFill="1" applyBorder="1"/>
    <xf numFmtId="179" fontId="43" fillId="0" borderId="14" xfId="14" applyNumberFormat="1" applyFont="1" applyFill="1" applyBorder="1"/>
    <xf numFmtId="179" fontId="43" fillId="0" borderId="4" xfId="36" applyNumberFormat="1" applyFont="1" applyFill="1" applyBorder="1"/>
    <xf numFmtId="179" fontId="45" fillId="0" borderId="4" xfId="0" applyNumberFormat="1" applyFont="1" applyBorder="1"/>
    <xf numFmtId="179" fontId="43" fillId="0" borderId="4" xfId="15" applyNumberFormat="1" applyFont="1" applyFill="1" applyBorder="1"/>
    <xf numFmtId="179" fontId="43" fillId="0" borderId="28" xfId="18" applyNumberFormat="1" applyFont="1" applyFill="1" applyBorder="1"/>
    <xf numFmtId="179" fontId="43" fillId="0" borderId="14" xfId="15" applyNumberFormat="1" applyFont="1" applyFill="1" applyBorder="1"/>
    <xf numFmtId="179" fontId="43" fillId="0" borderId="4" xfId="13" applyNumberFormat="1" applyFont="1" applyFill="1" applyBorder="1"/>
    <xf numFmtId="179" fontId="43" fillId="0" borderId="14" xfId="13" applyNumberFormat="1" applyFont="1" applyFill="1" applyBorder="1"/>
    <xf numFmtId="179" fontId="45" fillId="0" borderId="4" xfId="14" applyNumberFormat="1" applyFont="1" applyFill="1" applyBorder="1" applyAlignment="1">
      <alignment horizontal="right"/>
    </xf>
    <xf numFmtId="0" fontId="43" fillId="4" borderId="15" xfId="0" applyFont="1" applyFill="1" applyBorder="1"/>
    <xf numFmtId="0" fontId="43" fillId="4" borderId="4" xfId="0" applyFont="1" applyFill="1" applyBorder="1"/>
    <xf numFmtId="179" fontId="62" fillId="0" borderId="4" xfId="0" applyNumberFormat="1" applyFont="1" applyBorder="1"/>
    <xf numFmtId="179" fontId="56" fillId="0" borderId="4" xfId="0" applyNumberFormat="1" applyFont="1" applyBorder="1"/>
    <xf numFmtId="179" fontId="48" fillId="0" borderId="4" xfId="14" applyNumberFormat="1" applyFont="1" applyFill="1" applyBorder="1"/>
    <xf numFmtId="172" fontId="43" fillId="0" borderId="4" xfId="0" applyNumberFormat="1" applyFont="1" applyBorder="1"/>
    <xf numFmtId="174" fontId="43" fillId="0" borderId="4" xfId="0" applyNumberFormat="1" applyFont="1" applyBorder="1" applyProtection="1"/>
    <xf numFmtId="174" fontId="46" fillId="0" borderId="4" xfId="0" applyNumberFormat="1" applyFont="1" applyBorder="1" applyAlignment="1" applyProtection="1">
      <alignment horizontal="left"/>
    </xf>
    <xf numFmtId="0" fontId="63" fillId="0" borderId="3" xfId="0" applyFont="1" applyBorder="1"/>
    <xf numFmtId="180" fontId="48" fillId="6" borderId="12" xfId="0" applyNumberFormat="1" applyFont="1" applyFill="1" applyBorder="1"/>
    <xf numFmtId="177" fontId="51" fillId="6" borderId="0" xfId="0" applyNumberFormat="1" applyFont="1" applyFill="1" applyBorder="1"/>
    <xf numFmtId="177" fontId="51" fillId="6" borderId="5" xfId="0" applyNumberFormat="1" applyFont="1" applyFill="1" applyBorder="1"/>
    <xf numFmtId="179" fontId="48" fillId="6" borderId="0" xfId="0" applyNumberFormat="1" applyFont="1" applyFill="1" applyBorder="1"/>
    <xf numFmtId="181" fontId="48" fillId="6" borderId="12" xfId="0" applyNumberFormat="1" applyFont="1" applyFill="1" applyBorder="1"/>
    <xf numFmtId="181" fontId="48" fillId="6" borderId="0" xfId="0" applyNumberFormat="1" applyFont="1" applyFill="1" applyBorder="1"/>
    <xf numFmtId="181" fontId="48" fillId="6" borderId="5" xfId="0" applyNumberFormat="1" applyFont="1" applyFill="1" applyBorder="1"/>
    <xf numFmtId="179" fontId="46" fillId="4" borderId="0" xfId="0" applyNumberFormat="1" applyFont="1" applyFill="1" applyBorder="1" applyAlignment="1">
      <alignment horizontal="center"/>
    </xf>
    <xf numFmtId="179" fontId="48" fillId="4" borderId="0" xfId="0" applyNumberFormat="1" applyFont="1" applyFill="1" applyBorder="1" applyAlignment="1">
      <alignment horizontal="center"/>
    </xf>
    <xf numFmtId="179" fontId="64" fillId="4" borderId="0" xfId="0" applyNumberFormat="1" applyFont="1" applyFill="1" applyBorder="1" applyAlignment="1">
      <alignment horizontal="center"/>
    </xf>
    <xf numFmtId="0" fontId="46" fillId="6" borderId="7" xfId="0" applyFont="1" applyFill="1" applyBorder="1"/>
    <xf numFmtId="0" fontId="43" fillId="6" borderId="10" xfId="0" applyFont="1" applyFill="1" applyBorder="1"/>
    <xf numFmtId="0" fontId="43" fillId="6" borderId="10" xfId="0" applyFont="1" applyFill="1" applyBorder="1" applyAlignment="1">
      <alignment horizontal="center"/>
    </xf>
    <xf numFmtId="180" fontId="46" fillId="6" borderId="16" xfId="0" applyNumberFormat="1" applyFont="1" applyFill="1" applyBorder="1" applyAlignment="1">
      <alignment horizontal="center"/>
    </xf>
    <xf numFmtId="180" fontId="43" fillId="4" borderId="0" xfId="0" applyNumberFormat="1" applyFont="1" applyFill="1" applyBorder="1" applyAlignment="1">
      <alignment horizontal="center"/>
    </xf>
    <xf numFmtId="0" fontId="43" fillId="0" borderId="0" xfId="0" applyFont="1" applyBorder="1" applyAlignment="1">
      <alignment horizontal="center"/>
    </xf>
    <xf numFmtId="0" fontId="48" fillId="4" borderId="0" xfId="0" applyFont="1" applyFill="1" applyBorder="1" applyAlignment="1">
      <alignment horizontal="center"/>
    </xf>
    <xf numFmtId="181" fontId="48" fillId="0" borderId="0" xfId="0" applyNumberFormat="1" applyFont="1" applyBorder="1" applyAlignment="1">
      <alignment horizontal="center"/>
    </xf>
    <xf numFmtId="0" fontId="43" fillId="0" borderId="0" xfId="0" applyFont="1" applyBorder="1" applyAlignment="1">
      <alignment horizontal="center"/>
    </xf>
    <xf numFmtId="0" fontId="42" fillId="0" borderId="0" xfId="0" applyFont="1" applyBorder="1"/>
    <xf numFmtId="0" fontId="41" fillId="4" borderId="0" xfId="0" applyFont="1" applyFill="1" applyBorder="1" applyAlignment="1">
      <alignment horizontal="center"/>
    </xf>
    <xf numFmtId="0" fontId="46" fillId="4" borderId="0" xfId="0" applyFont="1" applyFill="1" applyBorder="1" applyAlignment="1">
      <alignment horizontal="center"/>
    </xf>
    <xf numFmtId="181" fontId="48" fillId="4" borderId="0" xfId="0" applyNumberFormat="1" applyFont="1" applyFill="1" applyBorder="1" applyAlignment="1">
      <alignment horizontal="center"/>
    </xf>
    <xf numFmtId="180" fontId="46" fillId="4" borderId="0" xfId="0" applyNumberFormat="1" applyFont="1" applyFill="1" applyBorder="1" applyAlignment="1">
      <alignment horizontal="center"/>
    </xf>
    <xf numFmtId="9" fontId="48" fillId="0" borderId="0" xfId="0" applyNumberFormat="1" applyFont="1" applyBorder="1" applyAlignment="1">
      <alignment horizontal="center"/>
    </xf>
    <xf numFmtId="0" fontId="48" fillId="0" borderId="0" xfId="0" applyFont="1" applyBorder="1" applyAlignment="1">
      <alignment horizontal="center"/>
    </xf>
    <xf numFmtId="180" fontId="64" fillId="0" borderId="0" xfId="0" applyNumberFormat="1" applyFont="1" applyBorder="1"/>
    <xf numFmtId="0" fontId="64" fillId="0" borderId="0" xfId="0" applyFont="1" applyBorder="1" applyAlignment="1">
      <alignment horizontal="center"/>
    </xf>
    <xf numFmtId="179" fontId="50" fillId="0" borderId="0" xfId="0" applyNumberFormat="1" applyFont="1" applyBorder="1" applyAlignment="1">
      <alignment horizontal="center"/>
    </xf>
    <xf numFmtId="189" fontId="43" fillId="0" borderId="0" xfId="0" applyNumberFormat="1" applyFont="1" applyBorder="1" applyAlignment="1">
      <alignment horizontal="center"/>
    </xf>
    <xf numFmtId="189" fontId="43" fillId="4" borderId="0" xfId="0" applyNumberFormat="1" applyFont="1" applyFill="1" applyBorder="1" applyAlignment="1">
      <alignment horizontal="center"/>
    </xf>
    <xf numFmtId="179" fontId="46" fillId="0" borderId="0" xfId="0" applyNumberFormat="1" applyFont="1" applyBorder="1" applyAlignment="1">
      <alignment horizontal="center"/>
    </xf>
    <xf numFmtId="179" fontId="62" fillId="0" borderId="0" xfId="0" applyNumberFormat="1" applyFont="1" applyBorder="1" applyAlignment="1">
      <alignment horizontal="center"/>
    </xf>
    <xf numFmtId="179" fontId="62" fillId="4" borderId="0" xfId="0" applyNumberFormat="1" applyFont="1" applyFill="1" applyBorder="1" applyAlignment="1">
      <alignment horizontal="center"/>
    </xf>
    <xf numFmtId="177" fontId="45" fillId="4" borderId="0" xfId="0" applyNumberFormat="1" applyFont="1" applyFill="1" applyBorder="1" applyAlignment="1">
      <alignment horizontal="center"/>
    </xf>
    <xf numFmtId="0" fontId="50" fillId="0" borderId="5" xfId="0" applyFont="1" applyBorder="1"/>
    <xf numFmtId="0" fontId="46" fillId="0" borderId="0" xfId="0" applyFont="1" applyBorder="1" applyAlignment="1">
      <alignment horizontal="left" indent="1"/>
    </xf>
    <xf numFmtId="0" fontId="46" fillId="6" borderId="7" xfId="0" applyFont="1" applyFill="1" applyBorder="1" applyAlignment="1">
      <alignment horizontal="left" indent="1"/>
    </xf>
    <xf numFmtId="0" fontId="46" fillId="0" borderId="0" xfId="0" applyFont="1" applyFill="1" applyBorder="1" applyAlignment="1">
      <alignment horizontal="left" indent="1"/>
    </xf>
    <xf numFmtId="0" fontId="50" fillId="0" borderId="0" xfId="0" applyFont="1" applyFill="1" applyBorder="1"/>
    <xf numFmtId="181" fontId="50" fillId="0" borderId="0" xfId="0" applyNumberFormat="1" applyFont="1" applyBorder="1" applyAlignment="1">
      <alignment horizontal="center"/>
    </xf>
    <xf numFmtId="0" fontId="50" fillId="0" borderId="0" xfId="0" applyFont="1" applyAlignment="1">
      <alignment horizontal="center"/>
    </xf>
    <xf numFmtId="0" fontId="43" fillId="0" borderId="0" xfId="0" applyFont="1" applyFill="1" applyBorder="1" applyAlignment="1">
      <alignment horizontal="left"/>
    </xf>
    <xf numFmtId="174" fontId="7" fillId="0" borderId="0" xfId="0" applyNumberFormat="1" applyFont="1" applyBorder="1" applyAlignment="1" applyProtection="1">
      <alignment horizontal="left"/>
    </xf>
    <xf numFmtId="174" fontId="50" fillId="0" borderId="0" xfId="0" applyNumberFormat="1" applyFont="1" applyBorder="1" applyAlignment="1" applyProtection="1">
      <alignment horizontal="left"/>
    </xf>
    <xf numFmtId="176" fontId="50" fillId="0" borderId="5" xfId="14" applyNumberFormat="1" applyFont="1" applyFill="1" applyBorder="1"/>
    <xf numFmtId="179" fontId="50" fillId="0" borderId="9" xfId="0" applyNumberFormat="1" applyFont="1" applyBorder="1"/>
    <xf numFmtId="179" fontId="50" fillId="0" borderId="5" xfId="0" applyNumberFormat="1" applyFont="1" applyBorder="1"/>
    <xf numFmtId="179" fontId="50" fillId="0" borderId="14" xfId="14" applyNumberFormat="1" applyFont="1" applyFill="1" applyBorder="1"/>
    <xf numFmtId="179" fontId="50" fillId="0" borderId="5" xfId="14" applyNumberFormat="1" applyFont="1" applyFill="1" applyBorder="1"/>
    <xf numFmtId="0" fontId="35" fillId="0" borderId="0" xfId="0" applyFont="1"/>
    <xf numFmtId="180" fontId="43" fillId="0" borderId="0" xfId="0" applyNumberFormat="1" applyFont="1" applyAlignment="1">
      <alignment horizontal="center"/>
    </xf>
    <xf numFmtId="178" fontId="48" fillId="4" borderId="0" xfId="0" applyNumberFormat="1" applyFont="1" applyFill="1" applyBorder="1" applyAlignment="1">
      <alignment horizontal="center"/>
    </xf>
    <xf numFmtId="180" fontId="48" fillId="0" borderId="0" xfId="0" applyNumberFormat="1" applyFont="1" applyAlignment="1">
      <alignment horizontal="center"/>
    </xf>
    <xf numFmtId="14" fontId="43" fillId="4" borderId="0" xfId="0" applyNumberFormat="1" applyFont="1" applyFill="1" applyBorder="1" applyAlignment="1">
      <alignment horizontal="center"/>
    </xf>
    <xf numFmtId="180" fontId="48" fillId="0" borderId="6" xfId="0" applyNumberFormat="1" applyFont="1" applyBorder="1" applyAlignment="1">
      <alignment horizontal="center"/>
    </xf>
    <xf numFmtId="0" fontId="43" fillId="0" borderId="0" xfId="0" applyFont="1" applyBorder="1" applyAlignment="1">
      <alignment horizontal="center"/>
    </xf>
    <xf numFmtId="0" fontId="43" fillId="0" borderId="0" xfId="0" applyFont="1" applyBorder="1" applyAlignment="1">
      <alignment horizontal="center"/>
    </xf>
    <xf numFmtId="180" fontId="48" fillId="4" borderId="0" xfId="0" applyNumberFormat="1" applyFont="1" applyFill="1" applyBorder="1" applyAlignment="1">
      <alignment horizontal="center"/>
    </xf>
    <xf numFmtId="0" fontId="43" fillId="0" borderId="0" xfId="0" applyFont="1" applyBorder="1" applyAlignment="1">
      <alignment horizontal="center"/>
    </xf>
    <xf numFmtId="179" fontId="48" fillId="0" borderId="0" xfId="18" applyNumberFormat="1" applyFont="1" applyFill="1" applyBorder="1"/>
    <xf numFmtId="180" fontId="65" fillId="4" borderId="0" xfId="0" applyNumberFormat="1" applyFont="1" applyFill="1" applyBorder="1" applyAlignment="1">
      <alignment horizontal="center"/>
    </xf>
    <xf numFmtId="177" fontId="45" fillId="6" borderId="16" xfId="0" applyNumberFormat="1" applyFont="1" applyFill="1" applyBorder="1" applyAlignment="1">
      <alignment horizontal="center"/>
    </xf>
    <xf numFmtId="174" fontId="50" fillId="0" borderId="14" xfId="0" applyNumberFormat="1" applyFont="1" applyBorder="1" applyAlignment="1" applyProtection="1">
      <alignment horizontal="left"/>
    </xf>
    <xf numFmtId="172" fontId="43" fillId="0" borderId="14" xfId="0" applyNumberFormat="1" applyFont="1" applyBorder="1"/>
    <xf numFmtId="179" fontId="43" fillId="0" borderId="8" xfId="14" applyNumberFormat="1" applyFont="1" applyFill="1" applyBorder="1"/>
    <xf numFmtId="179" fontId="43" fillId="0" borderId="9" xfId="18" applyNumberFormat="1" applyFont="1" applyFill="1" applyBorder="1"/>
    <xf numFmtId="0" fontId="1" fillId="0" borderId="0" xfId="0" applyFont="1"/>
    <xf numFmtId="0" fontId="1" fillId="0" borderId="5" xfId="0" applyFont="1" applyBorder="1"/>
    <xf numFmtId="0" fontId="0" fillId="3" borderId="23" xfId="0" applyFill="1" applyBorder="1" applyAlignment="1">
      <alignment vertical="top"/>
    </xf>
    <xf numFmtId="0" fontId="39" fillId="3" borderId="0" xfId="0" applyFont="1" applyFill="1" applyAlignment="1">
      <alignment vertical="top"/>
    </xf>
    <xf numFmtId="0" fontId="39" fillId="3" borderId="24" xfId="0" applyFont="1" applyFill="1" applyBorder="1" applyAlignment="1">
      <alignment vertical="top"/>
    </xf>
    <xf numFmtId="0" fontId="39" fillId="3" borderId="26" xfId="0" applyFont="1" applyFill="1" applyBorder="1" applyAlignment="1">
      <alignment vertical="top"/>
    </xf>
    <xf numFmtId="0" fontId="39" fillId="3" borderId="25" xfId="0" applyFont="1" applyFill="1" applyBorder="1" applyAlignment="1">
      <alignment vertical="top"/>
    </xf>
    <xf numFmtId="0" fontId="40" fillId="3" borderId="0" xfId="0" applyFont="1" applyFill="1" applyAlignment="1">
      <alignment vertical="top"/>
    </xf>
    <xf numFmtId="0" fontId="0" fillId="3" borderId="0" xfId="0" applyFill="1" applyAlignment="1">
      <alignment vertical="top"/>
    </xf>
    <xf numFmtId="0" fontId="0" fillId="3" borderId="22" xfId="0" applyFill="1" applyBorder="1" applyAlignment="1">
      <alignment vertical="top"/>
    </xf>
  </cellXfs>
  <cellStyles count="49">
    <cellStyle name="%" xfId="1" xr:uid="{00000000-0005-0000-0000-000000000000}"/>
    <cellStyle name="_SUMMARY " xfId="2" xr:uid="{00000000-0005-0000-0000-000001000000}"/>
    <cellStyle name="_SUMMARY _RRST4" xfId="3" xr:uid="{00000000-0005-0000-0000-000002000000}"/>
    <cellStyle name="=C:\WINNT35\SYSTEM32\COMMAND.COM" xfId="4" xr:uid="{00000000-0005-0000-0000-000003000000}"/>
    <cellStyle name="0_Capex &amp; Depreciation " xfId="5" xr:uid="{00000000-0005-0000-0000-000004000000}"/>
    <cellStyle name="0_Capex &amp; Depreciation _RRST4" xfId="6" xr:uid="{00000000-0005-0000-0000-000005000000}"/>
    <cellStyle name="0_Valuing BP " xfId="7" xr:uid="{00000000-0005-0000-0000-000006000000}"/>
    <cellStyle name="0_Valuing BP _RRST4" xfId="8" xr:uid="{00000000-0005-0000-0000-000007000000}"/>
    <cellStyle name="Blue" xfId="9" xr:uid="{00000000-0005-0000-0000-000008000000}"/>
    <cellStyle name="c_HardInc " xfId="10" xr:uid="{00000000-0005-0000-0000-000009000000}"/>
    <cellStyle name="c_HardInc _RRST4" xfId="11" xr:uid="{00000000-0005-0000-0000-00000A000000}"/>
    <cellStyle name="Changeable" xfId="12" xr:uid="{00000000-0005-0000-0000-00000B000000}"/>
    <cellStyle name="Comma" xfId="13" builtinId="3"/>
    <cellStyle name="comma (1)" xfId="14" xr:uid="{00000000-0005-0000-0000-00000D000000}"/>
    <cellStyle name="Comma 2" xfId="15" xr:uid="{00000000-0005-0000-0000-000010000000}"/>
    <cellStyle name="Comma 2 2" xfId="16" xr:uid="{00000000-0005-0000-0000-000011000000}"/>
    <cellStyle name="comma(1)" xfId="17" xr:uid="{00000000-0005-0000-0000-000012000000}"/>
    <cellStyle name="Currency" xfId="18" builtinId="4"/>
    <cellStyle name="Currency (1)" xfId="19" xr:uid="{00000000-0005-0000-0000-000015000000}"/>
    <cellStyle name="Currency [1]" xfId="20" xr:uid="{00000000-0005-0000-0000-000017000000}"/>
    <cellStyle name="Currency 2" xfId="21" xr:uid="{00000000-0005-0000-0000-000018000000}"/>
    <cellStyle name="Currency 3" xfId="22" xr:uid="{00000000-0005-0000-0000-000019000000}"/>
    <cellStyle name="Currency 4" xfId="23" xr:uid="{00000000-0005-0000-0000-00001A000000}"/>
    <cellStyle name="Normal" xfId="0" builtinId="0"/>
    <cellStyle name="Normal 15" xfId="24" xr:uid="{00000000-0005-0000-0000-000020000000}"/>
    <cellStyle name="Normal 2" xfId="25" xr:uid="{00000000-0005-0000-0000-000021000000}"/>
    <cellStyle name="Normal 3" xfId="26" xr:uid="{00000000-0005-0000-0000-000022000000}"/>
    <cellStyle name="Normal 4" xfId="27" xr:uid="{00000000-0005-0000-0000-000023000000}"/>
    <cellStyle name="Normal 5" xfId="28" xr:uid="{00000000-0005-0000-0000-000024000000}"/>
    <cellStyle name="Normal 6" xfId="29" xr:uid="{00000000-0005-0000-0000-000025000000}"/>
    <cellStyle name="Normal 7" xfId="30" xr:uid="{00000000-0005-0000-0000-000026000000}"/>
    <cellStyle name="Normal_DisclaimerSheet Samples" xfId="31" xr:uid="{00000000-0005-0000-0000-000028000000}"/>
    <cellStyle name="Normal_NTL Consolidated" xfId="32" xr:uid="{00000000-0005-0000-0000-00002C000000}"/>
    <cellStyle name="Œ…‹æØ‚è [0.00]_GE 3 MINIMUM" xfId="33" xr:uid="{00000000-0005-0000-0000-000030000000}"/>
    <cellStyle name="Œ…‹æØ‚è_GE 3 MINIMUM" xfId="34" xr:uid="{00000000-0005-0000-0000-000031000000}"/>
    <cellStyle name="p " xfId="35" xr:uid="{00000000-0005-0000-0000-000032000000}"/>
    <cellStyle name="Percent" xfId="36" builtinId="5"/>
    <cellStyle name="Percent (1)" xfId="37" xr:uid="{00000000-0005-0000-0000-000034000000}"/>
    <cellStyle name="Percent 2" xfId="38" xr:uid="{00000000-0005-0000-0000-000035000000}"/>
    <cellStyle name="Percent 2 2" xfId="39" xr:uid="{00000000-0005-0000-0000-000036000000}"/>
    <cellStyle name="Price" xfId="40" xr:uid="{00000000-0005-0000-0000-000037000000}"/>
    <cellStyle name="RRSInstruction" xfId="41" xr:uid="{00000000-0005-0000-0000-000038000000}"/>
    <cellStyle name="s_HardInc " xfId="42" xr:uid="{00000000-0005-0000-0000-000039000000}"/>
    <cellStyle name="s_HardInc _RRST4" xfId="43" xr:uid="{00000000-0005-0000-0000-00003A000000}"/>
    <cellStyle name="s_Valuation " xfId="44" xr:uid="{00000000-0005-0000-0000-00003B000000}"/>
    <cellStyle name="s_Valuation _RRST4" xfId="45" xr:uid="{00000000-0005-0000-0000-00003C000000}"/>
    <cellStyle name="ssp " xfId="46" xr:uid="{00000000-0005-0000-0000-00003D000000}"/>
    <cellStyle name="Style 1" xfId="47" xr:uid="{00000000-0005-0000-0000-00003E000000}"/>
    <cellStyle name="Style 2" xfId="48" xr:uid="{00000000-0005-0000-0000-00003F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32C464"/>
      <rgbColor rgb="00CCFFFF"/>
      <rgbColor rgb="00660066"/>
      <rgbColor rgb="00F37B53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3399FF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174</xdr:row>
      <xdr:rowOff>0</xdr:rowOff>
    </xdr:from>
    <xdr:to>
      <xdr:col>9</xdr:col>
      <xdr:colOff>298450</xdr:colOff>
      <xdr:row>197</xdr:row>
      <xdr:rowOff>107950</xdr:rowOff>
    </xdr:to>
    <xdr:pic>
      <xdr:nvPicPr>
        <xdr:cNvPr id="7468650" name="Picture 1" descr="C:\Users\mansscam\AppData\Local\Temp\MercuryPriceRatingHistoryChart\SIRI.O.gif">
          <a:extLst>
            <a:ext uri="{FF2B5EF4-FFF2-40B4-BE49-F238E27FC236}">
              <a16:creationId xmlns:a16="http://schemas.microsoft.com/office/drawing/2014/main" id="{00000000-0008-0000-0000-00006AF67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48300"/>
          <a:ext cx="6394450" cy="390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>
    <pageSetUpPr fitToPage="1"/>
  </sheetPr>
  <dimension ref="A1:W374"/>
  <sheetViews>
    <sheetView showGridLines="0" tabSelected="1" view="pageBreakPreview" zoomScale="85" zoomScaleNormal="85" zoomScaleSheetLayoutView="85" workbookViewId="0"/>
  </sheetViews>
  <sheetFormatPr defaultColWidth="11.83203125" defaultRowHeight="12.75" x14ac:dyDescent="0.2"/>
  <cols>
    <col min="1" max="6" width="11.83203125" style="15"/>
    <col min="7" max="7" width="12.5" style="15" bestFit="1" customWidth="1"/>
    <col min="8" max="16" width="11.83203125" style="15"/>
    <col min="17" max="17" width="11.83203125" style="15" customWidth="1"/>
    <col min="18" max="19" width="11.83203125" style="15"/>
    <col min="20" max="21" width="0" style="15" hidden="1" customWidth="1"/>
    <col min="22" max="22" width="11.83203125" style="15" hidden="1" customWidth="1"/>
    <col min="23" max="16384" width="11.83203125" style="15"/>
  </cols>
  <sheetData>
    <row r="1" spans="1:22" ht="21.95" customHeight="1" x14ac:dyDescent="0.2">
      <c r="A1" s="13"/>
      <c r="B1" s="14"/>
      <c r="C1" s="14"/>
      <c r="D1" s="14"/>
      <c r="E1" s="14"/>
      <c r="F1" s="14"/>
    </row>
    <row r="2" spans="1:22" ht="15.75" thickBot="1" x14ac:dyDescent="0.3">
      <c r="A2" s="16"/>
      <c r="B2" s="25" t="s">
        <v>67</v>
      </c>
      <c r="C2" s="26"/>
      <c r="D2" s="26"/>
      <c r="E2" s="26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22"/>
      <c r="T2" s="222"/>
      <c r="U2" s="222"/>
      <c r="V2" s="222"/>
    </row>
    <row r="3" spans="1:22" ht="15" x14ac:dyDescent="0.25">
      <c r="A3" s="16"/>
      <c r="B3" s="29" t="s">
        <v>140</v>
      </c>
      <c r="C3" s="30"/>
      <c r="D3" s="30"/>
      <c r="E3" s="30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28"/>
    </row>
    <row r="4" spans="1:22" ht="15" x14ac:dyDescent="0.25">
      <c r="A4" s="16"/>
      <c r="B4" s="32" t="s">
        <v>141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</row>
    <row r="5" spans="1:22" ht="15" x14ac:dyDescent="0.25">
      <c r="A5" s="16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spans="1:22" ht="15.75" thickBot="1" x14ac:dyDescent="0.3">
      <c r="A6" s="16"/>
      <c r="B6" s="33" t="s">
        <v>142</v>
      </c>
      <c r="C6" s="26"/>
      <c r="D6" s="26"/>
      <c r="E6" s="26"/>
      <c r="F6" s="26"/>
      <c r="G6" s="26"/>
      <c r="H6" s="28"/>
      <c r="I6" s="33" t="s">
        <v>143</v>
      </c>
      <c r="J6" s="33"/>
      <c r="K6" s="33"/>
      <c r="L6" s="33"/>
      <c r="M6" s="90">
        <v>2011</v>
      </c>
      <c r="N6" s="90">
        <v>2012</v>
      </c>
      <c r="O6" s="90">
        <v>2013</v>
      </c>
      <c r="P6" s="90">
        <v>2014</v>
      </c>
      <c r="Q6" s="90">
        <v>2015</v>
      </c>
      <c r="R6" s="90">
        <v>2016</v>
      </c>
      <c r="S6" s="90">
        <v>2017</v>
      </c>
      <c r="T6" s="90">
        <v>2018</v>
      </c>
      <c r="U6" s="90">
        <v>2019</v>
      </c>
      <c r="V6" s="90">
        <v>2020</v>
      </c>
    </row>
    <row r="7" spans="1:22" ht="15" x14ac:dyDescent="0.25">
      <c r="A7" s="13"/>
      <c r="B7" s="28" t="s">
        <v>144</v>
      </c>
      <c r="C7" s="28"/>
      <c r="D7" s="28"/>
      <c r="E7" s="28"/>
      <c r="F7" s="28"/>
      <c r="G7" s="410">
        <v>4.24</v>
      </c>
      <c r="H7" s="28"/>
      <c r="I7" s="28" t="s">
        <v>28</v>
      </c>
      <c r="J7" s="28"/>
      <c r="K7" s="28"/>
      <c r="L7" s="28"/>
      <c r="M7" s="34">
        <v>3014.5240000000003</v>
      </c>
      <c r="N7" s="34">
        <v>3402.04</v>
      </c>
      <c r="O7" s="34">
        <v>3799.0949999999998</v>
      </c>
      <c r="P7" s="34">
        <v>4181.0950000000003</v>
      </c>
      <c r="Q7" s="34">
        <f>Model!O115</f>
        <v>4570.0410000000002</v>
      </c>
      <c r="R7" s="34">
        <f>Model!T115</f>
        <v>5011.1794749999999</v>
      </c>
      <c r="S7" s="34">
        <f>Model!U115</f>
        <v>5377.8573899778139</v>
      </c>
      <c r="T7" s="34">
        <f>Model!V115</f>
        <v>5650.223733721833</v>
      </c>
      <c r="U7" s="34">
        <f>Model!W115</f>
        <v>5876.8656329475389</v>
      </c>
      <c r="V7" s="34">
        <f>Model!X115</f>
        <v>6078.8476007994341</v>
      </c>
    </row>
    <row r="8" spans="1:22" ht="15" x14ac:dyDescent="0.25">
      <c r="A8" s="13"/>
      <c r="B8" s="406" t="s">
        <v>348</v>
      </c>
      <c r="C8" s="28"/>
      <c r="D8" s="28"/>
      <c r="E8" s="28"/>
      <c r="F8" s="28"/>
      <c r="G8" s="411">
        <f>G7-Model!O213</f>
        <v>3.9485568289093793</v>
      </c>
      <c r="H8" s="28"/>
      <c r="I8" s="37" t="s">
        <v>146</v>
      </c>
      <c r="J8" s="28"/>
      <c r="K8" s="28"/>
      <c r="L8" s="28"/>
      <c r="M8" s="38"/>
      <c r="N8" s="38"/>
      <c r="O8" s="38"/>
      <c r="P8" s="39"/>
      <c r="Q8" s="39"/>
      <c r="R8" s="39">
        <v>4930</v>
      </c>
      <c r="S8" s="39">
        <v>5300</v>
      </c>
      <c r="T8" s="28"/>
    </row>
    <row r="9" spans="1:22" ht="15" x14ac:dyDescent="0.25">
      <c r="A9" s="13"/>
      <c r="B9" s="35" t="s">
        <v>145</v>
      </c>
      <c r="C9" s="35"/>
      <c r="D9" s="35"/>
      <c r="E9" s="35"/>
      <c r="F9" s="35"/>
      <c r="G9" s="36">
        <f>Model!Q153</f>
        <v>4988.2470000000003</v>
      </c>
      <c r="H9" s="28"/>
      <c r="I9" s="28" t="s">
        <v>169</v>
      </c>
      <c r="J9" s="28"/>
      <c r="K9" s="28"/>
      <c r="L9" s="28"/>
      <c r="M9" s="34">
        <v>731.0180000000006</v>
      </c>
      <c r="N9" s="34">
        <v>920.34600000000023</v>
      </c>
      <c r="O9" s="34">
        <v>1166.1430000000005</v>
      </c>
      <c r="P9" s="34">
        <v>1467.7759999999998</v>
      </c>
      <c r="Q9" s="34">
        <f>Model!O143</f>
        <v>1657.617</v>
      </c>
      <c r="R9" s="34">
        <f>Model!T143</f>
        <v>1852.9616678500004</v>
      </c>
      <c r="S9" s="34">
        <f>Model!U143</f>
        <v>2070.2923780471083</v>
      </c>
      <c r="T9" s="34">
        <f>Model!V143</f>
        <v>2080.5250122178368</v>
      </c>
      <c r="U9" s="34">
        <f>Model!W143</f>
        <v>2140.1309896606681</v>
      </c>
      <c r="V9" s="34">
        <f>Model!X143</f>
        <v>2163.5631725710346</v>
      </c>
    </row>
    <row r="10" spans="1:22" ht="15" x14ac:dyDescent="0.25">
      <c r="A10" s="17"/>
      <c r="B10" s="28" t="s">
        <v>147</v>
      </c>
      <c r="C10" s="28"/>
      <c r="D10" s="28"/>
      <c r="E10" s="28"/>
      <c r="F10" s="28"/>
      <c r="G10" s="34">
        <f>G7*G9</f>
        <v>21150.167280000001</v>
      </c>
      <c r="H10" s="28"/>
      <c r="I10" s="37" t="s">
        <v>146</v>
      </c>
      <c r="J10" s="28"/>
      <c r="K10" s="28"/>
      <c r="L10" s="28"/>
      <c r="M10" s="38"/>
      <c r="N10" s="38"/>
      <c r="O10" s="38"/>
      <c r="P10" s="39"/>
      <c r="Q10" s="39"/>
      <c r="R10" s="39">
        <v>1840</v>
      </c>
      <c r="S10" s="39">
        <v>2010</v>
      </c>
      <c r="T10" s="28"/>
    </row>
    <row r="11" spans="1:22" ht="15" x14ac:dyDescent="0.25">
      <c r="A11" s="17"/>
      <c r="B11" s="28" t="s">
        <v>148</v>
      </c>
      <c r="C11" s="28"/>
      <c r="D11" s="28"/>
      <c r="E11" s="28"/>
      <c r="F11" s="28"/>
      <c r="G11" s="34">
        <f>Model!Q241-Model!Q219</f>
        <v>5620.3549999999996</v>
      </c>
      <c r="H11" s="28"/>
      <c r="I11" s="28" t="s">
        <v>150</v>
      </c>
      <c r="J11" s="28"/>
      <c r="K11" s="28"/>
      <c r="L11" s="28"/>
      <c r="M11" s="80">
        <v>1.4851260160800638E-2</v>
      </c>
      <c r="N11" s="80">
        <v>1.9358837972472509E-2</v>
      </c>
      <c r="O11" s="80">
        <v>4.372783357663064E-2</v>
      </c>
      <c r="P11" s="80">
        <v>8.1697283528110773E-2</v>
      </c>
      <c r="Q11" s="80">
        <f>Model!O154</f>
        <v>9.377505673239786E-2</v>
      </c>
      <c r="R11" s="80">
        <f>Model!T154</f>
        <v>0.14390406466347402</v>
      </c>
      <c r="S11" s="80">
        <f>Model!U154</f>
        <v>0.17196074108842355</v>
      </c>
      <c r="T11" s="80">
        <f>Model!V154</f>
        <v>0.20134932126069641</v>
      </c>
      <c r="U11" s="80">
        <f>Model!W154</f>
        <v>0.38375825049523987</v>
      </c>
      <c r="V11" s="80">
        <f>Model!X154</f>
        <v>0.43658321259416161</v>
      </c>
    </row>
    <row r="12" spans="1:22" ht="15" x14ac:dyDescent="0.25">
      <c r="A12" s="17"/>
      <c r="B12" s="35" t="s">
        <v>149</v>
      </c>
      <c r="C12" s="35"/>
      <c r="D12" s="35"/>
      <c r="E12" s="35"/>
      <c r="F12" s="35"/>
      <c r="G12" s="36">
        <v>205</v>
      </c>
      <c r="H12" s="28"/>
      <c r="I12" s="37" t="s">
        <v>146</v>
      </c>
      <c r="J12" s="28"/>
      <c r="K12" s="28"/>
      <c r="L12" s="28"/>
      <c r="M12" s="40"/>
      <c r="N12" s="40"/>
      <c r="O12" s="40"/>
      <c r="P12" s="42"/>
      <c r="Q12" s="81"/>
      <c r="R12" s="81">
        <v>0.15</v>
      </c>
      <c r="S12" s="81">
        <v>0.19</v>
      </c>
      <c r="T12" s="28"/>
    </row>
    <row r="13" spans="1:22" ht="15" x14ac:dyDescent="0.25">
      <c r="A13" s="17"/>
      <c r="B13" s="28" t="s">
        <v>151</v>
      </c>
      <c r="C13" s="28"/>
      <c r="D13" s="28"/>
      <c r="E13" s="28"/>
      <c r="F13" s="28"/>
      <c r="G13" s="41">
        <f>G10+G11-G12</f>
        <v>26565.522280000001</v>
      </c>
      <c r="H13" s="28"/>
      <c r="I13" s="28" t="s">
        <v>154</v>
      </c>
      <c r="J13" s="28"/>
      <c r="K13" s="28"/>
      <c r="L13" s="28"/>
      <c r="M13" s="34">
        <v>416.28600000000017</v>
      </c>
      <c r="N13" s="34">
        <v>744.70100000000025</v>
      </c>
      <c r="O13" s="34">
        <v>995.15299999999968</v>
      </c>
      <c r="P13" s="34">
        <v>1192.1959999999999</v>
      </c>
      <c r="Q13" s="34">
        <f>Model!O194</f>
        <v>1315.193</v>
      </c>
      <c r="R13" s="34">
        <f>Model!T194</f>
        <v>1421.6176367858495</v>
      </c>
      <c r="S13" s="34">
        <f>Model!U194</f>
        <v>1507.7139215572552</v>
      </c>
      <c r="T13" s="34">
        <f>Model!V194</f>
        <v>1457.5578473986975</v>
      </c>
      <c r="U13" s="34">
        <f>Model!W194</f>
        <v>2072.8353566287365</v>
      </c>
      <c r="V13" s="34">
        <f>Model!X194</f>
        <v>2012.0161521870882</v>
      </c>
    </row>
    <row r="14" spans="1:22" ht="15" x14ac:dyDescent="0.25">
      <c r="A14" s="17"/>
      <c r="B14" s="35" t="s">
        <v>341</v>
      </c>
      <c r="C14" s="35"/>
      <c r="D14" s="35"/>
      <c r="E14" s="35"/>
      <c r="F14" s="35"/>
      <c r="G14" s="403">
        <f>Model!O212</f>
        <v>1584.0420144439263</v>
      </c>
      <c r="H14" s="28"/>
      <c r="I14" s="37" t="s">
        <v>146</v>
      </c>
      <c r="Q14" s="39"/>
      <c r="R14" s="39">
        <v>1354.1</v>
      </c>
      <c r="S14" s="39">
        <v>1490.7</v>
      </c>
      <c r="T14" s="28"/>
    </row>
    <row r="15" spans="1:22" ht="15" x14ac:dyDescent="0.25">
      <c r="A15" s="17"/>
      <c r="B15" s="28" t="s">
        <v>343</v>
      </c>
      <c r="C15" s="404"/>
      <c r="D15" s="404"/>
      <c r="E15" s="404"/>
      <c r="F15" s="404"/>
      <c r="G15" s="405">
        <f>G13-G14</f>
        <v>24981.480265556074</v>
      </c>
      <c r="H15" s="28"/>
      <c r="I15" s="28" t="s">
        <v>345</v>
      </c>
      <c r="J15" s="28"/>
      <c r="K15" s="28"/>
      <c r="L15" s="28"/>
      <c r="M15" s="34"/>
      <c r="N15" s="34"/>
      <c r="O15" s="34"/>
      <c r="P15" s="34">
        <f>Model!J199</f>
        <v>805</v>
      </c>
      <c r="Q15" s="34">
        <f>Model!O199</f>
        <v>950.19299999999998</v>
      </c>
      <c r="R15" s="34">
        <f>Model!T199</f>
        <v>996.59785609584969</v>
      </c>
      <c r="S15" s="34">
        <f>Model!U199</f>
        <v>1003.2957476978794</v>
      </c>
      <c r="T15" s="28"/>
    </row>
    <row r="16" spans="1:22" ht="15" x14ac:dyDescent="0.25">
      <c r="A16" s="17"/>
      <c r="B16" s="28"/>
      <c r="C16" s="404"/>
      <c r="D16" s="404"/>
      <c r="E16" s="404"/>
      <c r="F16" s="404"/>
      <c r="G16" s="405"/>
      <c r="H16" s="28"/>
      <c r="I16" s="28"/>
      <c r="J16" s="28"/>
      <c r="K16" s="28"/>
      <c r="L16" s="28"/>
      <c r="M16" s="38"/>
      <c r="N16" s="38"/>
      <c r="O16" s="38"/>
      <c r="P16" s="38"/>
      <c r="Q16" s="44"/>
      <c r="R16" s="44"/>
      <c r="S16" s="44"/>
      <c r="T16" s="28"/>
    </row>
    <row r="17" spans="1:23" ht="15.75" thickBot="1" x14ac:dyDescent="0.3">
      <c r="A17" s="17"/>
      <c r="B17" s="27" t="s">
        <v>350</v>
      </c>
      <c r="C17" s="27"/>
      <c r="D17" s="27"/>
      <c r="E17" s="90" t="s">
        <v>66</v>
      </c>
      <c r="F17" s="90" t="s">
        <v>152</v>
      </c>
      <c r="G17" s="90" t="s">
        <v>153</v>
      </c>
      <c r="H17" s="28"/>
      <c r="I17" s="28" t="s">
        <v>156</v>
      </c>
      <c r="J17" s="28"/>
      <c r="K17" s="28"/>
      <c r="L17" s="28"/>
      <c r="M17" s="46"/>
      <c r="N17" s="46">
        <f t="shared" ref="N17:V17" si="0">N7/M7-1</f>
        <v>0.12854964830268378</v>
      </c>
      <c r="O17" s="46">
        <f t="shared" si="0"/>
        <v>0.11671085583943741</v>
      </c>
      <c r="P17" s="46">
        <f t="shared" si="0"/>
        <v>0.10055026262833655</v>
      </c>
      <c r="Q17" s="46">
        <f t="shared" si="0"/>
        <v>9.3024913330120418E-2</v>
      </c>
      <c r="R17" s="46">
        <f t="shared" si="0"/>
        <v>9.6528340774185484E-2</v>
      </c>
      <c r="S17" s="46">
        <f t="shared" si="0"/>
        <v>7.3171978135509574E-2</v>
      </c>
      <c r="T17" s="46">
        <f t="shared" si="0"/>
        <v>5.06458844095794E-2</v>
      </c>
      <c r="U17" s="46">
        <f t="shared" si="0"/>
        <v>4.0112022090922794E-2</v>
      </c>
      <c r="V17" s="46">
        <f t="shared" si="0"/>
        <v>3.4368995390930968E-2</v>
      </c>
    </row>
    <row r="18" spans="1:23" ht="15" x14ac:dyDescent="0.25">
      <c r="A18" s="17"/>
      <c r="B18" s="509" t="s">
        <v>18</v>
      </c>
      <c r="C18" s="28"/>
      <c r="D18" s="28"/>
      <c r="E18" s="43">
        <f>S9</f>
        <v>2070.2923780471083</v>
      </c>
      <c r="F18" s="43">
        <f ca="1">S34</f>
        <v>2188.2906917579817</v>
      </c>
      <c r="G18" s="43">
        <f ca="1">S58</f>
        <v>1867.66699159734</v>
      </c>
      <c r="H18" s="28"/>
      <c r="I18" s="28" t="s">
        <v>157</v>
      </c>
      <c r="J18" s="28"/>
      <c r="K18" s="28"/>
      <c r="L18" s="28"/>
      <c r="M18" s="46">
        <f t="shared" ref="M18:S18" si="1">M9/M7</f>
        <v>0.24249864986976402</v>
      </c>
      <c r="N18" s="46">
        <f t="shared" si="1"/>
        <v>0.27052768338996608</v>
      </c>
      <c r="O18" s="46">
        <f t="shared" si="1"/>
        <v>0.30695284008428336</v>
      </c>
      <c r="P18" s="46">
        <f t="shared" si="1"/>
        <v>0.35105062190646225</v>
      </c>
      <c r="Q18" s="46">
        <f t="shared" si="1"/>
        <v>0.3627138137272729</v>
      </c>
      <c r="R18" s="46">
        <f t="shared" si="1"/>
        <v>0.36976557656618364</v>
      </c>
      <c r="S18" s="46">
        <f t="shared" si="1"/>
        <v>0.38496602418377801</v>
      </c>
      <c r="T18" s="46">
        <f>T9/T7</f>
        <v>0.36821993433654415</v>
      </c>
      <c r="U18" s="46">
        <f>U9/U7</f>
        <v>0.36416197397170819</v>
      </c>
      <c r="V18" s="46">
        <f>V9/V7</f>
        <v>0.35591666622576662</v>
      </c>
    </row>
    <row r="19" spans="1:23" ht="15" x14ac:dyDescent="0.25">
      <c r="A19" s="17"/>
      <c r="B19" s="35" t="s">
        <v>155</v>
      </c>
      <c r="C19" s="35"/>
      <c r="D19" s="35"/>
      <c r="E19" s="45">
        <v>15</v>
      </c>
      <c r="F19" s="45">
        <v>15</v>
      </c>
      <c r="G19" s="45">
        <v>13</v>
      </c>
      <c r="H19" s="28"/>
      <c r="I19" s="28" t="s">
        <v>158</v>
      </c>
      <c r="J19" s="28"/>
      <c r="K19" s="28"/>
      <c r="L19" s="28"/>
      <c r="M19" s="38"/>
      <c r="N19" s="46">
        <f t="shared" ref="N19:S19" si="2">N13/M13-1</f>
        <v>0.788916754346771</v>
      </c>
      <c r="O19" s="46">
        <f t="shared" si="2"/>
        <v>0.33631215749676624</v>
      </c>
      <c r="P19" s="46">
        <f t="shared" si="2"/>
        <v>0.19800271917986501</v>
      </c>
      <c r="Q19" s="46">
        <f t="shared" si="2"/>
        <v>0.10316843874664916</v>
      </c>
      <c r="R19" s="46">
        <f t="shared" si="2"/>
        <v>8.0919406342528921E-2</v>
      </c>
      <c r="S19" s="46">
        <f t="shared" si="2"/>
        <v>6.0562195166670607E-2</v>
      </c>
      <c r="T19" s="46">
        <f>T11/S11-1</f>
        <v>0.17090284669778799</v>
      </c>
      <c r="U19" s="46">
        <f>U11/T11-1</f>
        <v>0.90593267507651576</v>
      </c>
      <c r="V19" s="46">
        <f>V11/U11-1</f>
        <v>0.13765166489776082</v>
      </c>
    </row>
    <row r="20" spans="1:23" ht="15" x14ac:dyDescent="0.25">
      <c r="A20" s="17"/>
      <c r="B20" s="28" t="s">
        <v>44</v>
      </c>
      <c r="C20" s="28"/>
      <c r="D20" s="28"/>
      <c r="E20" s="41">
        <f>E18*E19</f>
        <v>31054.385670706622</v>
      </c>
      <c r="F20" s="41">
        <f ca="1">F18*F19</f>
        <v>32824.360376369725</v>
      </c>
      <c r="G20" s="41">
        <f ca="1">G18*G19</f>
        <v>24279.670890765421</v>
      </c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46">
        <f>T13/S13-1</f>
        <v>-3.3266306983989025E-2</v>
      </c>
      <c r="U20" s="46">
        <f>U13/T13-1</f>
        <v>0.42212904985426425</v>
      </c>
      <c r="V20" s="46">
        <f>V13/U13-1</f>
        <v>-2.9341068622336097E-2</v>
      </c>
    </row>
    <row r="21" spans="1:23" ht="15" x14ac:dyDescent="0.25">
      <c r="A21" s="13"/>
      <c r="B21" s="509" t="s">
        <v>148</v>
      </c>
      <c r="C21" s="28"/>
      <c r="D21" s="28"/>
      <c r="E21" s="43">
        <f>S28</f>
        <v>6152.1858216568971</v>
      </c>
      <c r="F21" s="43">
        <f ca="1">S52</f>
        <v>7014.4047099295394</v>
      </c>
      <c r="G21" s="43">
        <f ca="1">S76</f>
        <v>4364.6577766781411</v>
      </c>
      <c r="H21" s="28"/>
      <c r="I21" s="28" t="s">
        <v>155</v>
      </c>
      <c r="J21" s="28"/>
      <c r="K21" s="28"/>
      <c r="L21" s="28"/>
      <c r="M21" s="38"/>
      <c r="N21" s="38"/>
      <c r="O21" s="48"/>
      <c r="P21" s="49">
        <f>$G$13/P9</f>
        <v>18.099166548574171</v>
      </c>
      <c r="Q21" s="49">
        <f>$G$13/Q9</f>
        <v>16.026333151747359</v>
      </c>
      <c r="R21" s="49">
        <f>$G$13/R9</f>
        <v>14.336789983801497</v>
      </c>
      <c r="S21" s="49">
        <f>$G$13/S9</f>
        <v>12.831773213143482</v>
      </c>
      <c r="T21" s="28"/>
    </row>
    <row r="22" spans="1:23" ht="15" x14ac:dyDescent="0.25">
      <c r="A22" s="18"/>
      <c r="B22" s="509" t="s">
        <v>389</v>
      </c>
      <c r="C22" s="28"/>
      <c r="D22" s="28"/>
      <c r="E22" s="43">
        <f>Model!U212</f>
        <v>907.24816485877511</v>
      </c>
      <c r="F22" s="43">
        <f>E22</f>
        <v>907.24816485877511</v>
      </c>
      <c r="G22" s="43">
        <f>F22</f>
        <v>907.24816485877511</v>
      </c>
      <c r="H22" s="28"/>
      <c r="I22" s="28" t="s">
        <v>344</v>
      </c>
      <c r="J22" s="28"/>
      <c r="K22" s="28"/>
      <c r="L22" s="28"/>
      <c r="M22" s="38"/>
      <c r="N22" s="38"/>
      <c r="O22" s="48"/>
      <c r="P22" s="49">
        <f>$G$15/P9</f>
        <v>17.019954179354396</v>
      </c>
      <c r="Q22" s="49">
        <f>$G$15/Q9</f>
        <v>15.070719150175266</v>
      </c>
      <c r="R22" s="49">
        <f>$G$15/R9</f>
        <v>13.481919620356852</v>
      </c>
      <c r="S22" s="49">
        <f>$G$15/S9</f>
        <v>12.066643596070678</v>
      </c>
      <c r="T22" s="49">
        <f>$G$13/T9</f>
        <v>12.768662776940706</v>
      </c>
      <c r="U22" s="49">
        <f>$G$13/U9</f>
        <v>12.413035654519511</v>
      </c>
      <c r="V22" s="49">
        <f>$G$13/V9</f>
        <v>12.278597924381982</v>
      </c>
    </row>
    <row r="23" spans="1:23" ht="15" x14ac:dyDescent="0.25">
      <c r="A23" s="18"/>
      <c r="B23" s="510" t="s">
        <v>149</v>
      </c>
      <c r="C23" s="35"/>
      <c r="D23" s="35"/>
      <c r="E23" s="47">
        <f>G12</f>
        <v>205</v>
      </c>
      <c r="F23" s="47">
        <f>E23</f>
        <v>205</v>
      </c>
      <c r="G23" s="47">
        <f>F23</f>
        <v>205</v>
      </c>
      <c r="H23" s="28"/>
      <c r="I23" s="28" t="s">
        <v>159</v>
      </c>
      <c r="J23" s="28"/>
      <c r="K23" s="28"/>
      <c r="L23" s="28"/>
      <c r="M23" s="38"/>
      <c r="N23" s="38"/>
      <c r="O23" s="50"/>
      <c r="P23" s="49">
        <f>$G$7/P11</f>
        <v>51.89891042755518</v>
      </c>
      <c r="Q23" s="49">
        <f>$G$7/Q11</f>
        <v>45.214582083373401</v>
      </c>
      <c r="R23" s="49">
        <f>$G$7/R11</f>
        <v>29.46407392949898</v>
      </c>
      <c r="S23" s="49">
        <f>$G$7/S11</f>
        <v>24.656790690496962</v>
      </c>
      <c r="T23" s="49"/>
      <c r="U23" s="49"/>
      <c r="V23" s="49"/>
    </row>
    <row r="24" spans="1:23" ht="15" x14ac:dyDescent="0.25">
      <c r="A24" s="19"/>
      <c r="B24" s="28" t="s">
        <v>171</v>
      </c>
      <c r="C24" s="28"/>
      <c r="D24" s="28"/>
      <c r="E24" s="43">
        <f>E20-E21-E23</f>
        <v>24697.199849049724</v>
      </c>
      <c r="F24" s="43">
        <f ca="1">F20-F21-F23</f>
        <v>25604.955666440186</v>
      </c>
      <c r="G24" s="43">
        <f ca="1">G20-G21-G23</f>
        <v>19710.01311408728</v>
      </c>
      <c r="H24" s="28"/>
      <c r="I24" s="28" t="s">
        <v>161</v>
      </c>
      <c r="J24" s="28"/>
      <c r="K24" s="28"/>
      <c r="L24" s="28"/>
      <c r="M24" s="38"/>
      <c r="N24" s="38"/>
      <c r="O24" s="46"/>
      <c r="P24" s="46">
        <f>P25/$G$7</f>
        <v>5.6368159372780141E-2</v>
      </c>
      <c r="Q24" s="46">
        <f>Q25/$G$7</f>
        <v>6.2183574370292163E-2</v>
      </c>
      <c r="R24" s="46">
        <f>R25/$G$7</f>
        <v>6.8425954793311969E-2</v>
      </c>
      <c r="S24" s="46">
        <f>S25/$G$7</f>
        <v>8.0816569551739659E-2</v>
      </c>
      <c r="T24" s="49">
        <f>$G$7/T11</f>
        <v>21.057930433797061</v>
      </c>
      <c r="U24" s="49">
        <f>$G$7/U11</f>
        <v>11.048622393207916</v>
      </c>
      <c r="V24" s="49">
        <f>$G$7/V11</f>
        <v>9.7117797425285186</v>
      </c>
    </row>
    <row r="25" spans="1:23" ht="15" x14ac:dyDescent="0.25">
      <c r="A25" s="20"/>
      <c r="B25" s="35" t="s">
        <v>167</v>
      </c>
      <c r="C25" s="35"/>
      <c r="D25" s="35"/>
      <c r="E25" s="47">
        <f>Drivers!F58</f>
        <v>4400</v>
      </c>
      <c r="F25" s="47">
        <f>Drivers!F59</f>
        <v>4200</v>
      </c>
      <c r="G25" s="47">
        <f>Drivers!F60</f>
        <v>4850</v>
      </c>
      <c r="H25" s="28"/>
      <c r="I25" s="28" t="s">
        <v>163</v>
      </c>
      <c r="J25" s="28"/>
      <c r="K25" s="28"/>
      <c r="L25" s="28"/>
      <c r="M25" s="38"/>
      <c r="N25" s="38"/>
      <c r="O25" s="38"/>
      <c r="P25" s="53">
        <f>P13/$G$9</f>
        <v>0.23900099574058781</v>
      </c>
      <c r="Q25" s="53">
        <f>Q13/$G$9</f>
        <v>0.26365835533003878</v>
      </c>
      <c r="R25" s="53">
        <f>R13/Drivers!E58</f>
        <v>0.29012604832364275</v>
      </c>
      <c r="S25" s="53">
        <f>S13/Drivers!F58</f>
        <v>0.34266225489937618</v>
      </c>
      <c r="T25" s="46">
        <f>T13/$G$10</f>
        <v>6.8914719590751974E-2</v>
      </c>
      <c r="U25" s="46">
        <f>U13/$G$10</f>
        <v>9.8005624692569154E-2</v>
      </c>
      <c r="V25" s="46">
        <f>V13/$G$10</f>
        <v>9.5130034933089566E-2</v>
      </c>
    </row>
    <row r="26" spans="1:23" ht="15" x14ac:dyDescent="0.25">
      <c r="A26" s="20"/>
      <c r="B26" s="32" t="s">
        <v>184</v>
      </c>
      <c r="C26" s="32"/>
      <c r="D26" s="32"/>
      <c r="E26" s="82">
        <f>E24/E25</f>
        <v>5.6129999656931195</v>
      </c>
      <c r="F26" s="82">
        <f ca="1">F24/F25</f>
        <v>6.0964180158190917</v>
      </c>
      <c r="G26" s="82">
        <f ca="1">G24/G25</f>
        <v>4.0639202297087174</v>
      </c>
      <c r="H26" s="28"/>
      <c r="I26" s="28" t="s">
        <v>346</v>
      </c>
      <c r="J26" s="28"/>
      <c r="K26" s="28"/>
      <c r="L26" s="28"/>
      <c r="M26" s="38"/>
      <c r="N26" s="38"/>
      <c r="O26" s="46"/>
      <c r="P26" s="46">
        <f>P27/$G$8</f>
        <v>3.6122921820583555E-2</v>
      </c>
      <c r="Q26" s="46">
        <f>Q27/$G$8</f>
        <v>4.4275209107710566E-2</v>
      </c>
      <c r="R26" s="46">
        <f>R27/$G$8</f>
        <v>5.093599372773059E-2</v>
      </c>
      <c r="S26" s="46">
        <f>S27/$G$8</f>
        <v>5.7748126903218067E-2</v>
      </c>
      <c r="T26" s="53">
        <f>T13/$G$9</f>
        <v>0.29219841106478839</v>
      </c>
      <c r="U26" s="53">
        <f>U13/$G$9</f>
        <v>0.41554384869649325</v>
      </c>
      <c r="V26" s="53">
        <f>V13/$G$9</f>
        <v>0.4033513481162998</v>
      </c>
    </row>
    <row r="27" spans="1:23" ht="15" x14ac:dyDescent="0.25">
      <c r="A27" s="20"/>
      <c r="B27" s="28" t="s">
        <v>160</v>
      </c>
      <c r="C27" s="28"/>
      <c r="D27" s="28"/>
      <c r="E27" s="51">
        <f>E26/$G$7-1</f>
        <v>0.32382074662573568</v>
      </c>
      <c r="F27" s="51">
        <f ca="1">F26/$G$7-1</f>
        <v>0.43783443769318198</v>
      </c>
      <c r="G27" s="51">
        <f ca="1">G26/$G$7-1</f>
        <v>-4.1528247710208244E-2</v>
      </c>
      <c r="H27" s="28"/>
      <c r="I27" s="28" t="s">
        <v>347</v>
      </c>
      <c r="J27" s="28"/>
      <c r="K27" s="28"/>
      <c r="L27" s="28"/>
      <c r="M27" s="38"/>
      <c r="N27" s="38"/>
      <c r="O27" s="38"/>
      <c r="P27" s="53">
        <f>Model!J200</f>
        <v>0.14263340963482482</v>
      </c>
      <c r="Q27" s="53">
        <f>Model!O200</f>
        <v>0.1748231792736413</v>
      </c>
      <c r="R27" s="53">
        <f>Model!T200</f>
        <v>0.20112366587091593</v>
      </c>
      <c r="S27" s="53">
        <f>Model!U200</f>
        <v>0.22802176084042713</v>
      </c>
      <c r="T27" s="54">
        <f>Model!V262</f>
        <v>6814.6279742581992</v>
      </c>
      <c r="U27" s="54">
        <f>Model!W262</f>
        <v>6861.7926176294623</v>
      </c>
      <c r="V27" s="54">
        <f>Model!X262</f>
        <v>6969.7764654423736</v>
      </c>
    </row>
    <row r="28" spans="1:23" ht="15" x14ac:dyDescent="0.25">
      <c r="A28" s="20"/>
      <c r="B28" s="28" t="s">
        <v>162</v>
      </c>
      <c r="C28" s="28"/>
      <c r="D28" s="28"/>
      <c r="E28" s="52">
        <v>0.5</v>
      </c>
      <c r="F28" s="52">
        <v>0.25</v>
      </c>
      <c r="G28" s="52">
        <v>0.25</v>
      </c>
      <c r="H28" s="28"/>
      <c r="I28" s="28" t="s">
        <v>148</v>
      </c>
      <c r="J28" s="28"/>
      <c r="K28" s="28"/>
      <c r="L28" s="28"/>
      <c r="M28" s="38"/>
      <c r="N28" s="54"/>
      <c r="O28" s="54"/>
      <c r="P28" s="54">
        <f>Model!J262</f>
        <v>4346.1390000000001</v>
      </c>
      <c r="Q28" s="54">
        <f>Model!O262</f>
        <v>5331.7759999999998</v>
      </c>
      <c r="R28" s="54">
        <f>Model!T262</f>
        <v>5333.24736321415</v>
      </c>
      <c r="S28" s="54">
        <f>Model!U262</f>
        <v>6152.1858216568971</v>
      </c>
      <c r="T28" s="49">
        <f>T27/T9</f>
        <v>3.2754366971026294</v>
      </c>
      <c r="U28" s="49">
        <f>U27/U9</f>
        <v>3.2062488935396636</v>
      </c>
      <c r="V28" s="49">
        <f>V27/V9</f>
        <v>3.2214342311807584</v>
      </c>
    </row>
    <row r="29" spans="1:23" ht="15" x14ac:dyDescent="0.25">
      <c r="A29" s="19"/>
      <c r="B29" s="28"/>
      <c r="C29" s="28"/>
      <c r="D29" s="28"/>
      <c r="E29" s="83"/>
      <c r="F29" s="83"/>
      <c r="G29" s="83"/>
      <c r="H29" s="28"/>
      <c r="I29" s="28" t="s">
        <v>165</v>
      </c>
      <c r="J29" s="28"/>
      <c r="K29" s="28"/>
      <c r="L29" s="28"/>
      <c r="M29" s="38"/>
      <c r="N29" s="38"/>
      <c r="O29" s="48"/>
      <c r="P29" s="49">
        <f>P28/P9</f>
        <v>2.9610369702188892</v>
      </c>
      <c r="Q29" s="49">
        <f>Q28/Q9</f>
        <v>3.2165307184952856</v>
      </c>
      <c r="R29" s="49">
        <f>R28/R9</f>
        <v>2.8782286518653892</v>
      </c>
      <c r="S29" s="49">
        <f>S28/S9</f>
        <v>2.971650713152028</v>
      </c>
      <c r="T29" s="30"/>
    </row>
    <row r="30" spans="1:23" ht="15" x14ac:dyDescent="0.25">
      <c r="A30" s="19"/>
      <c r="B30" s="55" t="s">
        <v>164</v>
      </c>
      <c r="C30" s="56"/>
      <c r="D30" s="56"/>
      <c r="E30" s="56"/>
      <c r="F30" s="56"/>
      <c r="G30" s="57">
        <f ca="1">(E26*E28)+(F26*F28)+(G26*G28)</f>
        <v>5.346584544228512</v>
      </c>
      <c r="H30" s="28"/>
      <c r="I30" s="68"/>
      <c r="J30" s="68"/>
      <c r="K30" s="68"/>
      <c r="L30" s="68"/>
      <c r="M30" s="220"/>
      <c r="N30" s="220"/>
      <c r="O30" s="220"/>
      <c r="P30" s="220"/>
      <c r="Q30" s="220"/>
      <c r="R30" s="220"/>
      <c r="S30" s="220"/>
      <c r="T30" s="28"/>
    </row>
    <row r="31" spans="1:23" ht="15.75" thickBot="1" x14ac:dyDescent="0.3">
      <c r="A31" s="20"/>
      <c r="B31" s="58" t="s">
        <v>160</v>
      </c>
      <c r="C31" s="35"/>
      <c r="D31" s="35"/>
      <c r="E31" s="35"/>
      <c r="F31" s="35"/>
      <c r="G31" s="59">
        <f ca="1">G30/G7-1</f>
        <v>0.2609869208086113</v>
      </c>
      <c r="H31" s="28"/>
      <c r="I31" s="33" t="s">
        <v>166</v>
      </c>
      <c r="J31" s="27"/>
      <c r="K31" s="27"/>
      <c r="L31" s="27"/>
      <c r="M31" s="90">
        <v>2011</v>
      </c>
      <c r="N31" s="90">
        <v>2012</v>
      </c>
      <c r="O31" s="90">
        <v>2013</v>
      </c>
      <c r="P31" s="90">
        <v>2014</v>
      </c>
      <c r="Q31" s="90">
        <v>2015</v>
      </c>
      <c r="R31" s="90">
        <v>2016</v>
      </c>
      <c r="S31" s="90">
        <v>2017</v>
      </c>
      <c r="T31" s="90">
        <v>2018</v>
      </c>
      <c r="U31" s="90">
        <v>2019</v>
      </c>
      <c r="V31" s="90">
        <v>2020</v>
      </c>
      <c r="W31" s="223"/>
    </row>
    <row r="32" spans="1:23" ht="15" x14ac:dyDescent="0.25">
      <c r="A32" s="20"/>
      <c r="B32" s="30"/>
      <c r="C32" s="30"/>
      <c r="D32" s="30"/>
      <c r="E32" s="30"/>
      <c r="F32" s="30"/>
      <c r="G32" s="60"/>
      <c r="H32" s="28"/>
      <c r="I32" s="124" t="s">
        <v>28</v>
      </c>
      <c r="J32" s="124"/>
      <c r="K32" s="124"/>
      <c r="L32" s="124"/>
      <c r="M32" s="224">
        <v>3014.5240000000003</v>
      </c>
      <c r="N32" s="224">
        <v>3402.04</v>
      </c>
      <c r="O32" s="224">
        <v>3799.0949999999998</v>
      </c>
      <c r="P32" s="224">
        <v>4181.0950000000003</v>
      </c>
      <c r="Q32" s="225">
        <f ca="1">IF(Drivers!$E$4=2,Model!O115,Q32)</f>
        <v>4570.0410000000002</v>
      </c>
      <c r="R32" s="225">
        <f ca="1">IF(Drivers!$E$4=2,Model!T115,R32)</f>
        <v>5011.1794749999999</v>
      </c>
      <c r="S32" s="225">
        <f ca="1">IF(Drivers!$E$4=2,Model!U115,S32)</f>
        <v>5455.217990493923</v>
      </c>
      <c r="T32" s="225">
        <f>T7*(1+LTV!J13)</f>
        <v>5736.8294827322015</v>
      </c>
      <c r="U32" s="225">
        <f>U7*(1+LTV!K13)</f>
        <v>6004.9961379464876</v>
      </c>
      <c r="V32" s="225">
        <f>V7*(1+LTV!L13)</f>
        <v>6250.5454528334885</v>
      </c>
    </row>
    <row r="33" spans="1:22" ht="15.75" thickBot="1" x14ac:dyDescent="0.3">
      <c r="A33" s="20"/>
      <c r="B33" s="27" t="s">
        <v>351</v>
      </c>
      <c r="C33" s="27"/>
      <c r="D33" s="27"/>
      <c r="E33" s="90" t="s">
        <v>66</v>
      </c>
      <c r="F33" s="90" t="s">
        <v>152</v>
      </c>
      <c r="G33" s="90" t="s">
        <v>153</v>
      </c>
      <c r="H33" s="28"/>
      <c r="I33" s="221" t="s">
        <v>146</v>
      </c>
      <c r="J33" s="124"/>
      <c r="K33" s="124"/>
      <c r="L33" s="124"/>
      <c r="M33" s="79"/>
      <c r="N33" s="79"/>
      <c r="O33" s="79"/>
      <c r="P33" s="226"/>
      <c r="Q33" s="39">
        <v>4497.8599999999997</v>
      </c>
      <c r="R33" s="39">
        <v>4787.21</v>
      </c>
      <c r="S33" s="39">
        <v>5127.91</v>
      </c>
      <c r="T33" s="227"/>
      <c r="U33" s="228"/>
      <c r="V33" s="229"/>
    </row>
    <row r="34" spans="1:22" ht="15" x14ac:dyDescent="0.25">
      <c r="A34" s="20"/>
      <c r="B34" s="509" t="s">
        <v>246</v>
      </c>
      <c r="C34" s="28"/>
      <c r="D34" s="28"/>
      <c r="E34" s="43">
        <f>S13</f>
        <v>1507.7139215572552</v>
      </c>
      <c r="F34" s="43">
        <f ca="1">S38</f>
        <v>1596.0359532846123</v>
      </c>
      <c r="G34" s="43">
        <f ca="1">S62</f>
        <v>1385.78288653601</v>
      </c>
      <c r="H34" s="28"/>
      <c r="I34" s="124" t="s">
        <v>18</v>
      </c>
      <c r="J34" s="124"/>
      <c r="K34" s="124"/>
      <c r="L34" s="124"/>
      <c r="M34" s="224">
        <v>731.0180000000006</v>
      </c>
      <c r="N34" s="224">
        <v>920.34600000000023</v>
      </c>
      <c r="O34" s="224">
        <v>1166.1430000000005</v>
      </c>
      <c r="P34" s="224">
        <v>1467.7759999999998</v>
      </c>
      <c r="Q34" s="225">
        <f ca="1">IF(Drivers!$E$4=2,Model!O143,Q34)</f>
        <v>1657.617</v>
      </c>
      <c r="R34" s="225">
        <f ca="1">IF(Drivers!$E$4=2,Model!T143,R34)</f>
        <v>1866.9416678500002</v>
      </c>
      <c r="S34" s="225">
        <f ca="1">IF(Drivers!$E$4=2,Model!U143,S34)</f>
        <v>2188.2906917579817</v>
      </c>
      <c r="T34" s="225">
        <f>T9*(1+LTV!J17)</f>
        <v>2135.2510891373099</v>
      </c>
      <c r="U34" s="225">
        <f>U9*(1+LTV!K17)</f>
        <v>2218.1753867951775</v>
      </c>
      <c r="V34" s="225">
        <f>V9*(1+LTV!L17)</f>
        <v>2263.664703205367</v>
      </c>
    </row>
    <row r="35" spans="1:22" ht="15" x14ac:dyDescent="0.25">
      <c r="A35" s="20"/>
      <c r="B35" s="35" t="s">
        <v>120</v>
      </c>
      <c r="C35" s="35"/>
      <c r="D35" s="35"/>
      <c r="E35" s="367">
        <v>7.0000000000000007E-2</v>
      </c>
      <c r="F35" s="367">
        <v>7.0000000000000007E-2</v>
      </c>
      <c r="G35" s="367">
        <v>7.4999999999999997E-2</v>
      </c>
      <c r="H35" s="28"/>
      <c r="I35" s="221" t="s">
        <v>146</v>
      </c>
      <c r="J35" s="124"/>
      <c r="K35" s="124"/>
      <c r="L35" s="124"/>
      <c r="M35" s="79"/>
      <c r="N35" s="79"/>
      <c r="O35" s="79"/>
      <c r="P35" s="226"/>
      <c r="Q35" s="39">
        <v>1603.4</v>
      </c>
      <c r="R35" s="39">
        <v>1828.38</v>
      </c>
      <c r="S35" s="39">
        <v>1963</v>
      </c>
      <c r="T35" s="227"/>
      <c r="U35" s="228"/>
      <c r="V35" s="230"/>
    </row>
    <row r="36" spans="1:22" ht="15" x14ac:dyDescent="0.25">
      <c r="A36" s="19"/>
      <c r="B36" s="28" t="s">
        <v>171</v>
      </c>
      <c r="C36" s="28"/>
      <c r="D36" s="28"/>
      <c r="E36" s="41">
        <f>E34/E35</f>
        <v>21538.770307960785</v>
      </c>
      <c r="F36" s="41">
        <f ca="1">F34/F35</f>
        <v>22800.513618351604</v>
      </c>
      <c r="G36" s="41">
        <f ca="1">G34/G35</f>
        <v>18477.105153813467</v>
      </c>
      <c r="H36" s="28"/>
      <c r="I36" s="124" t="s">
        <v>150</v>
      </c>
      <c r="J36" s="124"/>
      <c r="K36" s="124"/>
      <c r="L36" s="124"/>
      <c r="M36" s="231">
        <v>1.4851260160800638E-2</v>
      </c>
      <c r="N36" s="231">
        <v>1.9358837972472509E-2</v>
      </c>
      <c r="O36" s="231">
        <v>4.372783357663064E-2</v>
      </c>
      <c r="P36" s="231">
        <v>8.1697283528110773E-2</v>
      </c>
      <c r="Q36" s="339">
        <f ca="1">IF(Drivers!$E$4=2,Model!O154,Q36)</f>
        <v>9.377505673239786E-2</v>
      </c>
      <c r="R36" s="339">
        <f ca="1">IF(Drivers!$E$4=2,Model!T154,R36)</f>
        <v>0.14665731701118565</v>
      </c>
      <c r="S36" s="339">
        <f ca="1">IF(Drivers!$E$4=2,Model!U154,S36)</f>
        <v>0.19769615890404948</v>
      </c>
      <c r="T36" s="232">
        <f>T11*(1+LTV!J25)</f>
        <v>0.21107734778832996</v>
      </c>
      <c r="U36" s="232">
        <f>U11*(1+LTV!K25)</f>
        <v>0.39322136234825006</v>
      </c>
      <c r="V36" s="232">
        <f>V11*(1+LTV!L25)</f>
        <v>0.43810000305398566</v>
      </c>
    </row>
    <row r="37" spans="1:22" ht="15" x14ac:dyDescent="0.25">
      <c r="A37" s="20"/>
      <c r="B37" s="509" t="s">
        <v>390</v>
      </c>
      <c r="D37" s="28"/>
      <c r="E37" s="402">
        <f>E22</f>
        <v>907.24816485877511</v>
      </c>
      <c r="F37" s="402">
        <f>E37</f>
        <v>907.24816485877511</v>
      </c>
      <c r="G37" s="402">
        <f>F37</f>
        <v>907.24816485877511</v>
      </c>
      <c r="H37" s="28"/>
      <c r="I37" s="221" t="s">
        <v>146</v>
      </c>
      <c r="J37" s="124"/>
      <c r="K37" s="124"/>
      <c r="L37" s="124"/>
      <c r="M37" s="233"/>
      <c r="N37" s="233"/>
      <c r="O37" s="233"/>
      <c r="P37" s="234"/>
      <c r="Q37" s="235">
        <f>Q12</f>
        <v>0</v>
      </c>
      <c r="R37" s="235">
        <f>R12</f>
        <v>0.15</v>
      </c>
      <c r="S37" s="235">
        <f>S12</f>
        <v>0.19</v>
      </c>
      <c r="T37" s="227"/>
      <c r="U37" s="228"/>
      <c r="V37" s="228"/>
    </row>
    <row r="38" spans="1:22" ht="15" x14ac:dyDescent="0.25">
      <c r="A38" s="20"/>
      <c r="B38" s="61" t="s">
        <v>172</v>
      </c>
      <c r="C38" s="61"/>
      <c r="D38" s="61"/>
      <c r="E38" s="89">
        <f>E25</f>
        <v>4400</v>
      </c>
      <c r="F38" s="89">
        <f>F25</f>
        <v>4200</v>
      </c>
      <c r="G38" s="89">
        <f>G25</f>
        <v>4850</v>
      </c>
      <c r="H38" s="28"/>
      <c r="I38" s="124" t="s">
        <v>154</v>
      </c>
      <c r="J38" s="124"/>
      <c r="K38" s="124"/>
      <c r="L38" s="124"/>
      <c r="M38" s="224">
        <v>416.28600000000017</v>
      </c>
      <c r="N38" s="224">
        <v>744.70100000000025</v>
      </c>
      <c r="O38" s="224">
        <v>995.15299999999968</v>
      </c>
      <c r="P38" s="224">
        <v>1192.1959999999999</v>
      </c>
      <c r="Q38" s="225">
        <f ca="1">IF(Drivers!$E$4=2,Model!O194,Q38)</f>
        <v>1315.193</v>
      </c>
      <c r="R38" s="225">
        <f ca="1">IF(Drivers!$E$4=2,Model!T194,R38)</f>
        <v>1444.6176367858495</v>
      </c>
      <c r="S38" s="225">
        <f ca="1">IF(Drivers!$E$4=2,Model!U194,S38)</f>
        <v>1596.0359532846123</v>
      </c>
      <c r="T38" s="225">
        <v>1458.7496795539064</v>
      </c>
      <c r="U38" s="225">
        <v>1051.4623494159132</v>
      </c>
      <c r="V38" s="225">
        <v>1119.2371673736955</v>
      </c>
    </row>
    <row r="39" spans="1:22" ht="15" x14ac:dyDescent="0.25">
      <c r="A39" s="20"/>
      <c r="B39" s="32" t="s">
        <v>183</v>
      </c>
      <c r="C39" s="28"/>
      <c r="D39" s="28"/>
      <c r="E39" s="82">
        <f>(E36+E37)/E38</f>
        <v>5.1013678347317182</v>
      </c>
      <c r="F39" s="82">
        <f ca="1">(F36+F37)/F38</f>
        <v>5.6447051864786619</v>
      </c>
      <c r="G39" s="82">
        <f ca="1">(G36+G37)/G38</f>
        <v>3.9967738801386066</v>
      </c>
      <c r="H39" s="28"/>
      <c r="I39" s="221" t="s">
        <v>146</v>
      </c>
      <c r="J39" s="28"/>
      <c r="K39" s="28"/>
      <c r="L39" s="28"/>
      <c r="M39" s="228"/>
      <c r="N39" s="228"/>
      <c r="O39" s="228"/>
      <c r="P39" s="228"/>
      <c r="Q39" s="236">
        <f>Q14</f>
        <v>0</v>
      </c>
      <c r="R39" s="236">
        <f>R14</f>
        <v>1354.1</v>
      </c>
      <c r="S39" s="236">
        <f>S14</f>
        <v>1490.7</v>
      </c>
      <c r="T39" s="237"/>
      <c r="U39" s="238"/>
      <c r="V39" s="238"/>
    </row>
    <row r="40" spans="1:22" ht="15" x14ac:dyDescent="0.25">
      <c r="A40" s="20"/>
      <c r="B40" s="28" t="s">
        <v>160</v>
      </c>
      <c r="C40" s="28"/>
      <c r="D40" s="28"/>
      <c r="E40" s="51">
        <f>E39/$G$7-1</f>
        <v>0.20315279121031082</v>
      </c>
      <c r="F40" s="51">
        <f ca="1">F39/$G$7-1</f>
        <v>0.33129839303742026</v>
      </c>
      <c r="G40" s="51">
        <f ca="1">G39/$G$7-1</f>
        <v>-5.7364650910706083E-2</v>
      </c>
      <c r="H40" s="28"/>
      <c r="I40" s="28" t="s">
        <v>345</v>
      </c>
      <c r="M40" s="228"/>
      <c r="N40" s="228"/>
      <c r="O40" s="228"/>
      <c r="P40" s="340">
        <f>P15</f>
        <v>805</v>
      </c>
      <c r="Q40" s="225">
        <f ca="1">IF(Drivers!$E$4=2,Model!O199,Q40)</f>
        <v>950.19299999999998</v>
      </c>
      <c r="R40" s="225">
        <f ca="1">IF(Drivers!$E$4=2,Model!T199,R40)</f>
        <v>1010.3978560958496</v>
      </c>
      <c r="S40" s="225">
        <f ca="1">IF(Drivers!$E$4=2,Model!U199,S40)</f>
        <v>1042.4867083532736</v>
      </c>
      <c r="T40" s="228"/>
      <c r="U40" s="228"/>
      <c r="V40" s="228"/>
    </row>
    <row r="41" spans="1:22" ht="15" x14ac:dyDescent="0.25">
      <c r="A41" s="19"/>
      <c r="B41" s="28" t="s">
        <v>162</v>
      </c>
      <c r="C41" s="28"/>
      <c r="D41" s="28"/>
      <c r="E41" s="52">
        <v>0.5</v>
      </c>
      <c r="F41" s="52">
        <v>0.25</v>
      </c>
      <c r="G41" s="52">
        <v>0.25</v>
      </c>
      <c r="H41" s="28"/>
      <c r="T41" s="239">
        <f ca="1">T32/S32-1</f>
        <v>5.1622408624000915E-2</v>
      </c>
      <c r="U41" s="239">
        <f>U32/T32-1</f>
        <v>4.6744749172250133E-2</v>
      </c>
      <c r="V41" s="239">
        <f>V32/U32-1</f>
        <v>4.0890836437901701E-2</v>
      </c>
    </row>
    <row r="42" spans="1:22" ht="15" x14ac:dyDescent="0.25">
      <c r="A42" s="20"/>
      <c r="B42" s="28"/>
      <c r="C42" s="28"/>
      <c r="D42" s="28"/>
      <c r="E42" s="83"/>
      <c r="F42" s="83"/>
      <c r="G42" s="83"/>
      <c r="H42" s="28"/>
      <c r="I42" s="28" t="s">
        <v>156</v>
      </c>
      <c r="J42" s="28"/>
      <c r="K42" s="28"/>
      <c r="L42" s="28"/>
      <c r="M42" s="239"/>
      <c r="N42" s="239">
        <f t="shared" ref="N42:S42" si="3">N32/M32-1</f>
        <v>0.12854964830268378</v>
      </c>
      <c r="O42" s="239">
        <f t="shared" si="3"/>
        <v>0.11671085583943741</v>
      </c>
      <c r="P42" s="239">
        <f t="shared" si="3"/>
        <v>0.10055026262833655</v>
      </c>
      <c r="Q42" s="239">
        <f t="shared" ca="1" si="3"/>
        <v>9.3024913330120418E-2</v>
      </c>
      <c r="R42" s="239">
        <f t="shared" ca="1" si="3"/>
        <v>9.6528340774185484E-2</v>
      </c>
      <c r="S42" s="239">
        <f t="shared" ca="1" si="3"/>
        <v>8.8609581378827684E-2</v>
      </c>
      <c r="T42" s="46">
        <f>T34/T32</f>
        <v>0.37220055007114888</v>
      </c>
      <c r="U42" s="46">
        <f>U34/U32</f>
        <v>0.36938831197212407</v>
      </c>
      <c r="V42" s="46">
        <f>V34/V32</f>
        <v>0.36215474637964684</v>
      </c>
    </row>
    <row r="43" spans="1:22" ht="15" x14ac:dyDescent="0.25">
      <c r="A43" s="20"/>
      <c r="B43" s="55" t="s">
        <v>164</v>
      </c>
      <c r="C43" s="56"/>
      <c r="D43" s="56"/>
      <c r="E43" s="56"/>
      <c r="F43" s="56"/>
      <c r="G43" s="57">
        <f ca="1">(E39*E41)+(F39*F41)+(G39*G41)</f>
        <v>4.9610536840201762</v>
      </c>
      <c r="H43" s="28"/>
      <c r="I43" s="28" t="s">
        <v>157</v>
      </c>
      <c r="J43" s="28"/>
      <c r="K43" s="28"/>
      <c r="L43" s="28"/>
      <c r="M43" s="239">
        <v>0.24249864986976402</v>
      </c>
      <c r="N43" s="239">
        <v>0.27052768338996608</v>
      </c>
      <c r="O43" s="239">
        <v>0.30695284008428336</v>
      </c>
      <c r="P43" s="239">
        <v>0.35105062190646225</v>
      </c>
      <c r="Q43" s="46">
        <f ca="1">Q34/Q32</f>
        <v>0.3627138137272729</v>
      </c>
      <c r="R43" s="46">
        <f ca="1">R34/R32</f>
        <v>0.37255533895041748</v>
      </c>
      <c r="S43" s="46">
        <f ca="1">S34/S32</f>
        <v>0.40113716730866161</v>
      </c>
      <c r="T43" s="46">
        <f ca="1">T36/S36-1</f>
        <v>6.7685629090927124E-2</v>
      </c>
      <c r="U43" s="46">
        <f>U36/T36-1</f>
        <v>0.86292544637511548</v>
      </c>
      <c r="V43" s="46">
        <f>V36/U36-1</f>
        <v>0.11413072890477793</v>
      </c>
    </row>
    <row r="44" spans="1:22" ht="15" x14ac:dyDescent="0.25">
      <c r="A44" s="20"/>
      <c r="B44" s="58" t="s">
        <v>160</v>
      </c>
      <c r="C44" s="35"/>
      <c r="D44" s="35"/>
      <c r="E44" s="35"/>
      <c r="F44" s="35"/>
      <c r="G44" s="59">
        <f ca="1">G43/G7-1</f>
        <v>0.17005983113683398</v>
      </c>
      <c r="H44" s="28"/>
      <c r="I44" s="28" t="s">
        <v>158</v>
      </c>
      <c r="J44" s="28"/>
      <c r="K44" s="28"/>
      <c r="L44" s="28"/>
      <c r="M44" s="240"/>
      <c r="N44" s="240">
        <v>0.788916754346771</v>
      </c>
      <c r="O44" s="240">
        <v>0.33631215749676624</v>
      </c>
      <c r="P44" s="240">
        <v>0.19800271917986501</v>
      </c>
      <c r="Q44" s="46">
        <f t="shared" ref="Q44:V44" ca="1" si="4">Q38/P38-1</f>
        <v>0.10316843874664916</v>
      </c>
      <c r="R44" s="46">
        <f t="shared" ca="1" si="4"/>
        <v>9.8407333969880773E-2</v>
      </c>
      <c r="S44" s="46">
        <f t="shared" ca="1" si="4"/>
        <v>0.1048154976396769</v>
      </c>
      <c r="T44" s="46">
        <f t="shared" ca="1" si="4"/>
        <v>-8.6017030786915138E-2</v>
      </c>
      <c r="U44" s="46">
        <f t="shared" si="4"/>
        <v>-0.27920302972237421</v>
      </c>
      <c r="V44" s="46">
        <f t="shared" si="4"/>
        <v>6.4457674585715052E-2</v>
      </c>
    </row>
    <row r="45" spans="1:22" ht="15" x14ac:dyDescent="0.25">
      <c r="A45" s="20"/>
      <c r="H45" s="28"/>
      <c r="I45" s="28"/>
      <c r="J45" s="28"/>
      <c r="K45" s="28"/>
      <c r="L45" s="28"/>
      <c r="M45" s="227"/>
      <c r="N45" s="227"/>
      <c r="O45" s="227"/>
      <c r="P45" s="227"/>
      <c r="Q45" s="227"/>
      <c r="R45" s="227"/>
      <c r="S45" s="227"/>
      <c r="T45" s="227"/>
      <c r="U45" s="228"/>
      <c r="V45" s="228"/>
    </row>
    <row r="46" spans="1:22" ht="15.75" thickBot="1" x14ac:dyDescent="0.3">
      <c r="A46" s="20"/>
      <c r="B46" s="27" t="s">
        <v>352</v>
      </c>
      <c r="C46" s="27"/>
      <c r="D46" s="27"/>
      <c r="E46" s="90" t="s">
        <v>66</v>
      </c>
      <c r="F46" s="90" t="s">
        <v>152</v>
      </c>
      <c r="G46" s="90" t="s">
        <v>153</v>
      </c>
      <c r="H46" s="28"/>
      <c r="I46" s="28" t="s">
        <v>155</v>
      </c>
      <c r="J46" s="28"/>
      <c r="K46" s="28"/>
      <c r="L46" s="28"/>
      <c r="M46" s="79"/>
      <c r="N46" s="79"/>
      <c r="O46" s="241"/>
      <c r="P46" s="242">
        <v>17.770558995378043</v>
      </c>
      <c r="Q46" s="49">
        <f t="shared" ref="Q46:V46" ca="1" si="5">$G$13/Q34</f>
        <v>16.026333151747359</v>
      </c>
      <c r="R46" s="49">
        <f t="shared" ca="1" si="5"/>
        <v>14.229433483368165</v>
      </c>
      <c r="S46" s="49">
        <f t="shared" ca="1" si="5"/>
        <v>12.139850697193419</v>
      </c>
      <c r="T46" s="49">
        <f t="shared" si="5"/>
        <v>12.441404392741969</v>
      </c>
      <c r="U46" s="49">
        <f t="shared" si="5"/>
        <v>11.976294768278851</v>
      </c>
      <c r="V46" s="49">
        <f t="shared" si="5"/>
        <v>11.735625970746909</v>
      </c>
    </row>
    <row r="47" spans="1:22" ht="15" x14ac:dyDescent="0.25">
      <c r="A47" s="20"/>
      <c r="B47" s="28" t="s">
        <v>170</v>
      </c>
      <c r="C47" s="28"/>
      <c r="D47" s="28"/>
      <c r="E47" s="402">
        <f>S15</f>
        <v>1003.2957476978794</v>
      </c>
      <c r="F47" s="402">
        <f ca="1">S40</f>
        <v>1042.4867083532736</v>
      </c>
      <c r="G47" s="402">
        <f ca="1">S64</f>
        <v>953.57793982585918</v>
      </c>
      <c r="H47" s="28"/>
      <c r="I47" s="28" t="s">
        <v>159</v>
      </c>
      <c r="J47" s="28"/>
      <c r="K47" s="28"/>
      <c r="L47" s="28"/>
      <c r="M47" s="79"/>
      <c r="N47" s="79"/>
      <c r="O47" s="243"/>
      <c r="P47" s="242">
        <v>48.471623889886438</v>
      </c>
      <c r="Q47" s="49">
        <f t="shared" ref="Q47:V47" ca="1" si="6">$G$7/Q36</f>
        <v>45.214582083373401</v>
      </c>
      <c r="R47" s="49">
        <f t="shared" ca="1" si="6"/>
        <v>28.910933913216297</v>
      </c>
      <c r="S47" s="49">
        <f t="shared" ca="1" si="6"/>
        <v>21.447053010563831</v>
      </c>
      <c r="T47" s="49">
        <f t="shared" si="6"/>
        <v>20.087423138611282</v>
      </c>
      <c r="U47" s="49">
        <f t="shared" si="6"/>
        <v>10.782730558379262</v>
      </c>
      <c r="V47" s="49">
        <f t="shared" si="6"/>
        <v>9.6781556047547408</v>
      </c>
    </row>
    <row r="48" spans="1:22" ht="15" x14ac:dyDescent="0.25">
      <c r="A48" s="19"/>
      <c r="B48" s="35" t="s">
        <v>120</v>
      </c>
      <c r="C48" s="35"/>
      <c r="D48" s="35"/>
      <c r="E48" s="367">
        <v>0.05</v>
      </c>
      <c r="F48" s="367">
        <v>0.05</v>
      </c>
      <c r="G48" s="367">
        <v>0.04</v>
      </c>
      <c r="H48" s="28"/>
      <c r="I48" s="28" t="s">
        <v>161</v>
      </c>
      <c r="J48" s="28"/>
      <c r="K48" s="28"/>
      <c r="L48" s="28"/>
      <c r="M48" s="79"/>
      <c r="N48" s="79"/>
      <c r="O48" s="239"/>
      <c r="P48" s="239">
        <v>5.5038317360072385E-2</v>
      </c>
      <c r="Q48" s="46">
        <f t="shared" ref="Q48:V48" ca="1" si="7">Q38/$G$10</f>
        <v>6.2183574370292163E-2</v>
      </c>
      <c r="R48" s="46">
        <f t="shared" ca="1" si="7"/>
        <v>6.8302894140790424E-2</v>
      </c>
      <c r="S48" s="46">
        <f t="shared" ca="1" si="7"/>
        <v>7.5462095980387542E-2</v>
      </c>
      <c r="T48" s="46">
        <f t="shared" si="7"/>
        <v>6.8971070547197408E-2</v>
      </c>
      <c r="U48" s="46">
        <f t="shared" si="7"/>
        <v>4.9714138687224282E-2</v>
      </c>
      <c r="V48" s="46">
        <f t="shared" si="7"/>
        <v>5.2918596461034487E-2</v>
      </c>
    </row>
    <row r="49" spans="1:22" ht="15.75" x14ac:dyDescent="0.25">
      <c r="A49" s="21"/>
      <c r="B49" s="28" t="s">
        <v>171</v>
      </c>
      <c r="C49" s="28"/>
      <c r="D49" s="28"/>
      <c r="E49" s="408">
        <f>E47/E48</f>
        <v>20065.914953957588</v>
      </c>
      <c r="F49" s="408">
        <f ca="1">F47/F48</f>
        <v>20849.734167065471</v>
      </c>
      <c r="G49" s="408">
        <f ca="1">G47/G48</f>
        <v>23839.44849564648</v>
      </c>
      <c r="H49" s="28"/>
      <c r="I49" s="28" t="s">
        <v>163</v>
      </c>
      <c r="J49" s="28"/>
      <c r="K49" s="28"/>
      <c r="L49" s="28"/>
      <c r="M49" s="79"/>
      <c r="N49" s="79"/>
      <c r="O49" s="79"/>
      <c r="P49" s="244">
        <v>0.21795173674588664</v>
      </c>
      <c r="Q49" s="339">
        <f ca="1">IF(Drivers!$E$4=2,Model!O195,Q49)</f>
        <v>0.24197844187279652</v>
      </c>
      <c r="R49" s="339">
        <f ca="1">IF(Drivers!$E$4=2,Model!T195,R49)</f>
        <v>0.29147559091431502</v>
      </c>
      <c r="S49" s="339">
        <f ca="1">IF(Drivers!$E$4=2,Model!U195,S49)</f>
        <v>0.38000856030586005</v>
      </c>
      <c r="T49" s="53">
        <f>T38/$G$9</f>
        <v>0.29243733912011699</v>
      </c>
      <c r="U49" s="53">
        <f>U38/$G$9</f>
        <v>0.21078794803383094</v>
      </c>
      <c r="V49" s="53">
        <f>V38/$G$9</f>
        <v>0.22437484899478621</v>
      </c>
    </row>
    <row r="50" spans="1:22" ht="15" x14ac:dyDescent="0.25">
      <c r="A50" s="19"/>
      <c r="B50" s="28" t="s">
        <v>353</v>
      </c>
      <c r="E50" s="341">
        <f t="shared" ref="E50:G51" si="8">E37</f>
        <v>907.24816485877511</v>
      </c>
      <c r="F50" s="341">
        <f t="shared" si="8"/>
        <v>907.24816485877511</v>
      </c>
      <c r="G50" s="341">
        <f t="shared" si="8"/>
        <v>907.24816485877511</v>
      </c>
      <c r="H50" s="28"/>
      <c r="I50" s="28" t="s">
        <v>346</v>
      </c>
      <c r="P50" s="46">
        <f>P26</f>
        <v>3.6122921820583555E-2</v>
      </c>
      <c r="Q50" s="46">
        <f ca="1">Q51/$G$8</f>
        <v>4.4275209107710566E-2</v>
      </c>
      <c r="R50" s="46">
        <f ca="1">R51/$G$8</f>
        <v>5.1630139904781054E-2</v>
      </c>
      <c r="S50" s="46">
        <f ca="1">S51/$G$8</f>
        <v>6.2861225453111041E-2</v>
      </c>
      <c r="T50" s="54">
        <f t="shared" ref="T50:V51" si="9">T27</f>
        <v>6814.6279742581992</v>
      </c>
      <c r="U50" s="54">
        <f t="shared" si="9"/>
        <v>6861.7926176294623</v>
      </c>
      <c r="V50" s="54">
        <f t="shared" si="9"/>
        <v>6969.7764654423736</v>
      </c>
    </row>
    <row r="51" spans="1:22" ht="15" x14ac:dyDescent="0.25">
      <c r="A51" s="20"/>
      <c r="B51" s="61" t="s">
        <v>172</v>
      </c>
      <c r="C51" s="61"/>
      <c r="D51" s="61"/>
      <c r="E51" s="89">
        <f t="shared" si="8"/>
        <v>4400</v>
      </c>
      <c r="F51" s="89">
        <f t="shared" si="8"/>
        <v>4200</v>
      </c>
      <c r="G51" s="89">
        <f t="shared" si="8"/>
        <v>4850</v>
      </c>
      <c r="H51" s="28"/>
      <c r="I51" s="28" t="s">
        <v>347</v>
      </c>
      <c r="P51" s="339">
        <f>P27</f>
        <v>0.14263340963482482</v>
      </c>
      <c r="Q51" s="339">
        <f ca="1">IF(Drivers!$E$4=2,Model!O200,Q51)</f>
        <v>0.1748231792736413</v>
      </c>
      <c r="R51" s="339">
        <f ca="1">IF(Drivers!$E$4=2,Model!T200,R51)</f>
        <v>0.20386454149856989</v>
      </c>
      <c r="S51" s="339">
        <f ca="1">IF(Drivers!$E$4=2,Model!U200,S51)</f>
        <v>0.2482111210364937</v>
      </c>
      <c r="T51" s="49">
        <f t="shared" si="9"/>
        <v>3.2754366971026294</v>
      </c>
      <c r="U51" s="49">
        <f t="shared" si="9"/>
        <v>3.2062488935396636</v>
      </c>
      <c r="V51" s="49">
        <f t="shared" si="9"/>
        <v>3.2214342311807584</v>
      </c>
    </row>
    <row r="52" spans="1:22" ht="15" x14ac:dyDescent="0.25">
      <c r="A52" s="20"/>
      <c r="B52" s="32" t="s">
        <v>183</v>
      </c>
      <c r="C52" s="28"/>
      <c r="D52" s="28"/>
      <c r="E52" s="82">
        <f>(E49+E50)/E51</f>
        <v>4.7666279815491732</v>
      </c>
      <c r="F52" s="82">
        <f ca="1">(F49+F50)/F51</f>
        <v>5.1802338885533921</v>
      </c>
      <c r="G52" s="82">
        <f ca="1">(G49+G50)/G51</f>
        <v>5.1024116825784027</v>
      </c>
      <c r="H52" s="28"/>
      <c r="I52" s="28" t="s">
        <v>148</v>
      </c>
      <c r="J52" s="28"/>
      <c r="K52" s="28"/>
      <c r="L52" s="28"/>
      <c r="M52" s="79"/>
      <c r="N52" s="245"/>
      <c r="O52" s="245"/>
      <c r="P52" s="245">
        <v>4346.1390000000001</v>
      </c>
      <c r="Q52" s="225">
        <f ca="1">IF(Drivers!$E$4=2,Model!O262,Q52)</f>
        <v>5331.7759999999998</v>
      </c>
      <c r="R52" s="225">
        <f ca="1">IF(Drivers!$E$4=2,Model!T262,R52)</f>
        <v>5310.24736321415</v>
      </c>
      <c r="S52" s="225">
        <f ca="1">IF(Drivers!$E$4=2,Model!U262,S52)</f>
        <v>7014.4047099295394</v>
      </c>
      <c r="T52" s="28"/>
    </row>
    <row r="53" spans="1:22" ht="15.75" thickBot="1" x14ac:dyDescent="0.3">
      <c r="A53" s="20"/>
      <c r="B53" s="28" t="s">
        <v>160</v>
      </c>
      <c r="C53" s="28"/>
      <c r="D53" s="28"/>
      <c r="E53" s="51">
        <f>E52/$G$7-1</f>
        <v>0.12420471262952182</v>
      </c>
      <c r="F53" s="51">
        <f ca="1">F52/$G$7-1</f>
        <v>0.22175327560221514</v>
      </c>
      <c r="G53" s="51">
        <f ca="1">G52/$G$7-1</f>
        <v>0.20339898174018933</v>
      </c>
      <c r="H53" s="28"/>
      <c r="I53" s="28" t="s">
        <v>165</v>
      </c>
      <c r="J53" s="28"/>
      <c r="K53" s="28"/>
      <c r="L53" s="28"/>
      <c r="M53" s="79"/>
      <c r="N53" s="79"/>
      <c r="O53" s="241"/>
      <c r="P53" s="242">
        <v>2.9610369702188892</v>
      </c>
      <c r="Q53" s="49">
        <f ca="1">Q52/Q34</f>
        <v>3.2165307184952856</v>
      </c>
      <c r="R53" s="49">
        <f ca="1">R52/R34</f>
        <v>2.8443563367084286</v>
      </c>
      <c r="S53" s="49">
        <f ca="1">S52/S34</f>
        <v>3.2054263797532578</v>
      </c>
      <c r="T53" s="90">
        <v>2018</v>
      </c>
      <c r="U53" s="90">
        <v>2019</v>
      </c>
      <c r="V53" s="90">
        <v>2020</v>
      </c>
    </row>
    <row r="54" spans="1:22" ht="15" x14ac:dyDescent="0.25">
      <c r="A54" s="20"/>
      <c r="B54" s="28" t="s">
        <v>162</v>
      </c>
      <c r="C54" s="28"/>
      <c r="D54" s="28"/>
      <c r="E54" s="52">
        <v>0.5</v>
      </c>
      <c r="F54" s="52">
        <v>0.25</v>
      </c>
      <c r="G54" s="52">
        <v>0.25</v>
      </c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25">
        <f>T7*0.9</f>
        <v>5085.2013603496498</v>
      </c>
      <c r="U54" s="225">
        <f>U7*0.9</f>
        <v>5289.1790696527851</v>
      </c>
      <c r="V54" s="225">
        <f>V7*0.9</f>
        <v>5470.9628407194905</v>
      </c>
    </row>
    <row r="55" spans="1:22" ht="15.75" thickBot="1" x14ac:dyDescent="0.3">
      <c r="A55" s="19"/>
      <c r="B55" s="28"/>
      <c r="C55" s="28"/>
      <c r="D55" s="28"/>
      <c r="E55" s="83"/>
      <c r="F55" s="83"/>
      <c r="G55" s="83"/>
      <c r="H55" s="28"/>
      <c r="I55" s="33" t="s">
        <v>168</v>
      </c>
      <c r="J55" s="26"/>
      <c r="K55" s="26"/>
      <c r="L55" s="26"/>
      <c r="M55" s="90">
        <v>2011</v>
      </c>
      <c r="N55" s="90">
        <v>2012</v>
      </c>
      <c r="O55" s="90">
        <v>2013</v>
      </c>
      <c r="P55" s="90">
        <v>2014</v>
      </c>
      <c r="Q55" s="90">
        <v>2015</v>
      </c>
      <c r="R55" s="90">
        <v>2016</v>
      </c>
      <c r="S55" s="90">
        <v>2017</v>
      </c>
      <c r="T55" s="227"/>
      <c r="U55" s="228"/>
      <c r="V55" s="229"/>
    </row>
    <row r="56" spans="1:22" ht="15" x14ac:dyDescent="0.25">
      <c r="A56" s="20"/>
      <c r="B56" s="55" t="s">
        <v>164</v>
      </c>
      <c r="C56" s="56"/>
      <c r="D56" s="56"/>
      <c r="E56" s="56"/>
      <c r="F56" s="56"/>
      <c r="G56" s="57">
        <f ca="1">(E52*E54)+(F52*F54)+(G52*G54)</f>
        <v>4.9539753835575357</v>
      </c>
      <c r="H56" s="28"/>
      <c r="I56" s="124" t="s">
        <v>28</v>
      </c>
      <c r="J56" s="124"/>
      <c r="K56" s="124"/>
      <c r="L56" s="124"/>
      <c r="M56" s="224">
        <v>3014.5240000000003</v>
      </c>
      <c r="N56" s="224">
        <v>3402.04</v>
      </c>
      <c r="O56" s="224">
        <v>3799.0949999999998</v>
      </c>
      <c r="P56" s="224">
        <v>4181.0950000000003</v>
      </c>
      <c r="Q56" s="225">
        <f ca="1">IF(Drivers!$E$4=3,Model!O115,Q56)</f>
        <v>4570.0410000000002</v>
      </c>
      <c r="R56" s="225">
        <f ca="1">IF(Drivers!$E$4=3,Model!T115,R56)</f>
        <v>5011.1794749999999</v>
      </c>
      <c r="S56" s="225">
        <f ca="1">IF(Drivers!$E$4=3,Model!U115,S56)</f>
        <v>5167.5020803660536</v>
      </c>
      <c r="T56" s="225">
        <f>T9*0.9</f>
        <v>1872.4725109960532</v>
      </c>
      <c r="U56" s="225">
        <f>U9*0.9</f>
        <v>1926.1178906946013</v>
      </c>
      <c r="V56" s="225">
        <f>V9*0.9</f>
        <v>1947.2068553139311</v>
      </c>
    </row>
    <row r="57" spans="1:22" ht="15" x14ac:dyDescent="0.25">
      <c r="A57" s="19"/>
      <c r="B57" s="58" t="s">
        <v>160</v>
      </c>
      <c r="C57" s="35"/>
      <c r="D57" s="35"/>
      <c r="E57" s="35"/>
      <c r="F57" s="35"/>
      <c r="G57" s="59">
        <f ca="1">G56/G7-1</f>
        <v>0.16839042065036214</v>
      </c>
      <c r="H57" s="28"/>
      <c r="I57" s="221" t="s">
        <v>146</v>
      </c>
      <c r="J57" s="124"/>
      <c r="K57" s="124"/>
      <c r="L57" s="124"/>
      <c r="M57" s="79"/>
      <c r="N57" s="79"/>
      <c r="O57" s="79"/>
      <c r="P57" s="226"/>
      <c r="Q57" s="39">
        <v>4497.8599999999997</v>
      </c>
      <c r="R57" s="39">
        <v>4787.21</v>
      </c>
      <c r="S57" s="39">
        <v>5127.91</v>
      </c>
      <c r="T57" s="227"/>
      <c r="U57" s="228"/>
      <c r="V57" s="230"/>
    </row>
    <row r="58" spans="1:22" ht="15.75" x14ac:dyDescent="0.25">
      <c r="A58" s="21"/>
      <c r="B58" s="30"/>
      <c r="C58" s="30"/>
      <c r="D58" s="30"/>
      <c r="E58" s="30"/>
      <c r="F58" s="30"/>
      <c r="G58" s="341"/>
      <c r="H58" s="28"/>
      <c r="I58" s="124" t="s">
        <v>18</v>
      </c>
      <c r="J58" s="124"/>
      <c r="K58" s="124"/>
      <c r="L58" s="124"/>
      <c r="M58" s="224">
        <v>731.0180000000006</v>
      </c>
      <c r="N58" s="224">
        <v>920.34600000000023</v>
      </c>
      <c r="O58" s="224">
        <v>1166.1430000000005</v>
      </c>
      <c r="P58" s="224">
        <v>1467.7759999999998</v>
      </c>
      <c r="Q58" s="225">
        <f ca="1">IF(Drivers!$E$4=3,Model!O143,Q58)</f>
        <v>1657.617</v>
      </c>
      <c r="R58" s="225">
        <f ca="1">IF(Drivers!$E$4=3,Model!T143,R58)</f>
        <v>1866.9416678500002</v>
      </c>
      <c r="S58" s="225">
        <f ca="1">IF(Drivers!$E$4=3,Model!U143,S58)</f>
        <v>1867.66699159734</v>
      </c>
      <c r="T58" s="232">
        <v>0.21</v>
      </c>
      <c r="U58" s="232">
        <v>0.25</v>
      </c>
      <c r="V58" s="232">
        <v>0.28000000000000003</v>
      </c>
    </row>
    <row r="59" spans="1:22" ht="15" x14ac:dyDescent="0.25">
      <c r="A59" s="19"/>
      <c r="B59" s="30"/>
      <c r="C59" s="30"/>
      <c r="D59" s="30"/>
      <c r="E59" s="30"/>
      <c r="F59" s="30"/>
      <c r="G59" s="342"/>
      <c r="H59" s="28"/>
      <c r="I59" s="221" t="s">
        <v>146</v>
      </c>
      <c r="J59" s="124"/>
      <c r="K59" s="124"/>
      <c r="L59" s="124"/>
      <c r="M59" s="79"/>
      <c r="N59" s="79"/>
      <c r="O59" s="79"/>
      <c r="P59" s="226"/>
      <c r="Q59" s="39">
        <v>1603.4</v>
      </c>
      <c r="R59" s="39">
        <v>1828.38</v>
      </c>
      <c r="S59" s="39">
        <v>1963</v>
      </c>
      <c r="T59" s="227"/>
      <c r="U59" s="228"/>
      <c r="V59" s="228"/>
    </row>
    <row r="60" spans="1:22" ht="15" x14ac:dyDescent="0.25">
      <c r="A60" s="20"/>
      <c r="B60" s="30"/>
      <c r="C60" s="30"/>
      <c r="D60" s="30"/>
      <c r="E60" s="30"/>
      <c r="F60" s="30"/>
      <c r="G60" s="343"/>
      <c r="H60" s="28"/>
      <c r="I60" s="124" t="s">
        <v>150</v>
      </c>
      <c r="J60" s="124"/>
      <c r="K60" s="124"/>
      <c r="L60" s="124"/>
      <c r="M60" s="231">
        <v>1.4851260160800638E-2</v>
      </c>
      <c r="N60" s="231">
        <v>1.9358837972472509E-2</v>
      </c>
      <c r="O60" s="231">
        <v>4.372783357663064E-2</v>
      </c>
      <c r="P60" s="231">
        <v>8.1697283528110773E-2</v>
      </c>
      <c r="Q60" s="339">
        <f ca="1">IF(Drivers!$E$4=3,Model!O154,Q60)</f>
        <v>9.377505673239786E-2</v>
      </c>
      <c r="R60" s="339">
        <f ca="1">IF(Drivers!$E$4=3,Model!T154,R60)</f>
        <v>0.14665731701118565</v>
      </c>
      <c r="S60" s="339">
        <f ca="1">IF(Drivers!$E$4=3,Model!U154,S60)</f>
        <v>0.13367163300313939</v>
      </c>
      <c r="T60" s="225">
        <f>T13*0.95</f>
        <v>1384.6799550287626</v>
      </c>
      <c r="U60" s="225">
        <f>U13*0.95</f>
        <v>1969.1935887972995</v>
      </c>
      <c r="V60" s="225">
        <f>V13*0.95</f>
        <v>1911.4153445777338</v>
      </c>
    </row>
    <row r="61" spans="1:22" ht="15" x14ac:dyDescent="0.25">
      <c r="A61" s="20"/>
      <c r="B61" s="30"/>
      <c r="C61" s="30"/>
      <c r="D61" s="30"/>
      <c r="E61" s="30"/>
      <c r="F61" s="30"/>
      <c r="G61" s="344"/>
      <c r="H61" s="28"/>
      <c r="I61" s="221" t="s">
        <v>146</v>
      </c>
      <c r="J61" s="124"/>
      <c r="K61" s="124"/>
      <c r="L61" s="124"/>
      <c r="M61" s="233"/>
      <c r="N61" s="233"/>
      <c r="O61" s="233"/>
      <c r="P61" s="234"/>
      <c r="Q61" s="235">
        <f ca="1">Q36</f>
        <v>9.377505673239786E-2</v>
      </c>
      <c r="R61" s="235">
        <f ca="1">R36</f>
        <v>0.14665731701118565</v>
      </c>
      <c r="S61" s="235">
        <f ca="1">S36</f>
        <v>0.19769615890404948</v>
      </c>
      <c r="T61" s="237"/>
      <c r="U61" s="238"/>
      <c r="V61" s="238"/>
    </row>
    <row r="62" spans="1:22" ht="15" x14ac:dyDescent="0.25">
      <c r="A62" s="19"/>
      <c r="B62" s="30"/>
      <c r="C62" s="30"/>
      <c r="D62" s="30"/>
      <c r="E62" s="30"/>
      <c r="F62" s="30"/>
      <c r="G62" s="343"/>
      <c r="H62" s="28"/>
      <c r="I62" s="124" t="s">
        <v>154</v>
      </c>
      <c r="J62" s="124"/>
      <c r="K62" s="124"/>
      <c r="L62" s="124"/>
      <c r="M62" s="224">
        <v>416.28600000000017</v>
      </c>
      <c r="N62" s="224">
        <v>744.70100000000025</v>
      </c>
      <c r="O62" s="224">
        <v>995.15299999999968</v>
      </c>
      <c r="P62" s="224">
        <v>1192.1959999999999</v>
      </c>
      <c r="Q62" s="340">
        <f ca="1">IF(Drivers!$E$4=3,Model!O194,Q62)</f>
        <v>1315.193</v>
      </c>
      <c r="R62" s="340">
        <f ca="1">IF(Drivers!$E$4=3,Model!T194,R62)</f>
        <v>1444.6176367858495</v>
      </c>
      <c r="S62" s="340">
        <f ca="1">IF(Drivers!$E$4=3,Model!U194,S62)</f>
        <v>1385.78288653601</v>
      </c>
      <c r="T62" s="228"/>
      <c r="U62" s="228"/>
      <c r="V62" s="228"/>
    </row>
    <row r="63" spans="1:22" ht="15.75" x14ac:dyDescent="0.25">
      <c r="A63" s="21"/>
      <c r="B63" s="30"/>
      <c r="C63" s="30"/>
      <c r="D63" s="30"/>
      <c r="E63" s="30"/>
      <c r="F63" s="30"/>
      <c r="G63" s="344"/>
      <c r="H63" s="28"/>
      <c r="I63" s="221" t="s">
        <v>146</v>
      </c>
      <c r="J63" s="28"/>
      <c r="K63" s="28"/>
      <c r="L63" s="28"/>
      <c r="M63" s="228"/>
      <c r="N63" s="228"/>
      <c r="O63" s="228"/>
      <c r="P63" s="228"/>
      <c r="Q63" s="236">
        <f ca="1">Q38</f>
        <v>1315.193</v>
      </c>
      <c r="R63" s="236">
        <f ca="1">R38</f>
        <v>1444.6176367858495</v>
      </c>
      <c r="S63" s="236">
        <f ca="1">S38</f>
        <v>1596.0359532846123</v>
      </c>
      <c r="T63" s="239">
        <f ca="1">T54/S56-1</f>
        <v>-1.5926596397339732E-2</v>
      </c>
      <c r="U63" s="239">
        <f>U54/T54-1</f>
        <v>4.0112022090922794E-2</v>
      </c>
      <c r="V63" s="239">
        <f>V54/U54-1</f>
        <v>3.4368995390930968E-2</v>
      </c>
    </row>
    <row r="64" spans="1:22" ht="15" x14ac:dyDescent="0.25">
      <c r="A64" s="19"/>
      <c r="B64" s="30"/>
      <c r="C64" s="30"/>
      <c r="D64" s="30"/>
      <c r="E64" s="30"/>
      <c r="F64" s="30"/>
      <c r="G64" s="345"/>
      <c r="H64" s="28"/>
      <c r="I64" s="28" t="s">
        <v>345</v>
      </c>
      <c r="J64" s="28"/>
      <c r="K64" s="28"/>
      <c r="L64" s="28"/>
      <c r="M64" s="228"/>
      <c r="N64" s="228"/>
      <c r="O64" s="228"/>
      <c r="P64" s="340">
        <f>P40</f>
        <v>805</v>
      </c>
      <c r="Q64" s="340">
        <f ca="1">IF(Drivers!$E$4=3,Model!O199,Q64)</f>
        <v>950.19299999999998</v>
      </c>
      <c r="R64" s="340">
        <f ca="1">IF(Drivers!$E$4=3,Model!T199,R64)</f>
        <v>1010.3978560958496</v>
      </c>
      <c r="S64" s="340">
        <f ca="1">IF(Drivers!$E$4=3,Model!U199,S64)</f>
        <v>953.57793982585918</v>
      </c>
      <c r="T64" s="227"/>
      <c r="U64" s="228"/>
      <c r="V64" s="228"/>
    </row>
    <row r="65" spans="1:22" ht="15" x14ac:dyDescent="0.25">
      <c r="A65" s="20"/>
      <c r="B65" s="30"/>
      <c r="C65" s="30"/>
      <c r="D65" s="30"/>
      <c r="E65" s="30"/>
      <c r="F65" s="30"/>
      <c r="G65" s="60"/>
      <c r="H65" s="28"/>
      <c r="M65" s="228"/>
      <c r="N65" s="228"/>
      <c r="O65" s="228"/>
      <c r="P65" s="228"/>
      <c r="Q65" s="228"/>
      <c r="R65" s="228"/>
      <c r="S65" s="228"/>
      <c r="T65" s="227"/>
      <c r="U65" s="228"/>
      <c r="V65" s="228"/>
    </row>
    <row r="66" spans="1:22" ht="15" x14ac:dyDescent="0.25">
      <c r="A66" s="20"/>
      <c r="B66" s="30"/>
      <c r="C66" s="30"/>
      <c r="D66" s="30"/>
      <c r="E66" s="30"/>
      <c r="F66" s="30"/>
      <c r="G66" s="30"/>
      <c r="H66" s="28"/>
      <c r="I66" s="28" t="s">
        <v>156</v>
      </c>
      <c r="J66" s="28"/>
      <c r="K66" s="28"/>
      <c r="L66" s="28"/>
      <c r="M66" s="239"/>
      <c r="N66" s="239">
        <f t="shared" ref="N66:S66" si="10">N56/M56-1</f>
        <v>0.12854964830268378</v>
      </c>
      <c r="O66" s="239">
        <f t="shared" si="10"/>
        <v>0.11671085583943741</v>
      </c>
      <c r="P66" s="239">
        <f t="shared" si="10"/>
        <v>0.10055026262833655</v>
      </c>
      <c r="Q66" s="239">
        <f t="shared" ca="1" si="10"/>
        <v>9.3024913330120418E-2</v>
      </c>
      <c r="R66" s="239">
        <f t="shared" ca="1" si="10"/>
        <v>9.6528340774185484E-2</v>
      </c>
      <c r="S66" s="239">
        <f t="shared" ca="1" si="10"/>
        <v>3.1194772836599327E-2</v>
      </c>
      <c r="T66" s="227"/>
      <c r="U66" s="228"/>
      <c r="V66" s="228"/>
    </row>
    <row r="67" spans="1:22" ht="15" x14ac:dyDescent="0.25">
      <c r="A67" s="397"/>
      <c r="B67" s="28"/>
      <c r="C67" s="28"/>
      <c r="D67" s="28"/>
      <c r="E67" s="28"/>
      <c r="F67" s="28"/>
      <c r="G67" s="28"/>
      <c r="H67" s="28"/>
      <c r="I67" s="28" t="s">
        <v>157</v>
      </c>
      <c r="J67" s="28"/>
      <c r="K67" s="28"/>
      <c r="L67" s="28"/>
      <c r="M67" s="239">
        <v>0.24249864986976402</v>
      </c>
      <c r="N67" s="239">
        <v>0.27052768338996608</v>
      </c>
      <c r="O67" s="239">
        <v>0.30695284008428336</v>
      </c>
      <c r="P67" s="239">
        <v>0.35105062190646225</v>
      </c>
      <c r="Q67" s="239">
        <v>0.30035924641825429</v>
      </c>
      <c r="R67" s="239">
        <v>0.33152967037947845</v>
      </c>
      <c r="S67" s="239">
        <v>0.33439612422903597</v>
      </c>
      <c r="T67" s="227"/>
      <c r="U67" s="228"/>
      <c r="V67" s="228"/>
    </row>
    <row r="68" spans="1:22" ht="15" x14ac:dyDescent="0.25">
      <c r="A68" s="19"/>
      <c r="B68" s="28"/>
      <c r="C68" s="28"/>
      <c r="D68" s="28"/>
      <c r="E68" s="28"/>
      <c r="F68" s="28"/>
      <c r="G68" s="28"/>
      <c r="H68" s="28"/>
      <c r="I68" s="28" t="s">
        <v>158</v>
      </c>
      <c r="J68" s="28"/>
      <c r="K68" s="28"/>
      <c r="L68" s="28"/>
      <c r="M68" s="240"/>
      <c r="N68" s="240">
        <v>0.788916754346771</v>
      </c>
      <c r="O68" s="240">
        <v>0.33631215749676624</v>
      </c>
      <c r="P68" s="240">
        <v>0.19800271917986501</v>
      </c>
      <c r="Q68" s="240">
        <v>-9.4716816401190229E-2</v>
      </c>
      <c r="R68" s="240">
        <v>1.3284665197766334</v>
      </c>
      <c r="S68" s="240">
        <v>0.13398816657007129</v>
      </c>
      <c r="T68" s="227"/>
      <c r="U68" s="228"/>
      <c r="V68" s="228"/>
    </row>
    <row r="69" spans="1:22" ht="15" x14ac:dyDescent="0.25">
      <c r="A69" s="20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27"/>
      <c r="N69" s="227"/>
      <c r="O69" s="227"/>
      <c r="P69" s="227"/>
      <c r="Q69" s="227"/>
      <c r="R69" s="227"/>
      <c r="S69" s="227"/>
      <c r="T69" s="227"/>
      <c r="U69" s="228"/>
      <c r="V69" s="228"/>
    </row>
    <row r="70" spans="1:22" ht="15" x14ac:dyDescent="0.25">
      <c r="A70" s="20"/>
      <c r="B70" s="28"/>
      <c r="C70" s="28"/>
      <c r="D70" s="28"/>
      <c r="E70" s="28"/>
      <c r="F70" s="28"/>
      <c r="G70" s="28"/>
      <c r="H70" s="28"/>
      <c r="I70" s="28" t="s">
        <v>155</v>
      </c>
      <c r="J70" s="28"/>
      <c r="K70" s="28"/>
      <c r="L70" s="28"/>
      <c r="M70" s="79"/>
      <c r="N70" s="79"/>
      <c r="O70" s="241"/>
      <c r="P70" s="242">
        <v>17.770558995378043</v>
      </c>
      <c r="Q70" s="242">
        <v>16.112875128182957</v>
      </c>
      <c r="R70" s="242">
        <v>14.269752993676017</v>
      </c>
      <c r="S70" s="242">
        <v>12.945107202710332</v>
      </c>
      <c r="T70" s="227"/>
      <c r="U70" s="228"/>
      <c r="V70" s="228"/>
    </row>
    <row r="71" spans="1:22" ht="15" x14ac:dyDescent="0.25">
      <c r="A71" s="20"/>
      <c r="B71" s="28"/>
      <c r="C71" s="28"/>
      <c r="D71" s="28"/>
      <c r="E71" s="28"/>
      <c r="F71" s="28"/>
      <c r="G71" s="28"/>
      <c r="H71" s="28"/>
      <c r="I71" s="28" t="s">
        <v>159</v>
      </c>
      <c r="J71" s="28"/>
      <c r="K71" s="28"/>
      <c r="L71" s="28"/>
      <c r="M71" s="79"/>
      <c r="N71" s="79"/>
      <c r="O71" s="243"/>
      <c r="P71" s="242">
        <v>48.471623889886438</v>
      </c>
      <c r="Q71" s="242">
        <v>35.876224858174318</v>
      </c>
      <c r="R71" s="242">
        <v>22.688503296723699</v>
      </c>
      <c r="S71" s="242">
        <v>17.068102162994574</v>
      </c>
      <c r="T71" s="227"/>
      <c r="U71" s="228"/>
      <c r="V71" s="228"/>
    </row>
    <row r="72" spans="1:22" ht="15" x14ac:dyDescent="0.25">
      <c r="A72" s="20"/>
      <c r="B72" s="28"/>
      <c r="C72" s="28"/>
      <c r="D72" s="28"/>
      <c r="E72" s="28"/>
      <c r="F72" s="28"/>
      <c r="G72" s="28"/>
      <c r="H72" s="28"/>
      <c r="I72" s="28" t="s">
        <v>161</v>
      </c>
      <c r="J72" s="28"/>
      <c r="K72" s="28"/>
      <c r="L72" s="28"/>
      <c r="M72" s="79"/>
      <c r="N72" s="79"/>
      <c r="O72" s="239"/>
      <c r="P72" s="239">
        <v>5.5038317360072385E-2</v>
      </c>
      <c r="Q72" s="239">
        <v>6.0144405665429439E-2</v>
      </c>
      <c r="R72" s="239">
        <v>7.4040089585998503E-2</v>
      </c>
      <c r="S72" s="239">
        <v>8.3913159898436451E-2</v>
      </c>
      <c r="T72" s="227"/>
      <c r="U72" s="228"/>
      <c r="V72" s="228"/>
    </row>
    <row r="73" spans="1:22" ht="15" x14ac:dyDescent="0.25">
      <c r="A73" s="19"/>
      <c r="B73" s="28"/>
      <c r="C73" s="28"/>
      <c r="D73" s="28"/>
      <c r="E73" s="28"/>
      <c r="F73" s="28"/>
      <c r="G73" s="28"/>
      <c r="H73" s="28"/>
      <c r="I73" s="28" t="s">
        <v>163</v>
      </c>
      <c r="J73" s="28"/>
      <c r="K73" s="28"/>
      <c r="L73" s="28"/>
      <c r="M73" s="79"/>
      <c r="N73" s="79"/>
      <c r="O73" s="79"/>
      <c r="P73" s="244">
        <v>0.21795173674588664</v>
      </c>
      <c r="Q73" s="339">
        <f ca="1">IF(Drivers!$E$4=3,Model!O195,Q73)</f>
        <v>0.24197844187279652</v>
      </c>
      <c r="R73" s="339">
        <f ca="1">IF(Drivers!$E$4=3,Model!T195,R73)</f>
        <v>0.29147559091431502</v>
      </c>
      <c r="S73" s="339">
        <f ca="1">IF(Drivers!$E$4=3,Model!U195,S73)</f>
        <v>0.28572843021361033</v>
      </c>
      <c r="T73" s="227"/>
      <c r="U73" s="228"/>
      <c r="V73" s="228"/>
    </row>
    <row r="74" spans="1:22" ht="15" x14ac:dyDescent="0.25">
      <c r="A74" s="20"/>
      <c r="B74" s="28"/>
      <c r="C74" s="28"/>
      <c r="D74" s="28"/>
      <c r="E74" s="28"/>
      <c r="F74" s="28"/>
      <c r="G74" s="28"/>
      <c r="H74" s="28"/>
      <c r="I74" s="28" t="s">
        <v>346</v>
      </c>
      <c r="P74" s="46">
        <f>P50</f>
        <v>3.6122921820583555E-2</v>
      </c>
      <c r="Q74" s="46">
        <f ca="1">Q75/$G$8</f>
        <v>4.4275209107710566E-2</v>
      </c>
      <c r="R74" s="46">
        <f ca="1">R75/$G$8</f>
        <v>5.1630139904781054E-2</v>
      </c>
      <c r="S74" s="46">
        <f ca="1">S75/$G$8</f>
        <v>4.9793890965936435E-2</v>
      </c>
      <c r="T74" s="28"/>
    </row>
    <row r="75" spans="1:22" ht="15" x14ac:dyDescent="0.25">
      <c r="A75" s="20"/>
      <c r="B75" s="28"/>
      <c r="C75" s="28"/>
      <c r="D75" s="28"/>
      <c r="E75" s="28"/>
      <c r="F75" s="28"/>
      <c r="G75" s="28"/>
      <c r="H75" s="28"/>
      <c r="I75" s="28" t="s">
        <v>347</v>
      </c>
      <c r="P75" s="339">
        <f>P51</f>
        <v>0.14263340963482482</v>
      </c>
      <c r="Q75" s="339">
        <f ca="1">IF(Drivers!$E$4=3,Model!O200,Q75)</f>
        <v>0.1748231792736413</v>
      </c>
      <c r="R75" s="339">
        <f ca="1">IF(Drivers!$E$4=3,Model!T200,R75)</f>
        <v>0.20386454149856989</v>
      </c>
      <c r="S75" s="339">
        <f ca="1">IF(Drivers!$E$4=3,Model!U200,S75)</f>
        <v>0.19661400821151737</v>
      </c>
      <c r="T75" s="28"/>
    </row>
    <row r="76" spans="1:22" ht="15" x14ac:dyDescent="0.25">
      <c r="A76" s="19"/>
      <c r="B76" s="28"/>
      <c r="C76" s="28"/>
      <c r="D76" s="28"/>
      <c r="E76" s="28"/>
      <c r="F76" s="28"/>
      <c r="G76" s="28"/>
      <c r="H76" s="28"/>
      <c r="I76" s="28" t="s">
        <v>148</v>
      </c>
      <c r="J76" s="28"/>
      <c r="K76" s="28"/>
      <c r="L76" s="28"/>
      <c r="M76" s="79"/>
      <c r="N76" s="245"/>
      <c r="O76" s="245"/>
      <c r="P76" s="245">
        <v>4346.1390000000001</v>
      </c>
      <c r="Q76" s="225">
        <f ca="1">IF(Drivers!$E$4=3,Model!O262,Q76)</f>
        <v>5331.7759999999998</v>
      </c>
      <c r="R76" s="225">
        <f ca="1">IF(Drivers!$E$4=3,Model!T262,R76)</f>
        <v>5310.24736321415</v>
      </c>
      <c r="S76" s="225">
        <f ca="1">IF(Drivers!$E$4=3,Model!U262,S76)</f>
        <v>4364.6577766781411</v>
      </c>
      <c r="T76" s="28"/>
    </row>
    <row r="77" spans="1:22" ht="15" x14ac:dyDescent="0.25">
      <c r="A77" s="20"/>
      <c r="B77" s="28"/>
      <c r="C77" s="28"/>
      <c r="D77" s="28"/>
      <c r="E77" s="28"/>
      <c r="F77" s="28"/>
      <c r="G77" s="28"/>
      <c r="H77" s="28"/>
      <c r="I77" s="28" t="s">
        <v>165</v>
      </c>
      <c r="J77" s="28"/>
      <c r="K77" s="28"/>
      <c r="L77" s="28"/>
      <c r="M77" s="79"/>
      <c r="N77" s="79"/>
      <c r="O77" s="241"/>
      <c r="P77" s="242">
        <v>2.9610369702188892</v>
      </c>
      <c r="Q77" s="242">
        <f ca="1">Q76/Q58</f>
        <v>3.2165307184952856</v>
      </c>
      <c r="R77" s="242">
        <f ca="1">R76/R58</f>
        <v>2.8443563367084286</v>
      </c>
      <c r="S77" s="242">
        <f ca="1">S76/S58</f>
        <v>2.3369571750824947</v>
      </c>
      <c r="T77" s="28"/>
    </row>
    <row r="78" spans="1:22" ht="15" x14ac:dyDescent="0.25">
      <c r="A78" s="20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</row>
    <row r="79" spans="1:22" ht="15" x14ac:dyDescent="0.25">
      <c r="A79" s="19"/>
      <c r="B79" s="28"/>
      <c r="C79" s="28"/>
      <c r="D79" s="28"/>
      <c r="E79" s="28"/>
      <c r="F79" s="28"/>
      <c r="G79" s="28"/>
      <c r="H79" s="28"/>
      <c r="T79" s="28"/>
    </row>
    <row r="80" spans="1:22" ht="15" x14ac:dyDescent="0.25">
      <c r="A80" s="20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</row>
    <row r="81" spans="1:20" ht="15" x14ac:dyDescent="0.25">
      <c r="A81" s="20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</row>
    <row r="82" spans="1:20" ht="15" x14ac:dyDescent="0.25">
      <c r="A82" s="20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</row>
    <row r="83" spans="1:20" ht="15" x14ac:dyDescent="0.25">
      <c r="A83" s="19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</row>
    <row r="84" spans="1:20" ht="15" x14ac:dyDescent="0.25">
      <c r="A84" s="20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</row>
    <row r="85" spans="1:20" ht="15" x14ac:dyDescent="0.25">
      <c r="A85" s="19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</row>
    <row r="86" spans="1:20" ht="15" x14ac:dyDescent="0.25">
      <c r="A86" s="20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</row>
    <row r="87" spans="1:20" ht="15" x14ac:dyDescent="0.25">
      <c r="A87" s="20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</row>
    <row r="88" spans="1:20" ht="15" x14ac:dyDescent="0.25">
      <c r="A88" s="20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</row>
    <row r="89" spans="1:20" ht="15" x14ac:dyDescent="0.25">
      <c r="A89" s="20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</row>
    <row r="90" spans="1:20" ht="15" x14ac:dyDescent="0.25">
      <c r="A90" s="19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</row>
    <row r="91" spans="1:20" ht="15" x14ac:dyDescent="0.25">
      <c r="A91" s="20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</row>
    <row r="92" spans="1:20" ht="15" x14ac:dyDescent="0.25">
      <c r="A92" s="20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</row>
    <row r="93" spans="1:20" ht="15" x14ac:dyDescent="0.25">
      <c r="A93" s="20"/>
      <c r="B93" s="28"/>
      <c r="C93" s="28"/>
      <c r="D93" s="28"/>
      <c r="E93" s="28"/>
      <c r="F93" s="28"/>
      <c r="G93" s="28"/>
      <c r="H93" s="28"/>
      <c r="T93" s="28"/>
    </row>
    <row r="94" spans="1:20" ht="15" x14ac:dyDescent="0.25">
      <c r="A94" s="20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</row>
    <row r="95" spans="1:20" ht="15" x14ac:dyDescent="0.25">
      <c r="A95" s="20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</row>
    <row r="96" spans="1:20" ht="15" x14ac:dyDescent="0.25">
      <c r="A96" s="20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</row>
    <row r="97" spans="1:20" ht="15" x14ac:dyDescent="0.25">
      <c r="A97" s="19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</row>
    <row r="98" spans="1:20" ht="15" x14ac:dyDescent="0.25">
      <c r="A98" s="20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</row>
    <row r="99" spans="1:20" ht="15" x14ac:dyDescent="0.25">
      <c r="A99" s="20"/>
      <c r="B99" s="19"/>
      <c r="C99" s="19"/>
      <c r="D99" s="19"/>
      <c r="E99" s="19"/>
      <c r="F99" s="19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</row>
    <row r="100" spans="1:20" x14ac:dyDescent="0.2">
      <c r="A100" s="19"/>
      <c r="B100" s="19"/>
      <c r="C100" s="19"/>
      <c r="D100" s="19"/>
      <c r="E100" s="19"/>
      <c r="F100" s="19"/>
    </row>
    <row r="101" spans="1:20" ht="15.75" x14ac:dyDescent="0.2">
      <c r="A101" s="21"/>
      <c r="B101" s="19"/>
      <c r="C101" s="19"/>
      <c r="D101" s="19"/>
      <c r="E101" s="19"/>
      <c r="F101" s="19"/>
    </row>
    <row r="102" spans="1:20" x14ac:dyDescent="0.2">
      <c r="A102" s="19"/>
      <c r="B102" s="19"/>
      <c r="C102" s="19"/>
      <c r="D102" s="19"/>
      <c r="E102" s="19"/>
      <c r="F102" s="19"/>
    </row>
    <row r="103" spans="1:20" x14ac:dyDescent="0.2">
      <c r="A103" s="20"/>
      <c r="B103" s="19"/>
      <c r="C103" s="19"/>
      <c r="D103" s="19"/>
      <c r="E103" s="19"/>
      <c r="F103" s="19"/>
    </row>
    <row r="104" spans="1:20" x14ac:dyDescent="0.2">
      <c r="A104" s="20"/>
      <c r="B104" s="19"/>
      <c r="C104" s="19"/>
      <c r="D104" s="19"/>
      <c r="E104" s="19"/>
      <c r="F104" s="19"/>
    </row>
    <row r="105" spans="1:20" x14ac:dyDescent="0.2">
      <c r="A105" s="20"/>
      <c r="B105" s="19"/>
      <c r="C105" s="19"/>
      <c r="D105" s="19"/>
      <c r="E105" s="19"/>
      <c r="F105" s="19"/>
    </row>
    <row r="106" spans="1:20" x14ac:dyDescent="0.2">
      <c r="A106" s="20"/>
      <c r="B106" s="19"/>
      <c r="C106" s="19"/>
      <c r="D106" s="19"/>
      <c r="E106" s="19"/>
      <c r="F106" s="19"/>
    </row>
    <row r="107" spans="1:20" x14ac:dyDescent="0.2">
      <c r="A107" s="20"/>
      <c r="B107" s="19"/>
      <c r="C107" s="19"/>
      <c r="D107" s="19"/>
      <c r="E107" s="19"/>
      <c r="F107" s="19"/>
    </row>
    <row r="108" spans="1:20" x14ac:dyDescent="0.2">
      <c r="A108" s="20"/>
      <c r="B108" s="19"/>
      <c r="C108" s="19"/>
      <c r="D108" s="19"/>
      <c r="E108" s="19"/>
      <c r="F108" s="19"/>
    </row>
    <row r="109" spans="1:20" x14ac:dyDescent="0.2">
      <c r="A109" s="20"/>
      <c r="B109" s="19"/>
      <c r="C109" s="19"/>
      <c r="D109" s="19"/>
      <c r="E109" s="19"/>
      <c r="F109" s="19"/>
    </row>
    <row r="110" spans="1:20" x14ac:dyDescent="0.2">
      <c r="A110" s="20"/>
      <c r="B110" s="19"/>
      <c r="C110" s="19"/>
      <c r="D110" s="19"/>
      <c r="E110" s="19"/>
      <c r="F110" s="19"/>
    </row>
    <row r="111" spans="1:20" x14ac:dyDescent="0.2">
      <c r="A111" s="20"/>
      <c r="B111" s="19"/>
      <c r="C111" s="19"/>
      <c r="D111" s="19"/>
      <c r="E111" s="19"/>
      <c r="F111" s="19"/>
    </row>
    <row r="112" spans="1:20" x14ac:dyDescent="0.2">
      <c r="A112" s="19"/>
      <c r="B112" s="19"/>
      <c r="C112" s="19"/>
      <c r="D112" s="19"/>
      <c r="E112" s="19"/>
      <c r="F112" s="19"/>
    </row>
    <row r="113" spans="1:6" ht="15.75" x14ac:dyDescent="0.2">
      <c r="A113" s="516"/>
      <c r="B113" s="516"/>
      <c r="C113" s="516"/>
      <c r="D113" s="516"/>
      <c r="E113" s="516"/>
      <c r="F113" s="516"/>
    </row>
    <row r="114" spans="1:6" x14ac:dyDescent="0.2">
      <c r="A114" s="512"/>
      <c r="B114" s="512"/>
      <c r="C114" s="512"/>
      <c r="D114" s="512"/>
      <c r="E114" s="512"/>
      <c r="F114" s="512"/>
    </row>
    <row r="115" spans="1:6" x14ac:dyDescent="0.2">
      <c r="A115" s="517"/>
      <c r="B115" s="517"/>
      <c r="C115" s="517"/>
      <c r="D115" s="517"/>
      <c r="E115" s="517"/>
      <c r="F115" s="517"/>
    </row>
    <row r="116" spans="1:6" x14ac:dyDescent="0.2">
      <c r="A116" s="512"/>
      <c r="B116" s="512"/>
      <c r="C116" s="512"/>
      <c r="D116" s="512"/>
      <c r="E116" s="512"/>
      <c r="F116" s="512"/>
    </row>
    <row r="117" spans="1:6" x14ac:dyDescent="0.2">
      <c r="A117" s="20"/>
      <c r="B117" s="20"/>
      <c r="C117" s="20"/>
      <c r="D117" s="20"/>
      <c r="E117" s="20"/>
      <c r="F117" s="20"/>
    </row>
    <row r="118" spans="1:6" x14ac:dyDescent="0.2">
      <c r="A118" s="20"/>
      <c r="B118" s="20"/>
      <c r="C118" s="20"/>
      <c r="D118" s="20"/>
      <c r="E118" s="20"/>
      <c r="F118" s="20"/>
    </row>
    <row r="119" spans="1:6" x14ac:dyDescent="0.2">
      <c r="A119" s="20"/>
      <c r="B119" s="20"/>
      <c r="C119" s="20"/>
      <c r="D119" s="20"/>
      <c r="E119" s="20"/>
      <c r="F119" s="20"/>
    </row>
    <row r="120" spans="1:6" x14ac:dyDescent="0.2">
      <c r="A120" s="20"/>
      <c r="B120" s="20"/>
      <c r="C120" s="20"/>
      <c r="D120" s="20"/>
      <c r="E120" s="20"/>
      <c r="F120" s="20"/>
    </row>
    <row r="121" spans="1:6" x14ac:dyDescent="0.2">
      <c r="A121" s="20"/>
      <c r="B121" s="20"/>
      <c r="C121" s="20"/>
      <c r="D121" s="20"/>
      <c r="E121" s="20"/>
      <c r="F121" s="20"/>
    </row>
    <row r="122" spans="1:6" x14ac:dyDescent="0.2">
      <c r="A122" s="20"/>
      <c r="B122" s="20"/>
      <c r="C122" s="20"/>
      <c r="D122" s="20"/>
      <c r="E122" s="20"/>
      <c r="F122" s="20"/>
    </row>
    <row r="123" spans="1:6" x14ac:dyDescent="0.2">
      <c r="A123" s="518"/>
      <c r="B123" s="518"/>
      <c r="C123" s="518"/>
      <c r="D123" s="518"/>
      <c r="E123" s="518"/>
      <c r="F123" s="518"/>
    </row>
    <row r="124" spans="1:6" x14ac:dyDescent="0.2">
      <c r="A124" s="22"/>
      <c r="B124" s="513"/>
      <c r="C124" s="514"/>
      <c r="D124" s="513"/>
      <c r="E124" s="515"/>
      <c r="F124" s="514"/>
    </row>
    <row r="125" spans="1:6" x14ac:dyDescent="0.2">
      <c r="A125" s="22"/>
      <c r="B125" s="22"/>
      <c r="C125" s="22"/>
      <c r="D125" s="22"/>
      <c r="E125" s="22"/>
      <c r="F125" s="22"/>
    </row>
    <row r="126" spans="1:6" x14ac:dyDescent="0.2">
      <c r="A126" s="22"/>
      <c r="B126" s="22"/>
      <c r="C126" s="23"/>
      <c r="D126" s="22"/>
      <c r="E126" s="23"/>
      <c r="F126" s="23"/>
    </row>
    <row r="127" spans="1:6" x14ac:dyDescent="0.2">
      <c r="A127" s="22"/>
      <c r="B127" s="22"/>
      <c r="C127" s="23"/>
      <c r="D127" s="22"/>
      <c r="E127" s="23"/>
      <c r="F127" s="23"/>
    </row>
    <row r="128" spans="1:6" x14ac:dyDescent="0.2">
      <c r="A128" s="22"/>
      <c r="B128" s="22"/>
      <c r="C128" s="23"/>
      <c r="D128" s="22"/>
      <c r="E128" s="23"/>
      <c r="F128" s="23"/>
    </row>
    <row r="129" spans="1:6" x14ac:dyDescent="0.2">
      <c r="A129" s="22"/>
      <c r="B129" s="22"/>
      <c r="C129" s="23"/>
      <c r="D129" s="22"/>
      <c r="E129" s="23"/>
      <c r="F129" s="23"/>
    </row>
    <row r="130" spans="1:6" x14ac:dyDescent="0.2">
      <c r="A130" s="22"/>
      <c r="B130" s="24"/>
      <c r="C130" s="22"/>
      <c r="D130" s="22"/>
      <c r="E130" s="22"/>
      <c r="F130" s="22"/>
    </row>
    <row r="131" spans="1:6" x14ac:dyDescent="0.2">
      <c r="A131" s="511"/>
      <c r="B131" s="511"/>
      <c r="C131" s="511"/>
      <c r="D131" s="511"/>
      <c r="E131" s="511"/>
      <c r="F131" s="511"/>
    </row>
    <row r="132" spans="1:6" x14ac:dyDescent="0.2">
      <c r="A132" s="512"/>
      <c r="B132" s="512"/>
      <c r="C132" s="512"/>
      <c r="D132" s="512"/>
      <c r="E132" s="512"/>
      <c r="F132" s="512"/>
    </row>
    <row r="133" spans="1:6" x14ac:dyDescent="0.2">
      <c r="A133" s="20"/>
      <c r="B133" s="20"/>
      <c r="C133" s="20"/>
      <c r="D133" s="20"/>
      <c r="E133" s="20"/>
      <c r="F133" s="20"/>
    </row>
    <row r="134" spans="1:6" x14ac:dyDescent="0.2">
      <c r="A134" s="19"/>
      <c r="B134" s="19"/>
      <c r="C134" s="19"/>
      <c r="D134" s="19"/>
      <c r="E134" s="19"/>
      <c r="F134" s="19"/>
    </row>
    <row r="135" spans="1:6" ht="15.75" x14ac:dyDescent="0.2">
      <c r="A135" s="21"/>
      <c r="B135" s="19"/>
      <c r="C135" s="19"/>
      <c r="D135" s="19"/>
      <c r="E135" s="19"/>
      <c r="F135" s="19"/>
    </row>
    <row r="136" spans="1:6" x14ac:dyDescent="0.2">
      <c r="A136" s="19"/>
      <c r="B136" s="19"/>
      <c r="C136" s="19"/>
      <c r="D136" s="19"/>
      <c r="E136" s="19"/>
      <c r="F136" s="19"/>
    </row>
    <row r="137" spans="1:6" x14ac:dyDescent="0.2">
      <c r="A137" s="20"/>
      <c r="B137" s="19"/>
      <c r="C137" s="19"/>
      <c r="D137" s="19"/>
      <c r="E137" s="19"/>
      <c r="F137" s="19"/>
    </row>
    <row r="138" spans="1:6" x14ac:dyDescent="0.2">
      <c r="A138" s="20"/>
      <c r="B138" s="19"/>
      <c r="C138" s="19"/>
      <c r="D138" s="19"/>
      <c r="E138" s="19"/>
      <c r="F138" s="19"/>
    </row>
    <row r="139" spans="1:6" x14ac:dyDescent="0.2">
      <c r="A139" s="19"/>
      <c r="B139" s="19"/>
      <c r="C139" s="19"/>
      <c r="D139" s="19"/>
      <c r="E139" s="19"/>
      <c r="F139" s="19"/>
    </row>
    <row r="140" spans="1:6" x14ac:dyDescent="0.2">
      <c r="A140" s="20"/>
      <c r="B140" s="19"/>
      <c r="C140" s="19"/>
      <c r="D140" s="19"/>
      <c r="E140" s="19"/>
      <c r="F140" s="19"/>
    </row>
    <row r="141" spans="1:6" x14ac:dyDescent="0.2">
      <c r="A141" s="20"/>
      <c r="B141" s="19"/>
      <c r="C141" s="19"/>
      <c r="D141" s="19"/>
      <c r="E141" s="19"/>
      <c r="F141" s="19"/>
    </row>
    <row r="142" spans="1:6" x14ac:dyDescent="0.2">
      <c r="A142" s="20"/>
      <c r="B142" s="19"/>
      <c r="C142" s="19"/>
      <c r="D142" s="19"/>
      <c r="E142" s="19"/>
      <c r="F142" s="19"/>
    </row>
    <row r="143" spans="1:6" x14ac:dyDescent="0.2">
      <c r="A143" s="19"/>
      <c r="B143" s="19"/>
      <c r="C143" s="19"/>
      <c r="D143" s="19"/>
      <c r="E143" s="19"/>
      <c r="F143" s="19"/>
    </row>
    <row r="144" spans="1:6" x14ac:dyDescent="0.2">
      <c r="A144" s="20"/>
      <c r="B144" s="19"/>
      <c r="C144" s="19"/>
      <c r="D144" s="19"/>
      <c r="E144" s="19"/>
      <c r="F144" s="19"/>
    </row>
    <row r="145" spans="1:6" x14ac:dyDescent="0.2">
      <c r="A145" s="20"/>
      <c r="B145" s="19"/>
      <c r="C145" s="19"/>
      <c r="D145" s="19"/>
      <c r="E145" s="19"/>
      <c r="F145" s="19"/>
    </row>
    <row r="146" spans="1:6" x14ac:dyDescent="0.2">
      <c r="A146" s="20"/>
      <c r="B146" s="19"/>
      <c r="C146" s="19"/>
      <c r="D146" s="19"/>
      <c r="E146" s="19"/>
      <c r="F146" s="19"/>
    </row>
    <row r="147" spans="1:6" x14ac:dyDescent="0.2">
      <c r="A147" s="19"/>
      <c r="B147" s="19"/>
      <c r="C147" s="19"/>
      <c r="D147" s="19"/>
      <c r="E147" s="19"/>
      <c r="F147" s="19"/>
    </row>
    <row r="148" spans="1:6" x14ac:dyDescent="0.2">
      <c r="A148" s="20"/>
      <c r="B148" s="19"/>
      <c r="C148" s="19"/>
      <c r="D148" s="19"/>
      <c r="E148" s="19"/>
      <c r="F148" s="19"/>
    </row>
    <row r="149" spans="1:6" x14ac:dyDescent="0.2">
      <c r="A149" s="20"/>
      <c r="B149" s="19"/>
      <c r="C149" s="19"/>
      <c r="D149" s="19"/>
      <c r="E149" s="19"/>
      <c r="F149" s="19"/>
    </row>
    <row r="150" spans="1:6" x14ac:dyDescent="0.2">
      <c r="A150" s="20"/>
      <c r="B150" s="19"/>
      <c r="C150" s="19"/>
      <c r="D150" s="19"/>
      <c r="E150" s="19"/>
      <c r="F150" s="19"/>
    </row>
    <row r="151" spans="1:6" x14ac:dyDescent="0.2">
      <c r="A151" s="19"/>
      <c r="B151" s="19"/>
      <c r="C151" s="19"/>
      <c r="D151" s="19"/>
      <c r="E151" s="19"/>
      <c r="F151" s="19"/>
    </row>
    <row r="152" spans="1:6" x14ac:dyDescent="0.2">
      <c r="A152" s="20"/>
      <c r="B152" s="19"/>
      <c r="C152" s="19"/>
      <c r="D152" s="19"/>
      <c r="E152" s="19"/>
      <c r="F152" s="19"/>
    </row>
    <row r="153" spans="1:6" x14ac:dyDescent="0.2">
      <c r="A153" s="20"/>
      <c r="B153" s="19"/>
      <c r="C153" s="19"/>
      <c r="D153" s="19"/>
      <c r="E153" s="19"/>
      <c r="F153" s="19"/>
    </row>
    <row r="154" spans="1:6" x14ac:dyDescent="0.2">
      <c r="A154" s="19"/>
      <c r="B154" s="19"/>
      <c r="C154" s="19"/>
      <c r="D154" s="19"/>
      <c r="E154" s="19"/>
      <c r="F154" s="19"/>
    </row>
    <row r="155" spans="1:6" ht="15.75" x14ac:dyDescent="0.2">
      <c r="A155" s="21"/>
      <c r="B155" s="19"/>
      <c r="C155" s="19"/>
      <c r="D155" s="19"/>
      <c r="E155" s="19"/>
      <c r="F155" s="19"/>
    </row>
    <row r="156" spans="1:6" x14ac:dyDescent="0.2">
      <c r="A156" s="19"/>
      <c r="B156" s="19"/>
      <c r="C156" s="19"/>
      <c r="D156" s="19"/>
      <c r="E156" s="19"/>
      <c r="F156" s="19"/>
    </row>
    <row r="157" spans="1:6" x14ac:dyDescent="0.2">
      <c r="A157" s="20"/>
      <c r="B157" s="19"/>
      <c r="C157" s="19"/>
      <c r="D157" s="19"/>
      <c r="E157" s="19"/>
      <c r="F157" s="19"/>
    </row>
    <row r="158" spans="1:6" x14ac:dyDescent="0.2">
      <c r="A158" s="20"/>
      <c r="B158" s="19"/>
      <c r="C158" s="19"/>
      <c r="D158" s="19"/>
      <c r="E158" s="19"/>
      <c r="F158" s="19"/>
    </row>
    <row r="159" spans="1:6" x14ac:dyDescent="0.2">
      <c r="A159" s="19"/>
      <c r="B159" s="19"/>
      <c r="C159" s="19"/>
      <c r="D159" s="19"/>
      <c r="E159" s="19"/>
      <c r="F159" s="19"/>
    </row>
    <row r="160" spans="1:6" x14ac:dyDescent="0.2">
      <c r="A160" s="20"/>
      <c r="B160" s="19"/>
      <c r="C160" s="19"/>
      <c r="D160" s="19"/>
      <c r="E160" s="19"/>
      <c r="F160" s="19"/>
    </row>
    <row r="161" spans="1:6" x14ac:dyDescent="0.2">
      <c r="A161" s="20"/>
      <c r="B161" s="19"/>
      <c r="C161" s="19"/>
      <c r="D161" s="19"/>
      <c r="E161" s="19"/>
      <c r="F161" s="19"/>
    </row>
    <row r="162" spans="1:6" x14ac:dyDescent="0.2">
      <c r="A162" s="19"/>
      <c r="B162" s="19"/>
      <c r="C162" s="19"/>
      <c r="D162" s="19"/>
      <c r="E162" s="19"/>
      <c r="F162" s="19"/>
    </row>
    <row r="163" spans="1:6" x14ac:dyDescent="0.2">
      <c r="A163" s="20"/>
      <c r="B163" s="19"/>
      <c r="C163" s="19"/>
      <c r="D163" s="19"/>
      <c r="E163" s="19"/>
      <c r="F163" s="19"/>
    </row>
    <row r="164" spans="1:6" x14ac:dyDescent="0.2">
      <c r="A164" s="20"/>
      <c r="B164" s="19"/>
      <c r="C164" s="19"/>
      <c r="D164" s="19"/>
      <c r="E164" s="19"/>
      <c r="F164" s="19"/>
    </row>
    <row r="165" spans="1:6" x14ac:dyDescent="0.2">
      <c r="A165" s="19"/>
      <c r="B165" s="19"/>
      <c r="C165" s="19"/>
      <c r="D165" s="19"/>
      <c r="E165" s="19"/>
      <c r="F165" s="19"/>
    </row>
    <row r="166" spans="1:6" x14ac:dyDescent="0.2">
      <c r="A166" s="20"/>
      <c r="B166" s="19"/>
      <c r="C166" s="19"/>
      <c r="D166" s="19"/>
      <c r="E166" s="19"/>
      <c r="F166" s="19"/>
    </row>
    <row r="167" spans="1:6" x14ac:dyDescent="0.2">
      <c r="A167" s="20"/>
      <c r="B167" s="19"/>
      <c r="C167" s="19"/>
      <c r="D167" s="19"/>
      <c r="E167" s="19"/>
      <c r="F167" s="19"/>
    </row>
    <row r="168" spans="1:6" x14ac:dyDescent="0.2">
      <c r="A168" s="20"/>
      <c r="B168" s="19"/>
      <c r="C168" s="19"/>
      <c r="D168" s="19"/>
      <c r="E168" s="19"/>
      <c r="F168" s="19"/>
    </row>
    <row r="169" spans="1:6" x14ac:dyDescent="0.2">
      <c r="A169" s="19"/>
      <c r="B169" s="19"/>
      <c r="C169" s="19"/>
      <c r="D169" s="19"/>
      <c r="E169" s="19"/>
      <c r="F169" s="19"/>
    </row>
    <row r="170" spans="1:6" x14ac:dyDescent="0.2">
      <c r="A170" s="19"/>
      <c r="B170" s="19"/>
      <c r="C170" s="19"/>
      <c r="D170" s="19"/>
      <c r="E170" s="19"/>
      <c r="F170" s="19"/>
    </row>
    <row r="171" spans="1:6" x14ac:dyDescent="0.2">
      <c r="A171" s="20"/>
      <c r="B171" s="19"/>
      <c r="C171" s="19"/>
      <c r="D171" s="19"/>
      <c r="E171" s="19"/>
      <c r="F171" s="19"/>
    </row>
    <row r="172" spans="1:6" x14ac:dyDescent="0.2">
      <c r="A172" s="19"/>
      <c r="B172" s="19"/>
      <c r="C172" s="19"/>
      <c r="D172" s="19"/>
      <c r="E172" s="19"/>
      <c r="F172" s="19"/>
    </row>
    <row r="173" spans="1:6" ht="15.75" x14ac:dyDescent="0.2">
      <c r="A173" s="21"/>
      <c r="B173" s="19"/>
      <c r="C173" s="19"/>
      <c r="D173" s="19"/>
      <c r="E173" s="19"/>
      <c r="F173" s="19"/>
    </row>
    <row r="174" spans="1:6" x14ac:dyDescent="0.2">
      <c r="A174" s="19"/>
      <c r="B174" s="19"/>
      <c r="C174" s="19"/>
      <c r="D174" s="19"/>
      <c r="E174" s="19"/>
      <c r="F174" s="19"/>
    </row>
    <row r="175" spans="1:6" x14ac:dyDescent="0.2">
      <c r="A175" s="19"/>
      <c r="B175" s="19"/>
      <c r="C175" s="19"/>
      <c r="D175" s="19"/>
      <c r="E175" s="19"/>
      <c r="F175" s="19"/>
    </row>
    <row r="176" spans="1:6" x14ac:dyDescent="0.2">
      <c r="A176" s="19"/>
      <c r="B176" s="19"/>
      <c r="C176" s="19"/>
      <c r="D176" s="19"/>
      <c r="E176" s="19"/>
      <c r="F176" s="19"/>
    </row>
    <row r="177" spans="1:6" x14ac:dyDescent="0.2">
      <c r="A177" s="19"/>
      <c r="B177" s="19"/>
      <c r="C177" s="19"/>
      <c r="D177" s="19"/>
      <c r="E177" s="19"/>
      <c r="F177" s="19"/>
    </row>
    <row r="178" spans="1:6" x14ac:dyDescent="0.2">
      <c r="A178" s="19"/>
      <c r="B178" s="19"/>
      <c r="C178" s="19"/>
      <c r="D178" s="19"/>
      <c r="E178" s="19"/>
      <c r="F178" s="19"/>
    </row>
    <row r="179" spans="1:6" x14ac:dyDescent="0.2">
      <c r="A179" s="19"/>
      <c r="B179" s="19"/>
      <c r="C179" s="19"/>
      <c r="D179" s="19"/>
      <c r="E179" s="19"/>
      <c r="F179" s="19"/>
    </row>
    <row r="180" spans="1:6" x14ac:dyDescent="0.2">
      <c r="A180" s="19"/>
      <c r="B180" s="19"/>
      <c r="C180" s="19"/>
      <c r="D180" s="19"/>
      <c r="E180" s="19"/>
      <c r="F180" s="19"/>
    </row>
    <row r="181" spans="1:6" x14ac:dyDescent="0.2">
      <c r="A181" s="19"/>
      <c r="B181" s="19"/>
      <c r="C181" s="19"/>
      <c r="D181" s="19"/>
      <c r="E181" s="19"/>
      <c r="F181" s="19"/>
    </row>
    <row r="182" spans="1:6" x14ac:dyDescent="0.2">
      <c r="A182" s="19"/>
      <c r="B182" s="19"/>
      <c r="C182" s="19"/>
      <c r="D182" s="19"/>
      <c r="E182" s="19"/>
      <c r="F182" s="19"/>
    </row>
    <row r="183" spans="1:6" x14ac:dyDescent="0.2">
      <c r="A183" s="19"/>
      <c r="B183" s="19"/>
      <c r="C183" s="19"/>
      <c r="D183" s="19"/>
      <c r="E183" s="19"/>
      <c r="F183" s="19"/>
    </row>
    <row r="184" spans="1:6" x14ac:dyDescent="0.2">
      <c r="A184" s="19"/>
      <c r="B184" s="19"/>
      <c r="C184" s="19"/>
      <c r="D184" s="19"/>
      <c r="E184" s="19"/>
      <c r="F184" s="19"/>
    </row>
    <row r="185" spans="1:6" x14ac:dyDescent="0.2">
      <c r="A185" s="19"/>
      <c r="B185" s="19"/>
      <c r="C185" s="19"/>
      <c r="D185" s="19"/>
      <c r="E185" s="19"/>
      <c r="F185" s="19"/>
    </row>
    <row r="186" spans="1:6" x14ac:dyDescent="0.2">
      <c r="A186" s="19"/>
      <c r="B186" s="19"/>
      <c r="C186" s="19"/>
      <c r="D186" s="19"/>
      <c r="E186" s="19"/>
      <c r="F186" s="19"/>
    </row>
    <row r="187" spans="1:6" x14ac:dyDescent="0.2">
      <c r="A187" s="19"/>
      <c r="B187" s="19"/>
      <c r="C187" s="19"/>
      <c r="D187" s="19"/>
      <c r="E187" s="19"/>
      <c r="F187" s="19"/>
    </row>
    <row r="188" spans="1:6" x14ac:dyDescent="0.2">
      <c r="A188" s="19"/>
      <c r="B188" s="19"/>
      <c r="C188" s="19"/>
      <c r="D188" s="19"/>
      <c r="E188" s="19"/>
      <c r="F188" s="19"/>
    </row>
    <row r="189" spans="1:6" x14ac:dyDescent="0.2">
      <c r="A189" s="19"/>
      <c r="B189" s="19"/>
      <c r="C189" s="19"/>
      <c r="D189" s="19"/>
      <c r="E189" s="19"/>
      <c r="F189" s="19"/>
    </row>
    <row r="190" spans="1:6" x14ac:dyDescent="0.2">
      <c r="A190" s="19"/>
      <c r="B190" s="19"/>
      <c r="C190" s="19"/>
      <c r="D190" s="19"/>
      <c r="E190" s="19"/>
      <c r="F190" s="19"/>
    </row>
    <row r="191" spans="1:6" x14ac:dyDescent="0.2">
      <c r="A191" s="19"/>
      <c r="B191" s="19"/>
      <c r="C191" s="19"/>
      <c r="D191" s="19"/>
      <c r="E191" s="19"/>
      <c r="F191" s="19"/>
    </row>
    <row r="192" spans="1:6" x14ac:dyDescent="0.2">
      <c r="A192" s="19"/>
      <c r="B192" s="19"/>
      <c r="C192" s="19"/>
      <c r="D192" s="19"/>
      <c r="E192" s="19"/>
      <c r="F192" s="19"/>
    </row>
    <row r="193" spans="1:6" x14ac:dyDescent="0.2">
      <c r="A193" s="19"/>
      <c r="B193" s="19"/>
      <c r="C193" s="19"/>
      <c r="D193" s="19"/>
      <c r="E193" s="19"/>
      <c r="F193" s="19"/>
    </row>
    <row r="194" spans="1:6" x14ac:dyDescent="0.2">
      <c r="A194" s="19"/>
      <c r="B194" s="19"/>
      <c r="C194" s="19"/>
      <c r="D194" s="19"/>
      <c r="E194" s="19"/>
      <c r="F194" s="19"/>
    </row>
    <row r="195" spans="1:6" x14ac:dyDescent="0.2">
      <c r="A195" s="19"/>
      <c r="B195" s="19"/>
      <c r="C195" s="19"/>
      <c r="D195" s="19"/>
      <c r="E195" s="19"/>
      <c r="F195" s="19"/>
    </row>
    <row r="196" spans="1:6" x14ac:dyDescent="0.2">
      <c r="A196" s="19"/>
      <c r="B196" s="19"/>
      <c r="C196" s="19"/>
      <c r="D196" s="19"/>
      <c r="E196" s="19"/>
      <c r="F196" s="19"/>
    </row>
    <row r="197" spans="1:6" x14ac:dyDescent="0.2">
      <c r="A197" s="19"/>
      <c r="B197" s="19"/>
      <c r="C197" s="19"/>
      <c r="D197" s="19"/>
      <c r="E197" s="19"/>
      <c r="F197" s="19"/>
    </row>
    <row r="198" spans="1:6" x14ac:dyDescent="0.2">
      <c r="A198" s="19"/>
      <c r="B198" s="19"/>
      <c r="C198" s="19"/>
      <c r="D198" s="19"/>
      <c r="E198" s="19"/>
      <c r="F198" s="19"/>
    </row>
    <row r="199" spans="1:6" x14ac:dyDescent="0.2">
      <c r="A199" s="19"/>
      <c r="B199" s="19"/>
      <c r="C199" s="19"/>
      <c r="D199" s="19"/>
      <c r="E199" s="19"/>
      <c r="F199" s="19"/>
    </row>
    <row r="200" spans="1:6" ht="15.75" x14ac:dyDescent="0.2">
      <c r="A200" s="21"/>
      <c r="B200" s="19"/>
      <c r="C200" s="19"/>
      <c r="D200" s="19"/>
      <c r="E200" s="19"/>
      <c r="F200" s="19"/>
    </row>
    <row r="201" spans="1:6" x14ac:dyDescent="0.2">
      <c r="A201" s="19"/>
      <c r="B201" s="19"/>
      <c r="C201" s="19"/>
      <c r="D201" s="19"/>
      <c r="E201" s="19"/>
      <c r="F201" s="19"/>
    </row>
    <row r="202" spans="1:6" x14ac:dyDescent="0.2">
      <c r="A202" s="20"/>
      <c r="B202" s="19"/>
      <c r="C202" s="19"/>
      <c r="D202" s="19"/>
      <c r="E202" s="19"/>
      <c r="F202" s="19"/>
    </row>
    <row r="203" spans="1:6" x14ac:dyDescent="0.2">
      <c r="A203" s="20"/>
      <c r="B203" s="19"/>
      <c r="C203" s="19"/>
      <c r="D203" s="19"/>
      <c r="E203" s="19"/>
      <c r="F203" s="19"/>
    </row>
    <row r="204" spans="1:6" x14ac:dyDescent="0.2">
      <c r="A204" s="20"/>
      <c r="B204" s="19"/>
      <c r="C204" s="19"/>
      <c r="D204" s="19"/>
      <c r="E204" s="19"/>
      <c r="F204" s="19"/>
    </row>
    <row r="205" spans="1:6" x14ac:dyDescent="0.2">
      <c r="A205" s="20"/>
      <c r="B205" s="19"/>
      <c r="C205" s="19"/>
      <c r="D205" s="19"/>
      <c r="E205" s="19"/>
      <c r="F205" s="19"/>
    </row>
    <row r="206" spans="1:6" x14ac:dyDescent="0.2">
      <c r="A206" s="20"/>
      <c r="B206" s="19"/>
      <c r="C206" s="19"/>
      <c r="D206" s="19"/>
      <c r="E206" s="19"/>
      <c r="F206" s="19"/>
    </row>
    <row r="207" spans="1:6" x14ac:dyDescent="0.2">
      <c r="A207" s="19"/>
      <c r="B207" s="19"/>
      <c r="C207" s="19"/>
      <c r="D207" s="19"/>
      <c r="E207" s="19"/>
      <c r="F207" s="19"/>
    </row>
    <row r="208" spans="1:6" x14ac:dyDescent="0.2">
      <c r="A208" s="20"/>
      <c r="B208" s="19"/>
      <c r="C208" s="19"/>
      <c r="D208" s="19"/>
      <c r="E208" s="19"/>
      <c r="F208" s="19"/>
    </row>
    <row r="209" spans="1:6" x14ac:dyDescent="0.2">
      <c r="A209" s="20"/>
      <c r="B209" s="19"/>
      <c r="C209" s="19"/>
      <c r="D209" s="19"/>
      <c r="E209" s="19"/>
      <c r="F209" s="19"/>
    </row>
    <row r="210" spans="1:6" x14ac:dyDescent="0.2">
      <c r="A210" s="20"/>
      <c r="B210" s="19"/>
      <c r="C210" s="19"/>
      <c r="D210" s="19"/>
      <c r="E210" s="19"/>
      <c r="F210" s="19"/>
    </row>
    <row r="211" spans="1:6" ht="15.75" x14ac:dyDescent="0.2">
      <c r="A211" s="21"/>
      <c r="B211" s="19"/>
      <c r="C211" s="19"/>
      <c r="D211" s="19"/>
      <c r="E211" s="19"/>
      <c r="F211" s="19"/>
    </row>
    <row r="212" spans="1:6" x14ac:dyDescent="0.2">
      <c r="A212" s="19"/>
      <c r="B212" s="19"/>
      <c r="C212" s="19"/>
      <c r="D212" s="19"/>
      <c r="E212" s="19"/>
      <c r="F212" s="19"/>
    </row>
    <row r="213" spans="1:6" x14ac:dyDescent="0.2">
      <c r="A213" s="20"/>
      <c r="B213" s="19"/>
      <c r="C213" s="19"/>
      <c r="D213" s="19"/>
      <c r="E213" s="19"/>
      <c r="F213" s="19"/>
    </row>
    <row r="214" spans="1:6" x14ac:dyDescent="0.2">
      <c r="A214" s="20"/>
      <c r="B214" s="19"/>
      <c r="C214" s="19"/>
      <c r="D214" s="19"/>
      <c r="E214" s="19"/>
      <c r="F214" s="19"/>
    </row>
    <row r="215" spans="1:6" x14ac:dyDescent="0.2">
      <c r="A215" s="20"/>
      <c r="B215" s="19"/>
      <c r="C215" s="19"/>
      <c r="D215" s="19"/>
      <c r="E215" s="19"/>
      <c r="F215" s="19"/>
    </row>
    <row r="216" spans="1:6" x14ac:dyDescent="0.2">
      <c r="A216" s="19"/>
      <c r="B216" s="19"/>
      <c r="C216" s="19"/>
      <c r="D216" s="19"/>
      <c r="E216" s="19"/>
      <c r="F216" s="19"/>
    </row>
    <row r="217" spans="1:6" x14ac:dyDescent="0.2">
      <c r="A217" s="20"/>
      <c r="B217" s="19"/>
      <c r="C217" s="19"/>
      <c r="D217" s="19"/>
      <c r="E217" s="19"/>
      <c r="F217" s="19"/>
    </row>
    <row r="218" spans="1:6" x14ac:dyDescent="0.2">
      <c r="A218" s="20"/>
      <c r="B218" s="19"/>
      <c r="C218" s="19"/>
      <c r="D218" s="19"/>
      <c r="E218" s="19"/>
      <c r="F218" s="19"/>
    </row>
    <row r="219" spans="1:6" x14ac:dyDescent="0.2">
      <c r="A219" s="20"/>
      <c r="B219" s="19"/>
      <c r="C219" s="19"/>
      <c r="D219" s="19"/>
      <c r="E219" s="19"/>
      <c r="F219" s="19"/>
    </row>
    <row r="220" spans="1:6" x14ac:dyDescent="0.2">
      <c r="A220" s="20"/>
      <c r="B220" s="19"/>
      <c r="C220" s="19"/>
      <c r="D220" s="19"/>
      <c r="E220" s="19"/>
      <c r="F220" s="19"/>
    </row>
    <row r="221" spans="1:6" x14ac:dyDescent="0.2">
      <c r="A221" s="20"/>
      <c r="B221" s="19"/>
      <c r="C221" s="19"/>
      <c r="D221" s="19"/>
      <c r="E221" s="19"/>
      <c r="F221" s="19"/>
    </row>
    <row r="222" spans="1:6" x14ac:dyDescent="0.2">
      <c r="A222" s="19"/>
      <c r="B222" s="19"/>
      <c r="C222" s="19"/>
      <c r="D222" s="19"/>
      <c r="E222" s="19"/>
      <c r="F222" s="19"/>
    </row>
    <row r="223" spans="1:6" x14ac:dyDescent="0.2">
      <c r="A223" s="20"/>
      <c r="B223" s="19"/>
      <c r="C223" s="19"/>
      <c r="D223" s="19"/>
      <c r="E223" s="19"/>
      <c r="F223" s="19"/>
    </row>
    <row r="224" spans="1:6" x14ac:dyDescent="0.2">
      <c r="A224" s="20"/>
      <c r="B224" s="19"/>
      <c r="C224" s="19"/>
      <c r="D224" s="19"/>
      <c r="E224" s="19"/>
      <c r="F224" s="19"/>
    </row>
    <row r="225" spans="1:6" x14ac:dyDescent="0.2">
      <c r="A225" s="20"/>
      <c r="B225" s="19"/>
      <c r="C225" s="19"/>
      <c r="D225" s="19"/>
      <c r="E225" s="19"/>
      <c r="F225" s="19"/>
    </row>
    <row r="226" spans="1:6" x14ac:dyDescent="0.2">
      <c r="A226" s="20"/>
      <c r="B226" s="19"/>
      <c r="C226" s="19"/>
      <c r="D226" s="19"/>
      <c r="E226" s="19"/>
      <c r="F226" s="19"/>
    </row>
    <row r="227" spans="1:6" x14ac:dyDescent="0.2">
      <c r="A227" s="20"/>
      <c r="B227" s="19"/>
      <c r="C227" s="19"/>
      <c r="D227" s="19"/>
      <c r="E227" s="19"/>
      <c r="F227" s="19"/>
    </row>
    <row r="228" spans="1:6" x14ac:dyDescent="0.2">
      <c r="A228" s="20"/>
      <c r="B228" s="19"/>
      <c r="C228" s="19"/>
      <c r="D228" s="19"/>
      <c r="E228" s="19"/>
      <c r="F228" s="19"/>
    </row>
    <row r="229" spans="1:6" x14ac:dyDescent="0.2">
      <c r="A229" s="19"/>
      <c r="B229" s="19"/>
      <c r="C229" s="19"/>
      <c r="D229" s="19"/>
      <c r="E229" s="19"/>
      <c r="F229" s="19"/>
    </row>
    <row r="230" spans="1:6" x14ac:dyDescent="0.2">
      <c r="A230" s="20"/>
      <c r="B230" s="19"/>
      <c r="C230" s="19"/>
      <c r="D230" s="19"/>
      <c r="E230" s="19"/>
      <c r="F230" s="19"/>
    </row>
    <row r="231" spans="1:6" x14ac:dyDescent="0.2">
      <c r="A231" s="20"/>
      <c r="B231" s="19"/>
      <c r="C231" s="19"/>
      <c r="D231" s="19"/>
      <c r="E231" s="19"/>
      <c r="F231" s="19"/>
    </row>
    <row r="232" spans="1:6" x14ac:dyDescent="0.2">
      <c r="A232" s="20"/>
      <c r="B232" s="19"/>
      <c r="C232" s="19"/>
      <c r="D232" s="19"/>
      <c r="E232" s="19"/>
      <c r="F232" s="19"/>
    </row>
    <row r="233" spans="1:6" x14ac:dyDescent="0.2">
      <c r="A233" s="20"/>
      <c r="B233" s="19"/>
      <c r="C233" s="19"/>
      <c r="D233" s="19"/>
      <c r="E233" s="19"/>
      <c r="F233" s="19"/>
    </row>
    <row r="234" spans="1:6" x14ac:dyDescent="0.2">
      <c r="A234" s="20"/>
      <c r="B234" s="19"/>
      <c r="C234" s="19"/>
      <c r="D234" s="19"/>
      <c r="E234" s="19"/>
      <c r="F234" s="19"/>
    </row>
    <row r="235" spans="1:6" x14ac:dyDescent="0.2">
      <c r="A235" s="20"/>
      <c r="B235" s="19"/>
      <c r="C235" s="19"/>
      <c r="D235" s="19"/>
      <c r="E235" s="19"/>
      <c r="F235" s="19"/>
    </row>
    <row r="236" spans="1:6" x14ac:dyDescent="0.2">
      <c r="A236" s="20"/>
      <c r="B236" s="19"/>
      <c r="C236" s="19"/>
      <c r="D236" s="19"/>
      <c r="E236" s="19"/>
      <c r="F236" s="19"/>
    </row>
    <row r="237" spans="1:6" x14ac:dyDescent="0.2">
      <c r="A237" s="20"/>
      <c r="B237" s="19"/>
      <c r="C237" s="19"/>
      <c r="D237" s="19"/>
      <c r="E237" s="19"/>
      <c r="F237" s="19"/>
    </row>
    <row r="238" spans="1:6" x14ac:dyDescent="0.2">
      <c r="A238" s="20"/>
      <c r="B238" s="19"/>
      <c r="C238" s="19"/>
      <c r="D238" s="19"/>
      <c r="E238" s="19"/>
      <c r="F238" s="19"/>
    </row>
    <row r="239" spans="1:6" x14ac:dyDescent="0.2">
      <c r="A239" s="20"/>
      <c r="B239" s="19"/>
      <c r="C239" s="19"/>
      <c r="D239" s="19"/>
      <c r="E239" s="19"/>
      <c r="F239" s="19"/>
    </row>
    <row r="240" spans="1:6" x14ac:dyDescent="0.2">
      <c r="A240" s="19"/>
      <c r="B240" s="19"/>
      <c r="C240" s="19"/>
      <c r="D240" s="19"/>
      <c r="E240" s="19"/>
      <c r="F240" s="19"/>
    </row>
    <row r="241" spans="1:6" x14ac:dyDescent="0.2">
      <c r="A241" s="20"/>
      <c r="B241" s="19"/>
      <c r="C241" s="19"/>
      <c r="D241" s="19"/>
      <c r="E241" s="19"/>
      <c r="F241" s="19"/>
    </row>
    <row r="242" spans="1:6" x14ac:dyDescent="0.2">
      <c r="A242" s="20"/>
      <c r="B242" s="19"/>
      <c r="C242" s="19"/>
      <c r="D242" s="19"/>
      <c r="E242" s="19"/>
      <c r="F242" s="19"/>
    </row>
    <row r="243" spans="1:6" x14ac:dyDescent="0.2">
      <c r="A243" s="19"/>
      <c r="B243" s="19"/>
      <c r="C243" s="19"/>
      <c r="D243" s="19"/>
      <c r="E243" s="19"/>
      <c r="F243" s="19"/>
    </row>
    <row r="244" spans="1:6" x14ac:dyDescent="0.2">
      <c r="A244" s="20"/>
      <c r="B244" s="19"/>
      <c r="C244" s="19"/>
      <c r="D244" s="19"/>
      <c r="E244" s="19"/>
      <c r="F244" s="19"/>
    </row>
    <row r="245" spans="1:6" x14ac:dyDescent="0.2">
      <c r="A245" s="20"/>
      <c r="B245" s="19"/>
      <c r="C245" s="19"/>
      <c r="D245" s="19"/>
      <c r="E245" s="19"/>
      <c r="F245" s="19"/>
    </row>
    <row r="246" spans="1:6" x14ac:dyDescent="0.2">
      <c r="A246" s="20"/>
      <c r="B246" s="19"/>
      <c r="C246" s="19"/>
      <c r="D246" s="19"/>
      <c r="E246" s="19"/>
      <c r="F246" s="19"/>
    </row>
    <row r="247" spans="1:6" x14ac:dyDescent="0.2">
      <c r="A247" s="20"/>
      <c r="B247" s="19"/>
      <c r="C247" s="19"/>
      <c r="D247" s="19"/>
      <c r="E247" s="19"/>
      <c r="F247" s="19"/>
    </row>
    <row r="248" spans="1:6" x14ac:dyDescent="0.2">
      <c r="A248" s="20"/>
      <c r="B248" s="19"/>
      <c r="C248" s="19"/>
      <c r="D248" s="19"/>
      <c r="E248" s="19"/>
      <c r="F248" s="19"/>
    </row>
    <row r="249" spans="1:6" x14ac:dyDescent="0.2">
      <c r="A249" s="20"/>
      <c r="B249" s="19"/>
      <c r="C249" s="19"/>
      <c r="D249" s="19"/>
      <c r="E249" s="19"/>
      <c r="F249" s="19"/>
    </row>
    <row r="250" spans="1:6" x14ac:dyDescent="0.2">
      <c r="A250" s="20"/>
      <c r="B250" s="19"/>
      <c r="C250" s="19"/>
      <c r="D250" s="19"/>
      <c r="E250" s="19"/>
      <c r="F250" s="19"/>
    </row>
    <row r="251" spans="1:6" x14ac:dyDescent="0.2">
      <c r="A251" s="20"/>
      <c r="B251" s="19"/>
      <c r="C251" s="19"/>
      <c r="D251" s="19"/>
      <c r="E251" s="19"/>
      <c r="F251" s="19"/>
    </row>
    <row r="252" spans="1:6" x14ac:dyDescent="0.2">
      <c r="A252" s="20"/>
      <c r="B252" s="19"/>
      <c r="C252" s="19"/>
      <c r="D252" s="19"/>
      <c r="E252" s="19"/>
      <c r="F252" s="19"/>
    </row>
    <row r="253" spans="1:6" x14ac:dyDescent="0.2">
      <c r="A253" s="20"/>
      <c r="B253" s="19"/>
      <c r="C253" s="19"/>
      <c r="D253" s="19"/>
      <c r="E253" s="19"/>
      <c r="F253" s="19"/>
    </row>
    <row r="254" spans="1:6" x14ac:dyDescent="0.2">
      <c r="A254" s="20"/>
      <c r="B254" s="19"/>
      <c r="C254" s="19"/>
      <c r="D254" s="19"/>
      <c r="E254" s="19"/>
      <c r="F254" s="19"/>
    </row>
    <row r="255" spans="1:6" x14ac:dyDescent="0.2">
      <c r="A255" s="20"/>
      <c r="B255" s="19"/>
      <c r="C255" s="19"/>
      <c r="D255" s="19"/>
      <c r="E255" s="19"/>
      <c r="F255" s="19"/>
    </row>
    <row r="256" spans="1:6" x14ac:dyDescent="0.2">
      <c r="A256" s="20"/>
      <c r="B256" s="19"/>
      <c r="C256" s="19"/>
      <c r="D256" s="19"/>
      <c r="E256" s="19"/>
      <c r="F256" s="19"/>
    </row>
    <row r="257" spans="1:6" x14ac:dyDescent="0.2">
      <c r="A257" s="20"/>
      <c r="B257" s="19"/>
      <c r="C257" s="19"/>
      <c r="D257" s="19"/>
      <c r="E257" s="19"/>
      <c r="F257" s="19"/>
    </row>
    <row r="258" spans="1:6" x14ac:dyDescent="0.2">
      <c r="A258" s="20"/>
      <c r="B258" s="19"/>
      <c r="C258" s="19"/>
      <c r="D258" s="19"/>
      <c r="E258" s="19"/>
      <c r="F258" s="19"/>
    </row>
    <row r="259" spans="1:6" x14ac:dyDescent="0.2">
      <c r="A259" s="20"/>
      <c r="B259" s="19"/>
      <c r="C259" s="19"/>
      <c r="D259" s="19"/>
      <c r="E259" s="19"/>
      <c r="F259" s="19"/>
    </row>
    <row r="260" spans="1:6" x14ac:dyDescent="0.2">
      <c r="A260" s="19"/>
      <c r="B260" s="19"/>
      <c r="C260" s="19"/>
      <c r="D260" s="19"/>
      <c r="E260" s="19"/>
      <c r="F260" s="19"/>
    </row>
    <row r="261" spans="1:6" x14ac:dyDescent="0.2">
      <c r="A261" s="20"/>
      <c r="B261" s="19"/>
      <c r="C261" s="19"/>
      <c r="D261" s="19"/>
      <c r="E261" s="19"/>
      <c r="F261" s="19"/>
    </row>
    <row r="262" spans="1:6" x14ac:dyDescent="0.2">
      <c r="A262" s="20"/>
      <c r="B262" s="19"/>
      <c r="C262" s="19"/>
      <c r="D262" s="19"/>
      <c r="E262" s="19"/>
      <c r="F262" s="19"/>
    </row>
    <row r="263" spans="1:6" x14ac:dyDescent="0.2">
      <c r="A263" s="20"/>
      <c r="B263" s="19"/>
      <c r="C263" s="19"/>
      <c r="D263" s="19"/>
      <c r="E263" s="19"/>
      <c r="F263" s="19"/>
    </row>
    <row r="264" spans="1:6" x14ac:dyDescent="0.2">
      <c r="A264" s="20"/>
      <c r="B264" s="19"/>
      <c r="C264" s="19"/>
      <c r="D264" s="19"/>
      <c r="E264" s="19"/>
      <c r="F264" s="19"/>
    </row>
    <row r="265" spans="1:6" x14ac:dyDescent="0.2">
      <c r="A265" s="20"/>
      <c r="B265" s="19"/>
      <c r="C265" s="19"/>
      <c r="D265" s="19"/>
      <c r="E265" s="19"/>
      <c r="F265" s="19"/>
    </row>
    <row r="266" spans="1:6" x14ac:dyDescent="0.2">
      <c r="A266" s="20"/>
      <c r="B266" s="19"/>
      <c r="C266" s="19"/>
      <c r="D266" s="19"/>
      <c r="E266" s="19"/>
      <c r="F266" s="19"/>
    </row>
    <row r="267" spans="1:6" x14ac:dyDescent="0.2">
      <c r="A267" s="20"/>
      <c r="B267" s="19"/>
      <c r="C267" s="19"/>
      <c r="D267" s="19"/>
      <c r="E267" s="19"/>
      <c r="F267" s="19"/>
    </row>
    <row r="268" spans="1:6" x14ac:dyDescent="0.2">
      <c r="A268" s="19"/>
      <c r="B268" s="19"/>
      <c r="C268" s="19"/>
      <c r="D268" s="19"/>
      <c r="E268" s="19"/>
      <c r="F268" s="19"/>
    </row>
    <row r="269" spans="1:6" x14ac:dyDescent="0.2">
      <c r="A269" s="20"/>
      <c r="B269" s="19"/>
      <c r="C269" s="19"/>
      <c r="D269" s="19"/>
      <c r="E269" s="19"/>
      <c r="F269" s="19"/>
    </row>
    <row r="270" spans="1:6" x14ac:dyDescent="0.2">
      <c r="A270" s="20"/>
      <c r="B270" s="19"/>
      <c r="C270" s="19"/>
      <c r="D270" s="19"/>
      <c r="E270" s="19"/>
      <c r="F270" s="19"/>
    </row>
    <row r="271" spans="1:6" x14ac:dyDescent="0.2">
      <c r="A271" s="20"/>
      <c r="B271" s="19"/>
      <c r="C271" s="19"/>
      <c r="D271" s="19"/>
      <c r="E271" s="19"/>
      <c r="F271" s="19"/>
    </row>
    <row r="272" spans="1:6" x14ac:dyDescent="0.2">
      <c r="A272" s="20"/>
      <c r="B272" s="19"/>
      <c r="C272" s="19"/>
      <c r="D272" s="19"/>
      <c r="E272" s="19"/>
      <c r="F272" s="19"/>
    </row>
    <row r="273" spans="1:6" x14ac:dyDescent="0.2">
      <c r="A273" s="20"/>
      <c r="B273" s="19"/>
      <c r="C273" s="19"/>
      <c r="D273" s="19"/>
      <c r="E273" s="19"/>
      <c r="F273" s="19"/>
    </row>
    <row r="274" spans="1:6" x14ac:dyDescent="0.2">
      <c r="A274" s="20"/>
      <c r="B274" s="19"/>
      <c r="C274" s="19"/>
      <c r="D274" s="19"/>
      <c r="E274" s="19"/>
      <c r="F274" s="19"/>
    </row>
    <row r="275" spans="1:6" x14ac:dyDescent="0.2">
      <c r="A275" s="20"/>
      <c r="B275" s="19"/>
      <c r="C275" s="19"/>
      <c r="D275" s="19"/>
      <c r="E275" s="19"/>
      <c r="F275" s="19"/>
    </row>
    <row r="276" spans="1:6" x14ac:dyDescent="0.2">
      <c r="A276" s="20"/>
      <c r="B276" s="19"/>
      <c r="C276" s="19"/>
      <c r="D276" s="19"/>
      <c r="E276" s="19"/>
      <c r="F276" s="19"/>
    </row>
    <row r="277" spans="1:6" x14ac:dyDescent="0.2">
      <c r="A277" s="20"/>
      <c r="B277" s="19"/>
      <c r="C277" s="19"/>
      <c r="D277" s="19"/>
      <c r="E277" s="19"/>
      <c r="F277" s="19"/>
    </row>
    <row r="278" spans="1:6" x14ac:dyDescent="0.2">
      <c r="A278" s="19"/>
      <c r="B278" s="19"/>
      <c r="C278" s="19"/>
      <c r="D278" s="19"/>
      <c r="E278" s="19"/>
      <c r="F278" s="19"/>
    </row>
    <row r="279" spans="1:6" x14ac:dyDescent="0.2">
      <c r="A279" s="20"/>
      <c r="B279" s="19"/>
      <c r="C279" s="19"/>
      <c r="D279" s="19"/>
      <c r="E279" s="19"/>
      <c r="F279" s="19"/>
    </row>
    <row r="280" spans="1:6" x14ac:dyDescent="0.2">
      <c r="A280" s="20"/>
      <c r="B280" s="19"/>
      <c r="C280" s="19"/>
      <c r="D280" s="19"/>
      <c r="E280" s="19"/>
      <c r="F280" s="19"/>
    </row>
    <row r="281" spans="1:6" x14ac:dyDescent="0.2">
      <c r="A281" s="20"/>
      <c r="B281" s="19"/>
      <c r="C281" s="19"/>
      <c r="D281" s="19"/>
      <c r="E281" s="19"/>
      <c r="F281" s="19"/>
    </row>
    <row r="282" spans="1:6" x14ac:dyDescent="0.2">
      <c r="A282" s="20"/>
      <c r="B282" s="19"/>
      <c r="C282" s="19"/>
      <c r="D282" s="19"/>
      <c r="E282" s="19"/>
      <c r="F282" s="19"/>
    </row>
    <row r="283" spans="1:6" x14ac:dyDescent="0.2">
      <c r="A283" s="20"/>
      <c r="B283" s="19"/>
      <c r="C283" s="19"/>
      <c r="D283" s="19"/>
      <c r="E283" s="19"/>
      <c r="F283" s="19"/>
    </row>
    <row r="284" spans="1:6" x14ac:dyDescent="0.2">
      <c r="A284" s="20"/>
      <c r="B284" s="19"/>
      <c r="C284" s="19"/>
      <c r="D284" s="19"/>
      <c r="E284" s="19"/>
      <c r="F284" s="19"/>
    </row>
    <row r="285" spans="1:6" x14ac:dyDescent="0.2">
      <c r="A285" s="20"/>
      <c r="B285" s="19"/>
      <c r="C285" s="19"/>
      <c r="D285" s="19"/>
      <c r="E285" s="19"/>
      <c r="F285" s="19"/>
    </row>
    <row r="286" spans="1:6" x14ac:dyDescent="0.2">
      <c r="A286" s="19"/>
      <c r="B286" s="19"/>
      <c r="C286" s="19"/>
      <c r="D286" s="19"/>
      <c r="E286" s="19"/>
      <c r="F286" s="19"/>
    </row>
    <row r="287" spans="1:6" x14ac:dyDescent="0.2">
      <c r="A287" s="20"/>
      <c r="B287" s="19"/>
      <c r="C287" s="19"/>
      <c r="D287" s="19"/>
      <c r="E287" s="19"/>
      <c r="F287" s="19"/>
    </row>
    <row r="288" spans="1:6" x14ac:dyDescent="0.2">
      <c r="A288" s="20"/>
      <c r="B288" s="19"/>
      <c r="C288" s="19"/>
      <c r="D288" s="19"/>
      <c r="E288" s="19"/>
      <c r="F288" s="19"/>
    </row>
    <row r="289" spans="1:6" x14ac:dyDescent="0.2">
      <c r="A289" s="20"/>
      <c r="B289" s="19"/>
      <c r="C289" s="19"/>
      <c r="D289" s="19"/>
      <c r="E289" s="19"/>
      <c r="F289" s="19"/>
    </row>
    <row r="290" spans="1:6" x14ac:dyDescent="0.2">
      <c r="A290" s="19"/>
      <c r="B290" s="19"/>
      <c r="C290" s="19"/>
      <c r="D290" s="19"/>
      <c r="E290" s="19"/>
      <c r="F290" s="19"/>
    </row>
    <row r="291" spans="1:6" x14ac:dyDescent="0.2">
      <c r="A291" s="20"/>
      <c r="B291" s="19"/>
      <c r="C291" s="19"/>
      <c r="D291" s="19"/>
      <c r="E291" s="19"/>
      <c r="F291" s="19"/>
    </row>
    <row r="292" spans="1:6" x14ac:dyDescent="0.2">
      <c r="A292" s="20"/>
      <c r="B292" s="19"/>
      <c r="C292" s="19"/>
      <c r="D292" s="19"/>
      <c r="E292" s="19"/>
      <c r="F292" s="19"/>
    </row>
    <row r="293" spans="1:6" x14ac:dyDescent="0.2">
      <c r="A293" s="19"/>
      <c r="B293" s="19"/>
      <c r="C293" s="19"/>
      <c r="D293" s="19"/>
      <c r="E293" s="19"/>
      <c r="F293" s="19"/>
    </row>
    <row r="294" spans="1:6" x14ac:dyDescent="0.2">
      <c r="A294" s="20"/>
      <c r="B294" s="19"/>
      <c r="C294" s="19"/>
      <c r="D294" s="19"/>
      <c r="E294" s="19"/>
      <c r="F294" s="19"/>
    </row>
    <row r="295" spans="1:6" x14ac:dyDescent="0.2">
      <c r="A295" s="20"/>
      <c r="B295" s="19"/>
      <c r="C295" s="19"/>
      <c r="D295" s="19"/>
      <c r="E295" s="19"/>
      <c r="F295" s="19"/>
    </row>
    <row r="296" spans="1:6" x14ac:dyDescent="0.2">
      <c r="A296" s="20"/>
      <c r="B296" s="19"/>
      <c r="C296" s="19"/>
      <c r="D296" s="19"/>
      <c r="E296" s="19"/>
      <c r="F296" s="19"/>
    </row>
    <row r="297" spans="1:6" x14ac:dyDescent="0.2">
      <c r="A297" s="20"/>
      <c r="B297" s="19"/>
      <c r="C297" s="19"/>
      <c r="D297" s="19"/>
      <c r="E297" s="19"/>
      <c r="F297" s="19"/>
    </row>
    <row r="298" spans="1:6" x14ac:dyDescent="0.2">
      <c r="A298" s="20"/>
      <c r="B298" s="19"/>
      <c r="C298" s="19"/>
      <c r="D298" s="19"/>
      <c r="E298" s="19"/>
      <c r="F298" s="19"/>
    </row>
    <row r="299" spans="1:6" x14ac:dyDescent="0.2">
      <c r="A299" s="20"/>
      <c r="B299" s="19"/>
      <c r="C299" s="19"/>
      <c r="D299" s="19"/>
      <c r="E299" s="19"/>
      <c r="F299" s="19"/>
    </row>
    <row r="300" spans="1:6" x14ac:dyDescent="0.2">
      <c r="A300" s="20"/>
      <c r="B300" s="19"/>
      <c r="C300" s="19"/>
      <c r="D300" s="19"/>
      <c r="E300" s="19"/>
      <c r="F300" s="19"/>
    </row>
    <row r="301" spans="1:6" x14ac:dyDescent="0.2">
      <c r="A301" s="20"/>
      <c r="B301" s="19"/>
      <c r="C301" s="19"/>
      <c r="D301" s="19"/>
      <c r="E301" s="19"/>
      <c r="F301" s="19"/>
    </row>
    <row r="302" spans="1:6" x14ac:dyDescent="0.2">
      <c r="A302" s="20"/>
      <c r="B302" s="19"/>
      <c r="C302" s="19"/>
      <c r="D302" s="19"/>
      <c r="E302" s="19"/>
      <c r="F302" s="19"/>
    </row>
    <row r="303" spans="1:6" x14ac:dyDescent="0.2">
      <c r="A303" s="20"/>
      <c r="B303" s="19"/>
      <c r="C303" s="19"/>
      <c r="D303" s="19"/>
      <c r="E303" s="19"/>
      <c r="F303" s="19"/>
    </row>
    <row r="304" spans="1:6" x14ac:dyDescent="0.2">
      <c r="A304" s="20"/>
      <c r="B304" s="19"/>
      <c r="C304" s="19"/>
      <c r="D304" s="19"/>
      <c r="E304" s="19"/>
      <c r="F304" s="19"/>
    </row>
    <row r="305" spans="1:6" x14ac:dyDescent="0.2">
      <c r="A305" s="19"/>
      <c r="B305" s="19"/>
      <c r="C305" s="19"/>
      <c r="D305" s="19"/>
      <c r="E305" s="19"/>
      <c r="F305" s="19"/>
    </row>
    <row r="306" spans="1:6" x14ac:dyDescent="0.2">
      <c r="A306" s="20"/>
      <c r="B306" s="19"/>
      <c r="C306" s="19"/>
      <c r="D306" s="19"/>
      <c r="E306" s="19"/>
      <c r="F306" s="19"/>
    </row>
    <row r="307" spans="1:6" x14ac:dyDescent="0.2">
      <c r="A307" s="20"/>
      <c r="B307" s="19"/>
      <c r="C307" s="19"/>
      <c r="D307" s="19"/>
      <c r="E307" s="19"/>
      <c r="F307" s="19"/>
    </row>
    <row r="308" spans="1:6" x14ac:dyDescent="0.2">
      <c r="A308" s="20"/>
      <c r="B308" s="19"/>
      <c r="C308" s="19"/>
      <c r="D308" s="19"/>
      <c r="E308" s="19"/>
      <c r="F308" s="19"/>
    </row>
    <row r="309" spans="1:6" x14ac:dyDescent="0.2">
      <c r="A309" s="20"/>
      <c r="B309" s="19"/>
      <c r="C309" s="19"/>
      <c r="D309" s="19"/>
      <c r="E309" s="19"/>
      <c r="F309" s="19"/>
    </row>
    <row r="310" spans="1:6" x14ac:dyDescent="0.2">
      <c r="A310" s="20"/>
      <c r="B310" s="19"/>
      <c r="C310" s="19"/>
      <c r="D310" s="19"/>
      <c r="E310" s="19"/>
      <c r="F310" s="19"/>
    </row>
    <row r="311" spans="1:6" x14ac:dyDescent="0.2">
      <c r="A311" s="20"/>
      <c r="B311" s="19"/>
      <c r="C311" s="19"/>
      <c r="D311" s="19"/>
      <c r="E311" s="19"/>
      <c r="F311" s="19"/>
    </row>
    <row r="312" spans="1:6" x14ac:dyDescent="0.2">
      <c r="A312" s="19"/>
      <c r="B312" s="19"/>
      <c r="C312" s="19"/>
      <c r="D312" s="19"/>
      <c r="E312" s="19"/>
      <c r="F312" s="19"/>
    </row>
    <row r="313" spans="1:6" x14ac:dyDescent="0.2">
      <c r="A313" s="20"/>
      <c r="B313" s="19"/>
      <c r="C313" s="19"/>
      <c r="D313" s="19"/>
      <c r="E313" s="19"/>
      <c r="F313" s="19"/>
    </row>
    <row r="314" spans="1:6" x14ac:dyDescent="0.2">
      <c r="A314" s="20"/>
      <c r="B314" s="19"/>
      <c r="C314" s="19"/>
      <c r="D314" s="19"/>
      <c r="E314" s="19"/>
      <c r="F314" s="19"/>
    </row>
    <row r="315" spans="1:6" x14ac:dyDescent="0.2">
      <c r="A315" s="20"/>
      <c r="B315" s="19"/>
      <c r="C315" s="19"/>
      <c r="D315" s="19"/>
      <c r="E315" s="19"/>
      <c r="F315" s="19"/>
    </row>
    <row r="316" spans="1:6" x14ac:dyDescent="0.2">
      <c r="A316" s="20"/>
      <c r="B316" s="19"/>
      <c r="C316" s="19"/>
      <c r="D316" s="19"/>
      <c r="E316" s="19"/>
      <c r="F316" s="19"/>
    </row>
    <row r="317" spans="1:6" x14ac:dyDescent="0.2">
      <c r="A317" s="20"/>
      <c r="B317" s="19"/>
      <c r="C317" s="19"/>
      <c r="D317" s="19"/>
      <c r="E317" s="19"/>
      <c r="F317" s="19"/>
    </row>
    <row r="318" spans="1:6" x14ac:dyDescent="0.2">
      <c r="A318" s="20"/>
      <c r="B318" s="19"/>
      <c r="C318" s="19"/>
      <c r="D318" s="19"/>
      <c r="E318" s="19"/>
      <c r="F318" s="19"/>
    </row>
    <row r="319" spans="1:6" x14ac:dyDescent="0.2">
      <c r="A319" s="20"/>
      <c r="B319" s="19"/>
      <c r="C319" s="19"/>
      <c r="D319" s="19"/>
      <c r="E319" s="19"/>
      <c r="F319" s="19"/>
    </row>
    <row r="320" spans="1:6" x14ac:dyDescent="0.2">
      <c r="A320" s="20"/>
      <c r="B320" s="19"/>
      <c r="C320" s="19"/>
      <c r="D320" s="19"/>
      <c r="E320" s="19"/>
      <c r="F320" s="19"/>
    </row>
    <row r="321" spans="1:6" x14ac:dyDescent="0.2">
      <c r="A321" s="20"/>
      <c r="B321" s="19"/>
      <c r="C321" s="19"/>
      <c r="D321" s="19"/>
      <c r="E321" s="19"/>
      <c r="F321" s="19"/>
    </row>
    <row r="322" spans="1:6" x14ac:dyDescent="0.2">
      <c r="A322" s="20"/>
      <c r="B322" s="19"/>
      <c r="C322" s="19"/>
      <c r="D322" s="19"/>
      <c r="E322" s="19"/>
      <c r="F322" s="19"/>
    </row>
    <row r="323" spans="1:6" x14ac:dyDescent="0.2">
      <c r="A323" s="20"/>
      <c r="B323" s="19"/>
      <c r="C323" s="19"/>
      <c r="D323" s="19"/>
      <c r="E323" s="19"/>
      <c r="F323" s="19"/>
    </row>
    <row r="324" spans="1:6" x14ac:dyDescent="0.2">
      <c r="A324" s="20"/>
      <c r="B324" s="19"/>
      <c r="C324" s="19"/>
      <c r="D324" s="19"/>
      <c r="E324" s="19"/>
      <c r="F324" s="19"/>
    </row>
    <row r="325" spans="1:6" x14ac:dyDescent="0.2">
      <c r="A325" s="20"/>
      <c r="B325" s="19"/>
      <c r="C325" s="19"/>
      <c r="D325" s="19"/>
      <c r="E325" s="19"/>
      <c r="F325" s="19"/>
    </row>
    <row r="326" spans="1:6" x14ac:dyDescent="0.2">
      <c r="A326" s="20"/>
      <c r="B326" s="19"/>
      <c r="C326" s="19"/>
      <c r="D326" s="19"/>
      <c r="E326" s="19"/>
      <c r="F326" s="19"/>
    </row>
    <row r="327" spans="1:6" x14ac:dyDescent="0.2">
      <c r="A327" s="20"/>
      <c r="B327" s="19"/>
      <c r="C327" s="19"/>
      <c r="D327" s="19"/>
      <c r="E327" s="19"/>
      <c r="F327" s="19"/>
    </row>
    <row r="328" spans="1:6" x14ac:dyDescent="0.2">
      <c r="A328" s="20"/>
      <c r="B328" s="19"/>
      <c r="C328" s="19"/>
      <c r="D328" s="19"/>
      <c r="E328" s="19"/>
      <c r="F328" s="19"/>
    </row>
    <row r="329" spans="1:6" x14ac:dyDescent="0.2">
      <c r="A329" s="20"/>
      <c r="B329" s="19"/>
      <c r="C329" s="19"/>
      <c r="D329" s="19"/>
      <c r="E329" s="19"/>
      <c r="F329" s="19"/>
    </row>
    <row r="330" spans="1:6" x14ac:dyDescent="0.2">
      <c r="A330" s="20"/>
      <c r="B330" s="19"/>
      <c r="C330" s="19"/>
      <c r="D330" s="19"/>
      <c r="E330" s="19"/>
      <c r="F330" s="19"/>
    </row>
    <row r="331" spans="1:6" x14ac:dyDescent="0.2">
      <c r="A331" s="20"/>
      <c r="B331" s="19"/>
      <c r="C331" s="19"/>
      <c r="D331" s="19"/>
      <c r="E331" s="19"/>
      <c r="F331" s="19"/>
    </row>
    <row r="332" spans="1:6" x14ac:dyDescent="0.2">
      <c r="A332" s="20"/>
      <c r="B332" s="19"/>
      <c r="C332" s="19"/>
      <c r="D332" s="19"/>
      <c r="E332" s="19"/>
      <c r="F332" s="19"/>
    </row>
    <row r="333" spans="1:6" x14ac:dyDescent="0.2">
      <c r="A333" s="20"/>
      <c r="B333" s="19"/>
      <c r="C333" s="19"/>
      <c r="D333" s="19"/>
      <c r="E333" s="19"/>
      <c r="F333" s="19"/>
    </row>
    <row r="334" spans="1:6" x14ac:dyDescent="0.2">
      <c r="A334" s="20"/>
      <c r="B334" s="19"/>
      <c r="C334" s="19"/>
      <c r="D334" s="19"/>
      <c r="E334" s="19"/>
      <c r="F334" s="19"/>
    </row>
    <row r="335" spans="1:6" x14ac:dyDescent="0.2">
      <c r="A335" s="20"/>
      <c r="B335" s="19"/>
      <c r="C335" s="19"/>
      <c r="D335" s="19"/>
      <c r="E335" s="19"/>
      <c r="F335" s="19"/>
    </row>
    <row r="336" spans="1:6" x14ac:dyDescent="0.2">
      <c r="A336" s="20"/>
      <c r="B336" s="19"/>
      <c r="C336" s="19"/>
      <c r="D336" s="19"/>
      <c r="E336" s="19"/>
      <c r="F336" s="19"/>
    </row>
    <row r="337" spans="1:6" x14ac:dyDescent="0.2">
      <c r="A337" s="20"/>
      <c r="B337" s="19"/>
      <c r="C337" s="19"/>
      <c r="D337" s="19"/>
      <c r="E337" s="19"/>
      <c r="F337" s="19"/>
    </row>
    <row r="338" spans="1:6" x14ac:dyDescent="0.2">
      <c r="A338" s="20"/>
      <c r="B338" s="19"/>
      <c r="C338" s="19"/>
      <c r="D338" s="19"/>
      <c r="E338" s="19"/>
      <c r="F338" s="19"/>
    </row>
    <row r="339" spans="1:6" x14ac:dyDescent="0.2">
      <c r="A339" s="20"/>
      <c r="B339" s="19"/>
      <c r="C339" s="19"/>
      <c r="D339" s="19"/>
      <c r="E339" s="19"/>
      <c r="F339" s="19"/>
    </row>
    <row r="340" spans="1:6" x14ac:dyDescent="0.2">
      <c r="A340" s="20"/>
      <c r="B340" s="19"/>
      <c r="C340" s="19"/>
      <c r="D340" s="19"/>
      <c r="E340" s="19"/>
      <c r="F340" s="19"/>
    </row>
    <row r="341" spans="1:6" x14ac:dyDescent="0.2">
      <c r="A341" s="20"/>
      <c r="B341" s="19"/>
      <c r="C341" s="19"/>
      <c r="D341" s="19"/>
      <c r="E341" s="19"/>
      <c r="F341" s="19"/>
    </row>
    <row r="342" spans="1:6" x14ac:dyDescent="0.2">
      <c r="A342" s="20"/>
      <c r="B342" s="19"/>
      <c r="C342" s="19"/>
      <c r="D342" s="19"/>
      <c r="E342" s="19"/>
      <c r="F342" s="19"/>
    </row>
    <row r="343" spans="1:6" x14ac:dyDescent="0.2">
      <c r="A343" s="20"/>
      <c r="B343" s="19"/>
      <c r="C343" s="19"/>
      <c r="D343" s="19"/>
      <c r="E343" s="19"/>
      <c r="F343" s="19"/>
    </row>
    <row r="344" spans="1:6" x14ac:dyDescent="0.2">
      <c r="A344" s="20"/>
      <c r="B344" s="19"/>
      <c r="C344" s="19"/>
      <c r="D344" s="19"/>
      <c r="E344" s="19"/>
      <c r="F344" s="19"/>
    </row>
    <row r="345" spans="1:6" x14ac:dyDescent="0.2">
      <c r="A345" s="20"/>
      <c r="B345" s="19"/>
      <c r="C345" s="19"/>
      <c r="D345" s="19"/>
      <c r="E345" s="19"/>
      <c r="F345" s="19"/>
    </row>
    <row r="346" spans="1:6" x14ac:dyDescent="0.2">
      <c r="A346" s="20"/>
      <c r="B346" s="19"/>
      <c r="C346" s="19"/>
      <c r="D346" s="19"/>
      <c r="E346" s="19"/>
      <c r="F346" s="19"/>
    </row>
    <row r="347" spans="1:6" x14ac:dyDescent="0.2">
      <c r="A347" s="19"/>
      <c r="B347" s="19"/>
      <c r="C347" s="19"/>
      <c r="D347" s="19"/>
      <c r="E347" s="19"/>
      <c r="F347" s="19"/>
    </row>
    <row r="348" spans="1:6" x14ac:dyDescent="0.2">
      <c r="A348" s="20"/>
      <c r="B348" s="19"/>
      <c r="C348" s="19"/>
      <c r="D348" s="19"/>
      <c r="E348" s="19"/>
      <c r="F348" s="19"/>
    </row>
    <row r="349" spans="1:6" x14ac:dyDescent="0.2">
      <c r="A349" s="20"/>
      <c r="B349" s="19"/>
      <c r="C349" s="19"/>
      <c r="D349" s="19"/>
      <c r="E349" s="19"/>
      <c r="F349" s="19"/>
    </row>
    <row r="350" spans="1:6" x14ac:dyDescent="0.2">
      <c r="A350" s="20"/>
      <c r="B350" s="19"/>
      <c r="C350" s="19"/>
      <c r="D350" s="19"/>
      <c r="E350" s="19"/>
      <c r="F350" s="19"/>
    </row>
    <row r="351" spans="1:6" x14ac:dyDescent="0.2">
      <c r="A351" s="20"/>
      <c r="B351" s="19"/>
      <c r="C351" s="19"/>
      <c r="D351" s="19"/>
      <c r="E351" s="19"/>
      <c r="F351" s="19"/>
    </row>
    <row r="352" spans="1:6" x14ac:dyDescent="0.2">
      <c r="A352" s="20"/>
      <c r="B352" s="19"/>
      <c r="C352" s="19"/>
      <c r="D352" s="19"/>
      <c r="E352" s="19"/>
      <c r="F352" s="19"/>
    </row>
    <row r="353" spans="1:6" x14ac:dyDescent="0.2">
      <c r="A353" s="19"/>
      <c r="B353" s="19"/>
      <c r="C353" s="19"/>
      <c r="D353" s="19"/>
      <c r="E353" s="19"/>
      <c r="F353" s="19"/>
    </row>
    <row r="354" spans="1:6" x14ac:dyDescent="0.2">
      <c r="A354" s="20"/>
      <c r="B354" s="19"/>
      <c r="C354" s="19"/>
      <c r="D354" s="19"/>
      <c r="E354" s="19"/>
      <c r="F354" s="19"/>
    </row>
    <row r="355" spans="1:6" x14ac:dyDescent="0.2">
      <c r="A355" s="20"/>
      <c r="B355" s="19"/>
      <c r="C355" s="19"/>
      <c r="D355" s="19"/>
      <c r="E355" s="19"/>
      <c r="F355" s="19"/>
    </row>
    <row r="356" spans="1:6" x14ac:dyDescent="0.2">
      <c r="A356" s="20"/>
      <c r="B356" s="19"/>
      <c r="C356" s="19"/>
      <c r="D356" s="19"/>
      <c r="E356" s="19"/>
      <c r="F356" s="19"/>
    </row>
    <row r="357" spans="1:6" x14ac:dyDescent="0.2">
      <c r="A357" s="20"/>
      <c r="B357" s="19"/>
      <c r="C357" s="19"/>
      <c r="D357" s="19"/>
      <c r="E357" s="19"/>
      <c r="F357" s="19"/>
    </row>
    <row r="358" spans="1:6" x14ac:dyDescent="0.2">
      <c r="A358" s="19"/>
      <c r="B358" s="19"/>
      <c r="C358" s="19"/>
      <c r="D358" s="19"/>
      <c r="E358" s="19"/>
      <c r="F358" s="19"/>
    </row>
    <row r="359" spans="1:6" x14ac:dyDescent="0.2">
      <c r="A359" s="20"/>
      <c r="B359" s="19"/>
      <c r="C359" s="19"/>
      <c r="D359" s="19"/>
      <c r="E359" s="19"/>
      <c r="F359" s="19"/>
    </row>
    <row r="360" spans="1:6" x14ac:dyDescent="0.2">
      <c r="A360" s="20"/>
      <c r="B360" s="19"/>
      <c r="C360" s="19"/>
      <c r="D360" s="19"/>
      <c r="E360" s="19"/>
      <c r="F360" s="19"/>
    </row>
    <row r="361" spans="1:6" x14ac:dyDescent="0.2">
      <c r="A361" s="20"/>
      <c r="B361" s="19"/>
      <c r="C361" s="19"/>
      <c r="D361" s="19"/>
      <c r="E361" s="19"/>
      <c r="F361" s="19"/>
    </row>
    <row r="362" spans="1:6" x14ac:dyDescent="0.2">
      <c r="A362" s="20"/>
      <c r="B362" s="19"/>
      <c r="C362" s="19"/>
      <c r="D362" s="19"/>
      <c r="E362" s="19"/>
      <c r="F362" s="19"/>
    </row>
    <row r="363" spans="1:6" x14ac:dyDescent="0.2">
      <c r="A363" s="20"/>
      <c r="B363" s="19"/>
      <c r="C363" s="19"/>
      <c r="D363" s="19"/>
      <c r="E363" s="19"/>
      <c r="F363" s="19"/>
    </row>
    <row r="364" spans="1:6" x14ac:dyDescent="0.2">
      <c r="A364" s="20"/>
      <c r="B364" s="19"/>
      <c r="C364" s="19"/>
      <c r="D364" s="19"/>
      <c r="E364" s="19"/>
      <c r="F364" s="19"/>
    </row>
    <row r="365" spans="1:6" x14ac:dyDescent="0.2">
      <c r="A365" s="19"/>
      <c r="B365" s="19"/>
      <c r="C365" s="19"/>
      <c r="D365" s="19"/>
      <c r="E365" s="19"/>
      <c r="F365" s="19"/>
    </row>
    <row r="366" spans="1:6" x14ac:dyDescent="0.2">
      <c r="A366" s="20"/>
      <c r="B366" s="19"/>
      <c r="C366" s="19"/>
      <c r="D366" s="19"/>
      <c r="E366" s="19"/>
      <c r="F366" s="19"/>
    </row>
    <row r="367" spans="1:6" x14ac:dyDescent="0.2">
      <c r="A367" s="20"/>
      <c r="B367" s="19"/>
      <c r="C367" s="19"/>
      <c r="D367" s="19"/>
      <c r="E367" s="19"/>
      <c r="F367" s="19"/>
    </row>
    <row r="368" spans="1:6" x14ac:dyDescent="0.2">
      <c r="A368" s="20"/>
      <c r="B368" s="19"/>
      <c r="C368" s="19"/>
      <c r="D368" s="19"/>
      <c r="E368" s="19"/>
      <c r="F368" s="19"/>
    </row>
    <row r="369" spans="1:6" x14ac:dyDescent="0.2">
      <c r="A369" s="20"/>
      <c r="B369" s="19"/>
      <c r="C369" s="19"/>
      <c r="D369" s="19"/>
      <c r="E369" s="19"/>
      <c r="F369" s="19"/>
    </row>
    <row r="370" spans="1:6" x14ac:dyDescent="0.2">
      <c r="A370" s="20"/>
      <c r="B370" s="19"/>
      <c r="C370" s="19"/>
      <c r="D370" s="19"/>
      <c r="E370" s="19"/>
      <c r="F370" s="19"/>
    </row>
    <row r="371" spans="1:6" x14ac:dyDescent="0.2">
      <c r="A371" s="20"/>
      <c r="B371" s="19"/>
      <c r="C371" s="19"/>
      <c r="D371" s="19"/>
      <c r="E371" s="19"/>
      <c r="F371" s="19"/>
    </row>
    <row r="372" spans="1:6" x14ac:dyDescent="0.2">
      <c r="A372" s="19"/>
      <c r="B372" s="19"/>
      <c r="C372" s="19"/>
      <c r="D372" s="19"/>
      <c r="E372" s="19"/>
      <c r="F372" s="19"/>
    </row>
    <row r="373" spans="1:6" x14ac:dyDescent="0.2">
      <c r="A373" s="20"/>
      <c r="B373" s="19"/>
      <c r="C373" s="19"/>
      <c r="D373" s="19"/>
      <c r="E373" s="19"/>
      <c r="F373" s="19"/>
    </row>
    <row r="374" spans="1:6" x14ac:dyDescent="0.2">
      <c r="A374" s="20"/>
      <c r="B374" s="19"/>
      <c r="C374" s="19"/>
      <c r="D374" s="19"/>
      <c r="E374" s="19"/>
      <c r="F374" s="19"/>
    </row>
  </sheetData>
  <mergeCells count="9">
    <mergeCell ref="A131:F131"/>
    <mergeCell ref="A132:F132"/>
    <mergeCell ref="B124:C124"/>
    <mergeCell ref="D124:F124"/>
    <mergeCell ref="A113:F113"/>
    <mergeCell ref="A114:F114"/>
    <mergeCell ref="A115:F115"/>
    <mergeCell ref="A116:F116"/>
    <mergeCell ref="A123:F123"/>
  </mergeCells>
  <pageMargins left="0.5" right="0.5" top="0.5" bottom="0.5" header="0.5" footer="0.5"/>
  <pageSetup scale="47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329"/>
  <sheetViews>
    <sheetView showGridLines="0" zoomScaleNormal="100" zoomScaleSheetLayoutView="70" workbookViewId="0">
      <pane xSplit="2" ySplit="4" topLeftCell="C5" activePane="bottomRight" state="frozen"/>
      <selection activeCell="U10" sqref="U10"/>
      <selection pane="topRight" activeCell="U10" sqref="U10"/>
      <selection pane="bottomLeft" activeCell="U10" sqref="U10"/>
      <selection pane="bottomRight"/>
    </sheetView>
  </sheetViews>
  <sheetFormatPr defaultColWidth="8.83203125" defaultRowHeight="15" outlineLevelRow="2" outlineLevelCol="1" x14ac:dyDescent="0.25"/>
  <cols>
    <col min="1" max="1" width="2.83203125" style="38" customWidth="1"/>
    <col min="2" max="2" width="53.5" style="38" customWidth="1"/>
    <col min="3" max="4" width="11.83203125" style="38" customWidth="1"/>
    <col min="5" max="5" width="11.83203125" style="94" customWidth="1"/>
    <col min="6" max="9" width="11.83203125" style="38" hidden="1" customWidth="1" outlineLevel="1"/>
    <col min="10" max="10" width="11.83203125" style="94" customWidth="1" collapsed="1"/>
    <col min="11" max="13" width="11.83203125" style="38" hidden="1" customWidth="1" outlineLevel="1"/>
    <col min="14" max="14" width="11.83203125" style="69" hidden="1" customWidth="1" outlineLevel="1"/>
    <col min="15" max="15" width="11.83203125" style="38" customWidth="1" collapsed="1"/>
    <col min="16" max="18" width="11.83203125" style="38" hidden="1" customWidth="1" outlineLevel="1"/>
    <col min="19" max="19" width="11" style="38" hidden="1" customWidth="1" outlineLevel="1"/>
    <col min="20" max="20" width="11.83203125" style="38" customWidth="1" collapsed="1"/>
    <col min="21" max="21" width="11.83203125" style="38" customWidth="1"/>
    <col min="22" max="23" width="11.83203125" style="38" customWidth="1" outlineLevel="1"/>
    <col min="24" max="24" width="12" style="38" customWidth="1" outlineLevel="1"/>
    <col min="25" max="25" width="8.83203125" style="38"/>
    <col min="26" max="26" width="9.33203125" customWidth="1"/>
    <col min="27" max="16384" width="8.83203125" style="38"/>
  </cols>
  <sheetData>
    <row r="1" spans="1:29" x14ac:dyDescent="0.25"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T1" s="68"/>
      <c r="U1" s="68"/>
      <c r="V1" s="68"/>
      <c r="W1" s="68"/>
      <c r="X1" s="68"/>
    </row>
    <row r="2" spans="1:29" ht="19.5" thickBot="1" x14ac:dyDescent="0.35">
      <c r="B2" s="441" t="s">
        <v>67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</row>
    <row r="3" spans="1:29" x14ac:dyDescent="0.25">
      <c r="B3" s="29" t="s">
        <v>58</v>
      </c>
      <c r="C3" s="29"/>
      <c r="D3" s="29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T3" s="31"/>
      <c r="U3" s="31"/>
      <c r="V3" s="31"/>
      <c r="W3" s="31"/>
      <c r="X3" s="31"/>
    </row>
    <row r="4" spans="1:29" x14ac:dyDescent="0.25">
      <c r="B4" s="32" t="s">
        <v>141</v>
      </c>
      <c r="C4" s="137" t="s">
        <v>64</v>
      </c>
      <c r="D4" s="137" t="s">
        <v>77</v>
      </c>
      <c r="E4" s="137" t="s">
        <v>75</v>
      </c>
      <c r="F4" s="137" t="s">
        <v>121</v>
      </c>
      <c r="G4" s="137" t="s">
        <v>100</v>
      </c>
      <c r="H4" s="137" t="s">
        <v>3</v>
      </c>
      <c r="I4" s="137" t="s">
        <v>136</v>
      </c>
      <c r="J4" s="137" t="s">
        <v>137</v>
      </c>
      <c r="K4" s="137" t="s">
        <v>139</v>
      </c>
      <c r="L4" s="137" t="s">
        <v>186</v>
      </c>
      <c r="M4" s="137" t="s">
        <v>357</v>
      </c>
      <c r="N4" s="137" t="s">
        <v>358</v>
      </c>
      <c r="O4" s="137" t="s">
        <v>355</v>
      </c>
      <c r="P4" s="137" t="s">
        <v>382</v>
      </c>
      <c r="Q4" s="137" t="s">
        <v>383</v>
      </c>
      <c r="R4" s="137" t="s">
        <v>384</v>
      </c>
      <c r="S4" s="137" t="s">
        <v>359</v>
      </c>
      <c r="T4" s="137" t="s">
        <v>71</v>
      </c>
      <c r="U4" s="137" t="s">
        <v>87</v>
      </c>
      <c r="V4" s="137" t="s">
        <v>65</v>
      </c>
      <c r="W4" s="137" t="s">
        <v>124</v>
      </c>
      <c r="X4" s="137" t="s">
        <v>125</v>
      </c>
    </row>
    <row r="5" spans="1:29" x14ac:dyDescent="0.25">
      <c r="B5" s="32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T5" s="68"/>
      <c r="U5" s="68"/>
      <c r="V5" s="68"/>
      <c r="W5" s="68"/>
      <c r="X5" s="68"/>
    </row>
    <row r="6" spans="1:29" x14ac:dyDescent="0.25">
      <c r="A6" s="38" t="s">
        <v>226</v>
      </c>
      <c r="B6" s="117" t="s">
        <v>212</v>
      </c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9"/>
      <c r="V6" s="119"/>
      <c r="W6" s="119"/>
      <c r="X6" s="119"/>
    </row>
    <row r="7" spans="1:29" s="124" customFormat="1" x14ac:dyDescent="0.25">
      <c r="B7" s="125"/>
      <c r="C7" s="297"/>
      <c r="D7" s="297"/>
      <c r="E7" s="297"/>
      <c r="F7" s="311"/>
      <c r="G7" s="297"/>
      <c r="H7" s="297"/>
      <c r="I7" s="306"/>
      <c r="J7" s="298"/>
      <c r="K7" s="311"/>
      <c r="L7" s="297"/>
      <c r="M7" s="297"/>
      <c r="N7" s="366"/>
      <c r="O7" s="306"/>
      <c r="P7" s="297"/>
      <c r="Q7" s="297"/>
      <c r="R7" s="297"/>
      <c r="S7" s="433"/>
      <c r="T7" s="297"/>
      <c r="U7" s="281"/>
      <c r="V7" s="281"/>
      <c r="W7" s="281"/>
      <c r="X7" s="281"/>
    </row>
    <row r="8" spans="1:29" s="124" customFormat="1" x14ac:dyDescent="0.25">
      <c r="B8" s="125" t="s">
        <v>286</v>
      </c>
      <c r="C8" s="297"/>
      <c r="D8" s="297"/>
      <c r="E8" s="297"/>
      <c r="F8" s="312"/>
      <c r="G8" s="297"/>
      <c r="H8" s="297"/>
      <c r="I8" s="307"/>
      <c r="J8" s="297"/>
      <c r="K8" s="312"/>
      <c r="L8" s="297"/>
      <c r="M8" s="126"/>
      <c r="N8" s="365"/>
      <c r="O8" s="307"/>
      <c r="P8" s="297"/>
      <c r="Q8" s="297"/>
      <c r="R8" s="297"/>
      <c r="S8" s="434"/>
      <c r="T8" s="297"/>
      <c r="U8" s="281"/>
      <c r="V8" s="281"/>
      <c r="W8" s="281"/>
      <c r="X8" s="281"/>
    </row>
    <row r="9" spans="1:29" s="124" customFormat="1" x14ac:dyDescent="0.25">
      <c r="B9" s="299" t="s">
        <v>287</v>
      </c>
      <c r="C9" s="301">
        <v>20190.964</v>
      </c>
      <c r="D9" s="302">
        <v>21892.824000000001</v>
      </c>
      <c r="E9" s="302">
        <v>23900.335999999999</v>
      </c>
      <c r="F9" s="313">
        <v>25559.31</v>
      </c>
      <c r="G9" s="302">
        <v>25826.109</v>
      </c>
      <c r="H9" s="302">
        <v>26301.580999999998</v>
      </c>
      <c r="I9" s="309">
        <v>26734.398000000001</v>
      </c>
      <c r="J9" s="302">
        <v>25559.31</v>
      </c>
      <c r="K9" s="313">
        <v>27311.087</v>
      </c>
      <c r="L9" s="302">
        <v>27742</v>
      </c>
      <c r="M9" s="395">
        <f>L12</f>
        <v>28434</v>
      </c>
      <c r="N9" s="308">
        <f>M12</f>
        <v>28954</v>
      </c>
      <c r="O9" s="309">
        <f>J12</f>
        <v>27311.087</v>
      </c>
      <c r="P9" s="302">
        <v>29594</v>
      </c>
      <c r="Q9" s="302">
        <f t="shared" ref="Q9:S9" si="0">P12</f>
        <v>29931</v>
      </c>
      <c r="R9" s="302">
        <f t="shared" si="0"/>
        <v>30646</v>
      </c>
      <c r="S9" s="309">
        <f t="shared" si="0"/>
        <v>31000</v>
      </c>
      <c r="T9" s="302">
        <f>O12</f>
        <v>29600</v>
      </c>
      <c r="U9" s="302">
        <f>T12</f>
        <v>31237.4</v>
      </c>
      <c r="V9" s="302">
        <f>U12</f>
        <v>32566.549107509709</v>
      </c>
      <c r="W9" s="302">
        <f>V12</f>
        <v>33647.958235964092</v>
      </c>
      <c r="X9" s="302">
        <f>W12</f>
        <v>34513.941928267079</v>
      </c>
      <c r="Y9" s="301"/>
      <c r="AA9" s="301"/>
      <c r="AB9" s="301"/>
      <c r="AC9" s="301"/>
    </row>
    <row r="10" spans="1:29" s="124" customFormat="1" x14ac:dyDescent="0.25">
      <c r="B10" s="300" t="s">
        <v>288</v>
      </c>
      <c r="C10" s="301">
        <v>8696.02</v>
      </c>
      <c r="D10" s="302">
        <v>9617.1859999999997</v>
      </c>
      <c r="E10" s="302">
        <v>10136.381000000001</v>
      </c>
      <c r="F10" s="313">
        <v>2200.0105111999983</v>
      </c>
      <c r="G10" s="302">
        <v>2549.6555096999946</v>
      </c>
      <c r="H10" s="302">
        <v>2593.2040664000015</v>
      </c>
      <c r="I10" s="309">
        <v>2683.4721199759588</v>
      </c>
      <c r="J10" s="302">
        <f>SUM(F10:I10)</f>
        <v>10026.342207275953</v>
      </c>
      <c r="K10" s="313">
        <v>2516.5706586094675</v>
      </c>
      <c r="L10" s="302">
        <v>2703.4009725805445</v>
      </c>
      <c r="M10" s="395">
        <v>2850</v>
      </c>
      <c r="N10" s="308">
        <v>2850</v>
      </c>
      <c r="O10" s="309">
        <f>SUM(K10:N10)</f>
        <v>10919.971631190012</v>
      </c>
      <c r="P10" s="409">
        <v>2799</v>
      </c>
      <c r="Q10" s="409">
        <v>2855.9</v>
      </c>
      <c r="R10" s="409">
        <v>2951.1</v>
      </c>
      <c r="S10" s="308">
        <v>3117.4</v>
      </c>
      <c r="T10" s="302">
        <f>SUM(P10:S10)</f>
        <v>11723.4</v>
      </c>
      <c r="U10" s="302">
        <f>U53+U54+U21+U55</f>
        <v>10571.256422222275</v>
      </c>
      <c r="V10" s="302">
        <f>V53+V54+V21+V55</f>
        <v>10674.928223905856</v>
      </c>
      <c r="W10" s="302">
        <f>W53+W54+W21+W55</f>
        <v>10778.904075035551</v>
      </c>
      <c r="X10" s="302">
        <f>X53+X54+X21+X55</f>
        <v>10882.744795515322</v>
      </c>
      <c r="Y10" s="301"/>
      <c r="AA10" s="301"/>
      <c r="AB10" s="301"/>
      <c r="AC10" s="301"/>
    </row>
    <row r="11" spans="1:29" s="124" customFormat="1" x14ac:dyDescent="0.25">
      <c r="B11" s="300" t="s">
        <v>289</v>
      </c>
      <c r="C11" s="301">
        <v>-6994.16</v>
      </c>
      <c r="D11" s="302">
        <v>-7609.6740000000009</v>
      </c>
      <c r="E11" s="302">
        <v>-8477.4069999999992</v>
      </c>
      <c r="F11" s="313">
        <v>-1933.211511200001</v>
      </c>
      <c r="G11" s="302">
        <v>-2074.1835096999966</v>
      </c>
      <c r="H11" s="302">
        <v>-2160.3870663999969</v>
      </c>
      <c r="I11" s="309">
        <v>-2106.7831199759612</v>
      </c>
      <c r="J11" s="302">
        <f>SUM(F11:I11)</f>
        <v>-8274.5652072759549</v>
      </c>
      <c r="K11" s="313">
        <v>-2085.6576586094693</v>
      </c>
      <c r="L11" s="302">
        <v>-2011.4009725805427</v>
      </c>
      <c r="M11" s="395">
        <v>-2330</v>
      </c>
      <c r="N11" s="308">
        <v>-2204</v>
      </c>
      <c r="O11" s="309">
        <f>SUM(K11:N11)</f>
        <v>-8631.0586311900115</v>
      </c>
      <c r="P11" s="409">
        <v>-2462</v>
      </c>
      <c r="Q11" s="409">
        <v>-2489</v>
      </c>
      <c r="R11" s="409">
        <v>-2534</v>
      </c>
      <c r="S11" s="308">
        <v>-2601</v>
      </c>
      <c r="T11" s="302">
        <f>SUM(P11:S11)</f>
        <v>-10086</v>
      </c>
      <c r="U11" s="302">
        <f>U58+U78</f>
        <v>-9242.1073147125717</v>
      </c>
      <c r="V11" s="302">
        <f>V58+V78</f>
        <v>-9593.5190954514655</v>
      </c>
      <c r="W11" s="302">
        <f>W58+W78</f>
        <v>-9912.92038273256</v>
      </c>
      <c r="X11" s="302">
        <f>X58+X78</f>
        <v>-10207.930371354414</v>
      </c>
      <c r="Y11" s="301"/>
      <c r="AA11" s="301"/>
      <c r="AB11" s="301"/>
      <c r="AC11" s="301"/>
    </row>
    <row r="12" spans="1:29" s="124" customFormat="1" x14ac:dyDescent="0.25">
      <c r="B12" s="299" t="s">
        <v>290</v>
      </c>
      <c r="C12" s="301">
        <v>21892.824000000001</v>
      </c>
      <c r="D12" s="302">
        <v>23900.335999999999</v>
      </c>
      <c r="E12" s="302">
        <v>25559.31</v>
      </c>
      <c r="F12" s="313">
        <f>SUM(F9:F11)</f>
        <v>25826.108999999997</v>
      </c>
      <c r="G12" s="302">
        <f>SUM(G9:G11)</f>
        <v>26301.580999999998</v>
      </c>
      <c r="H12" s="302">
        <f>SUM(H9:H11)</f>
        <v>26734.398000000001</v>
      </c>
      <c r="I12" s="309">
        <f>SUM(I9:I11)</f>
        <v>27311.087</v>
      </c>
      <c r="J12" s="302">
        <v>27311.087</v>
      </c>
      <c r="K12" s="313">
        <f t="shared" ref="K12:X12" si="1">SUM(K9:K11)</f>
        <v>27741.999999999996</v>
      </c>
      <c r="L12" s="302">
        <f t="shared" si="1"/>
        <v>28434</v>
      </c>
      <c r="M12" s="302">
        <f t="shared" si="1"/>
        <v>28954</v>
      </c>
      <c r="N12" s="309">
        <f t="shared" si="1"/>
        <v>29600</v>
      </c>
      <c r="O12" s="309">
        <f t="shared" si="1"/>
        <v>29600</v>
      </c>
      <c r="P12" s="302">
        <f t="shared" ref="P12:S12" si="2">SUM(P9:P11)</f>
        <v>29931</v>
      </c>
      <c r="Q12" s="409">
        <v>30646</v>
      </c>
      <c r="R12" s="409">
        <v>31000</v>
      </c>
      <c r="S12" s="309">
        <f t="shared" si="2"/>
        <v>31516.400000000001</v>
      </c>
      <c r="T12" s="302">
        <f t="shared" si="1"/>
        <v>31237.4</v>
      </c>
      <c r="U12" s="302">
        <f t="shared" si="1"/>
        <v>32566.549107509709</v>
      </c>
      <c r="V12" s="302">
        <f t="shared" si="1"/>
        <v>33647.958235964092</v>
      </c>
      <c r="W12" s="302">
        <f t="shared" si="1"/>
        <v>34513.941928267079</v>
      </c>
      <c r="X12" s="302">
        <f t="shared" si="1"/>
        <v>35188.75635242799</v>
      </c>
      <c r="Y12" s="301"/>
      <c r="AA12" s="301"/>
      <c r="AB12" s="301"/>
      <c r="AC12" s="301"/>
    </row>
    <row r="13" spans="1:29" s="124" customFormat="1" x14ac:dyDescent="0.25">
      <c r="B13" s="304" t="s">
        <v>301</v>
      </c>
      <c r="C13" s="302"/>
      <c r="D13" s="305">
        <f>D12/C12-1</f>
        <v>9.1697261166489907E-2</v>
      </c>
      <c r="E13" s="305">
        <f>E12/D12-1</f>
        <v>6.9412162239058217E-2</v>
      </c>
      <c r="F13" s="314">
        <v>6.0479995545559495E-2</v>
      </c>
      <c r="G13" s="305">
        <v>4.9168039810781217E-2</v>
      </c>
      <c r="H13" s="305">
        <v>4.5044524550910126E-2</v>
      </c>
      <c r="I13" s="310">
        <v>6.8537726566170853E-2</v>
      </c>
      <c r="J13" s="305">
        <f t="shared" ref="J13:O13" si="3">J12/E12-1</f>
        <v>6.8537726566170853E-2</v>
      </c>
      <c r="K13" s="314">
        <f t="shared" si="3"/>
        <v>7.4184268330935943E-2</v>
      </c>
      <c r="L13" s="305">
        <f t="shared" si="3"/>
        <v>8.10756965522339E-2</v>
      </c>
      <c r="M13" s="305">
        <f t="shared" si="3"/>
        <v>8.3024199759426098E-2</v>
      </c>
      <c r="N13" s="310">
        <f t="shared" si="3"/>
        <v>8.3808930783311641E-2</v>
      </c>
      <c r="O13" s="310">
        <f t="shared" si="3"/>
        <v>8.3808930783311641E-2</v>
      </c>
      <c r="P13" s="305">
        <f>P12/K12-1</f>
        <v>7.8905630452022368E-2</v>
      </c>
      <c r="Q13" s="305">
        <f t="shared" ref="Q13:S13" si="4">Q12/L12-1</f>
        <v>7.779419005416055E-2</v>
      </c>
      <c r="R13" s="305">
        <f t="shared" si="4"/>
        <v>7.0663811563169254E-2</v>
      </c>
      <c r="S13" s="310">
        <f t="shared" si="4"/>
        <v>6.474324324324332E-2</v>
      </c>
      <c r="T13" s="305">
        <f>T12/O12-1</f>
        <v>5.5317567567567671E-2</v>
      </c>
      <c r="U13" s="305">
        <f>U12/T12-1</f>
        <v>4.2549927571107204E-2</v>
      </c>
      <c r="V13" s="305">
        <f>V12/U12-1</f>
        <v>3.3206132000182187E-2</v>
      </c>
      <c r="W13" s="305">
        <f>W12/V12-1</f>
        <v>2.5736589609095306E-2</v>
      </c>
      <c r="X13" s="305">
        <f>X12/W12-1</f>
        <v>1.9551937172619382E-2</v>
      </c>
      <c r="Y13" s="301"/>
    </row>
    <row r="14" spans="1:29" s="124" customFormat="1" x14ac:dyDescent="0.25">
      <c r="B14" s="299" t="s">
        <v>134</v>
      </c>
      <c r="C14" s="302"/>
      <c r="D14" s="302">
        <f>D12-D9</f>
        <v>2007.5119999999988</v>
      </c>
      <c r="E14" s="302">
        <f t="shared" ref="E14:X14" si="5">E12-E9</f>
        <v>1658.974000000002</v>
      </c>
      <c r="F14" s="313">
        <f t="shared" si="5"/>
        <v>266.79899999999543</v>
      </c>
      <c r="G14" s="302">
        <f t="shared" si="5"/>
        <v>475.47199999999793</v>
      </c>
      <c r="H14" s="302">
        <f t="shared" si="5"/>
        <v>432.81700000000274</v>
      </c>
      <c r="I14" s="309">
        <f t="shared" si="5"/>
        <v>576.68899999999849</v>
      </c>
      <c r="J14" s="302">
        <f t="shared" si="5"/>
        <v>1751.7769999999982</v>
      </c>
      <c r="K14" s="313">
        <f t="shared" si="5"/>
        <v>430.91299999999683</v>
      </c>
      <c r="L14" s="302">
        <f t="shared" si="5"/>
        <v>692</v>
      </c>
      <c r="M14" s="302">
        <v>525</v>
      </c>
      <c r="N14" s="309">
        <f t="shared" si="5"/>
        <v>646</v>
      </c>
      <c r="O14" s="309">
        <f t="shared" si="5"/>
        <v>2288.9130000000005</v>
      </c>
      <c r="P14" s="445">
        <v>465</v>
      </c>
      <c r="Q14" s="445">
        <v>587</v>
      </c>
      <c r="R14" s="409">
        <v>345</v>
      </c>
      <c r="S14" s="309">
        <f t="shared" ref="S14" si="6">S12-S9</f>
        <v>516.40000000000146</v>
      </c>
      <c r="T14" s="302">
        <f t="shared" si="5"/>
        <v>1637.4000000000015</v>
      </c>
      <c r="U14" s="302">
        <f t="shared" si="5"/>
        <v>1329.1491075097074</v>
      </c>
      <c r="V14" s="302">
        <f t="shared" si="5"/>
        <v>1081.4091284543829</v>
      </c>
      <c r="W14" s="302">
        <f t="shared" si="5"/>
        <v>865.98369230298704</v>
      </c>
      <c r="X14" s="302">
        <f t="shared" si="5"/>
        <v>674.81442416091159</v>
      </c>
      <c r="Y14" s="301"/>
    </row>
    <row r="15" spans="1:29" s="124" customFormat="1" ht="15.75" thickBot="1" x14ac:dyDescent="0.3">
      <c r="B15" s="320"/>
      <c r="C15" s="321"/>
      <c r="D15" s="321"/>
      <c r="E15" s="321"/>
      <c r="F15" s="322"/>
      <c r="G15" s="321"/>
      <c r="H15" s="321"/>
      <c r="I15" s="323"/>
      <c r="J15" s="321"/>
      <c r="K15" s="322"/>
      <c r="L15" s="321"/>
      <c r="M15" s="321"/>
      <c r="N15" s="323"/>
      <c r="O15" s="323"/>
      <c r="P15" s="321"/>
      <c r="Q15" s="321"/>
      <c r="R15" s="321"/>
      <c r="S15" s="321"/>
      <c r="T15" s="321"/>
      <c r="U15" s="321"/>
      <c r="V15" s="321"/>
      <c r="W15" s="321"/>
      <c r="X15" s="321"/>
      <c r="Y15" s="301"/>
    </row>
    <row r="16" spans="1:29" s="124" customFormat="1" x14ac:dyDescent="0.25">
      <c r="B16" s="125"/>
      <c r="C16" s="302"/>
      <c r="D16" s="302"/>
      <c r="E16" s="302"/>
      <c r="F16" s="313"/>
      <c r="G16" s="302"/>
      <c r="H16" s="302"/>
      <c r="I16" s="309"/>
      <c r="J16" s="302"/>
      <c r="K16" s="313"/>
      <c r="L16" s="302"/>
      <c r="M16" s="302"/>
      <c r="N16" s="309"/>
      <c r="O16" s="309"/>
      <c r="P16" s="302"/>
      <c r="Q16" s="302"/>
      <c r="R16" s="302"/>
      <c r="S16" s="302"/>
      <c r="T16" s="302"/>
      <c r="U16" s="302"/>
      <c r="V16" s="302"/>
      <c r="W16" s="302"/>
      <c r="X16" s="302"/>
      <c r="Y16" s="301"/>
    </row>
    <row r="17" spans="2:24" hidden="1" outlineLevel="1" x14ac:dyDescent="0.25">
      <c r="B17" s="97" t="s">
        <v>262</v>
      </c>
      <c r="C17" s="97"/>
      <c r="D17" s="97"/>
      <c r="E17" s="68"/>
      <c r="F17" s="66"/>
      <c r="G17" s="68"/>
      <c r="H17" s="68"/>
      <c r="I17" s="69"/>
      <c r="J17" s="68"/>
      <c r="K17" s="66"/>
      <c r="O17" s="69"/>
      <c r="S17" s="69"/>
    </row>
    <row r="18" spans="2:24" hidden="1" outlineLevel="1" x14ac:dyDescent="0.25">
      <c r="B18" s="97"/>
      <c r="C18" s="97"/>
      <c r="D18" s="97"/>
      <c r="E18" s="68"/>
      <c r="F18" s="66"/>
      <c r="G18" s="68"/>
      <c r="H18" s="68"/>
      <c r="I18" s="69"/>
      <c r="J18" s="68"/>
      <c r="K18" s="66"/>
      <c r="O18" s="69"/>
      <c r="S18" s="69"/>
    </row>
    <row r="19" spans="2:24" hidden="1" outlineLevel="1" x14ac:dyDescent="0.25">
      <c r="B19" s="110" t="s">
        <v>302</v>
      </c>
      <c r="C19" s="95"/>
      <c r="D19" s="95">
        <v>13710.284357356748</v>
      </c>
      <c r="E19" s="150">
        <v>15544.742561838504</v>
      </c>
      <c r="F19" s="161"/>
      <c r="G19" s="150"/>
      <c r="H19" s="150"/>
      <c r="I19" s="131"/>
      <c r="J19" s="150">
        <v>16645.841590820131</v>
      </c>
      <c r="K19" s="161"/>
      <c r="L19" s="95"/>
      <c r="M19" s="95"/>
      <c r="N19" s="131"/>
      <c r="O19" s="131">
        <f>J24</f>
        <v>17606.331004062955</v>
      </c>
      <c r="P19" s="95">
        <f>O24</f>
        <v>18718.817539018954</v>
      </c>
      <c r="Q19" s="95"/>
      <c r="R19" s="95"/>
      <c r="S19" s="69"/>
      <c r="T19" s="95">
        <f>O24</f>
        <v>18718.817539018954</v>
      </c>
      <c r="U19" s="95">
        <f>T24</f>
        <v>19935.926132410998</v>
      </c>
      <c r="V19" s="95">
        <f>U24</f>
        <v>20761.746507715099</v>
      </c>
      <c r="W19" s="95">
        <f>V24</f>
        <v>21267.504914777346</v>
      </c>
      <c r="X19" s="95">
        <f>W24</f>
        <v>21508.204793298948</v>
      </c>
    </row>
    <row r="20" spans="2:24" hidden="1" outlineLevel="1" x14ac:dyDescent="0.25">
      <c r="B20" s="113" t="s">
        <v>43</v>
      </c>
      <c r="C20" s="95"/>
      <c r="D20" s="95">
        <v>1336.9152636897165</v>
      </c>
      <c r="E20" s="150">
        <v>1478.6311059221734</v>
      </c>
      <c r="F20" s="161"/>
      <c r="G20" s="150"/>
      <c r="H20" s="150"/>
      <c r="I20" s="131"/>
      <c r="J20" s="150">
        <v>2177.2845485816401</v>
      </c>
      <c r="K20" s="161"/>
      <c r="L20" s="95"/>
      <c r="M20" s="95"/>
      <c r="N20" s="131"/>
      <c r="O20" s="131">
        <f>J20*1.02</f>
        <v>2220.8302395532728</v>
      </c>
      <c r="P20" s="95">
        <f>O20*1.001</f>
        <v>2223.0510697928257</v>
      </c>
      <c r="Q20" s="95"/>
      <c r="R20" s="95"/>
      <c r="S20" s="69"/>
      <c r="T20" s="95">
        <f>O20*1.02</f>
        <v>2265.2468443443381</v>
      </c>
      <c r="U20" s="95">
        <f>T20*1.02</f>
        <v>2310.551781231225</v>
      </c>
      <c r="V20" s="95">
        <f>U20*1.02</f>
        <v>2356.7628168558495</v>
      </c>
      <c r="W20" s="95">
        <f>V20*1.02</f>
        <v>2403.8980731929664</v>
      </c>
      <c r="X20" s="95">
        <f>W20*1.02</f>
        <v>2451.976034656826</v>
      </c>
    </row>
    <row r="21" spans="2:24" hidden="1" outlineLevel="1" x14ac:dyDescent="0.25">
      <c r="B21" s="113" t="s">
        <v>105</v>
      </c>
      <c r="C21" s="95"/>
      <c r="D21" s="95">
        <v>6244.4023481515696</v>
      </c>
      <c r="E21" s="150">
        <v>6169.1029489015009</v>
      </c>
      <c r="F21" s="161"/>
      <c r="G21" s="150"/>
      <c r="H21" s="150"/>
      <c r="I21" s="131"/>
      <c r="J21" s="150">
        <v>4997.4828971533989</v>
      </c>
      <c r="K21" s="161"/>
      <c r="L21" s="95"/>
      <c r="M21" s="95"/>
      <c r="N21" s="131"/>
      <c r="O21" s="131">
        <f t="shared" ref="O21:X21" si="7">O83</f>
        <v>4909.4158126534348</v>
      </c>
      <c r="P21" s="95">
        <f t="shared" ref="P21" si="8">P83</f>
        <v>-247.40586161586074</v>
      </c>
      <c r="Q21" s="95"/>
      <c r="R21" s="95"/>
      <c r="S21" s="69"/>
      <c r="T21" s="95">
        <f t="shared" si="7"/>
        <v>5210.4084622534356</v>
      </c>
      <c r="U21" s="95">
        <f t="shared" si="7"/>
        <v>5253.0084622534359</v>
      </c>
      <c r="V21" s="95">
        <f t="shared" si="7"/>
        <v>5295.6084622534363</v>
      </c>
      <c r="W21" s="95">
        <f t="shared" si="7"/>
        <v>5338.2084622534367</v>
      </c>
      <c r="X21" s="95">
        <f t="shared" si="7"/>
        <v>5380.808462253437</v>
      </c>
    </row>
    <row r="22" spans="2:24" hidden="1" outlineLevel="1" x14ac:dyDescent="0.25">
      <c r="B22" s="113" t="s">
        <v>294</v>
      </c>
      <c r="C22" s="95"/>
      <c r="D22" s="95">
        <v>-3377.7962559000016</v>
      </c>
      <c r="E22" s="150">
        <v>-3924.8874792999986</v>
      </c>
      <c r="F22" s="161"/>
      <c r="G22" s="150"/>
      <c r="H22" s="150"/>
      <c r="I22" s="131"/>
      <c r="J22" s="150">
        <v>-3424.7365263759566</v>
      </c>
      <c r="K22" s="161"/>
      <c r="L22" s="95"/>
      <c r="M22" s="95"/>
      <c r="N22" s="131"/>
      <c r="O22" s="131">
        <f t="shared" ref="O22:X22" si="9">(1-O95)*O47</f>
        <v>-3275.2258359062539</v>
      </c>
      <c r="P22" s="95">
        <f t="shared" ref="P22" si="10">(1-P95)*P47</f>
        <v>-3384.4000304364622</v>
      </c>
      <c r="Q22" s="95"/>
      <c r="R22" s="95"/>
      <c r="S22" s="69"/>
      <c r="T22" s="95">
        <f t="shared" si="9"/>
        <v>-3340.7303526243786</v>
      </c>
      <c r="U22" s="95">
        <f t="shared" si="9"/>
        <v>-3566.229651426524</v>
      </c>
      <c r="V22" s="95">
        <f t="shared" si="9"/>
        <v>-3805.9270542273234</v>
      </c>
      <c r="W22" s="95">
        <f t="shared" si="9"/>
        <v>-4060.6786231796364</v>
      </c>
      <c r="X22" s="95">
        <f t="shared" si="9"/>
        <v>-4331.390531391613</v>
      </c>
    </row>
    <row r="23" spans="2:24" hidden="1" outlineLevel="1" x14ac:dyDescent="0.25">
      <c r="B23" s="113" t="s">
        <v>55</v>
      </c>
      <c r="C23" s="95"/>
      <c r="D23" s="95">
        <v>-2369.063151459527</v>
      </c>
      <c r="E23" s="150">
        <v>-2621.7475465420512</v>
      </c>
      <c r="F23" s="161"/>
      <c r="G23" s="150"/>
      <c r="H23" s="150"/>
      <c r="I23" s="131"/>
      <c r="J23" s="150">
        <v>-2789.5415061162612</v>
      </c>
      <c r="K23" s="161"/>
      <c r="L23" s="95"/>
      <c r="M23" s="95"/>
      <c r="N23" s="131"/>
      <c r="O23" s="131">
        <f t="shared" ref="O23:X23" si="11">-((O19-O21)*O93)*12</f>
        <v>-2742.5336813444565</v>
      </c>
      <c r="P23" s="95">
        <f t="shared" ref="P23" si="12">-((P19-P21)*P93)*12</f>
        <v>-4324.2989353447374</v>
      </c>
      <c r="Q23" s="95"/>
      <c r="R23" s="95"/>
      <c r="S23" s="69"/>
      <c r="T23" s="95">
        <f t="shared" si="11"/>
        <v>-2917.8163605813515</v>
      </c>
      <c r="U23" s="95">
        <f t="shared" si="11"/>
        <v>-3171.5102167540335</v>
      </c>
      <c r="V23" s="95">
        <f t="shared" si="11"/>
        <v>-3340.685817819719</v>
      </c>
      <c r="W23" s="95">
        <f t="shared" si="11"/>
        <v>-3440.7280337451639</v>
      </c>
      <c r="X23" s="95">
        <f t="shared" si="11"/>
        <v>-3483.5176075058298</v>
      </c>
    </row>
    <row r="24" spans="2:24" hidden="1" outlineLevel="1" x14ac:dyDescent="0.25">
      <c r="B24" s="110" t="s">
        <v>304</v>
      </c>
      <c r="C24" s="95"/>
      <c r="D24" s="95">
        <f>SUM(D19:D23)</f>
        <v>15544.742561838506</v>
      </c>
      <c r="E24" s="95">
        <f t="shared" ref="E24:X24" si="13">SUM(E19:E23)</f>
        <v>16645.841590820131</v>
      </c>
      <c r="F24" s="161">
        <f t="shared" si="13"/>
        <v>0</v>
      </c>
      <c r="G24" s="150">
        <f t="shared" si="13"/>
        <v>0</v>
      </c>
      <c r="H24" s="150">
        <f t="shared" si="13"/>
        <v>0</v>
      </c>
      <c r="I24" s="131">
        <f t="shared" si="13"/>
        <v>0</v>
      </c>
      <c r="J24" s="150">
        <f t="shared" si="13"/>
        <v>17606.331004062955</v>
      </c>
      <c r="K24" s="161">
        <f t="shared" si="13"/>
        <v>0</v>
      </c>
      <c r="L24" s="95">
        <f t="shared" si="13"/>
        <v>0</v>
      </c>
      <c r="M24" s="95">
        <f t="shared" si="13"/>
        <v>0</v>
      </c>
      <c r="N24" s="131">
        <f t="shared" si="13"/>
        <v>0</v>
      </c>
      <c r="O24" s="131">
        <f t="shared" si="13"/>
        <v>18718.817539018954</v>
      </c>
      <c r="P24" s="95">
        <f t="shared" ref="P24" si="14">SUM(P19:P23)</f>
        <v>12985.763781414717</v>
      </c>
      <c r="Q24" s="95"/>
      <c r="R24" s="95"/>
      <c r="S24" s="69"/>
      <c r="T24" s="95">
        <f t="shared" si="13"/>
        <v>19935.926132410998</v>
      </c>
      <c r="U24" s="95">
        <f t="shared" si="13"/>
        <v>20761.746507715099</v>
      </c>
      <c r="V24" s="95">
        <f t="shared" si="13"/>
        <v>21267.504914777346</v>
      </c>
      <c r="W24" s="95">
        <f t="shared" si="13"/>
        <v>21508.204793298948</v>
      </c>
      <c r="X24" s="95">
        <f t="shared" si="13"/>
        <v>21526.08115131177</v>
      </c>
    </row>
    <row r="25" spans="2:24" hidden="1" outlineLevel="1" x14ac:dyDescent="0.25">
      <c r="B25" s="110" t="s">
        <v>42</v>
      </c>
      <c r="C25" s="95"/>
      <c r="D25" s="95">
        <f t="shared" ref="D25:X25" si="15">(D24+D19)/2</f>
        <v>14627.513459597627</v>
      </c>
      <c r="E25" s="150">
        <f t="shared" si="15"/>
        <v>16095.292076329319</v>
      </c>
      <c r="F25" s="161">
        <f t="shared" si="15"/>
        <v>0</v>
      </c>
      <c r="G25" s="150">
        <f t="shared" si="15"/>
        <v>0</v>
      </c>
      <c r="H25" s="150">
        <f t="shared" si="15"/>
        <v>0</v>
      </c>
      <c r="I25" s="131">
        <f t="shared" si="15"/>
        <v>0</v>
      </c>
      <c r="J25" s="150">
        <f t="shared" si="15"/>
        <v>17126.086297441543</v>
      </c>
      <c r="K25" s="161">
        <f t="shared" si="15"/>
        <v>0</v>
      </c>
      <c r="L25" s="95">
        <f t="shared" si="15"/>
        <v>0</v>
      </c>
      <c r="M25" s="95">
        <f t="shared" si="15"/>
        <v>0</v>
      </c>
      <c r="N25" s="131">
        <f t="shared" si="15"/>
        <v>0</v>
      </c>
      <c r="O25" s="131">
        <f t="shared" si="15"/>
        <v>18162.574271540954</v>
      </c>
      <c r="P25" s="95">
        <f t="shared" ref="P25" si="16">(P24+P19)/2</f>
        <v>15852.290660216835</v>
      </c>
      <c r="Q25" s="95"/>
      <c r="R25" s="95"/>
      <c r="S25" s="69"/>
      <c r="T25" s="95">
        <f t="shared" si="15"/>
        <v>19327.371835714977</v>
      </c>
      <c r="U25" s="95">
        <f t="shared" si="15"/>
        <v>20348.836320063048</v>
      </c>
      <c r="V25" s="95">
        <f t="shared" si="15"/>
        <v>21014.625711246223</v>
      </c>
      <c r="W25" s="95">
        <f t="shared" si="15"/>
        <v>21387.854854038145</v>
      </c>
      <c r="X25" s="95">
        <f t="shared" si="15"/>
        <v>21517.142972305359</v>
      </c>
    </row>
    <row r="26" spans="2:24" hidden="1" outlineLevel="1" x14ac:dyDescent="0.25">
      <c r="B26" s="110" t="s">
        <v>0</v>
      </c>
      <c r="C26" s="95"/>
      <c r="D26" s="95">
        <f t="shared" ref="D26:X26" si="17">D24-D19</f>
        <v>1834.458204481758</v>
      </c>
      <c r="E26" s="150">
        <f t="shared" si="17"/>
        <v>1101.0990289816273</v>
      </c>
      <c r="F26" s="161">
        <f t="shared" si="17"/>
        <v>0</v>
      </c>
      <c r="G26" s="150">
        <f t="shared" si="17"/>
        <v>0</v>
      </c>
      <c r="H26" s="150">
        <f t="shared" si="17"/>
        <v>0</v>
      </c>
      <c r="I26" s="131">
        <f t="shared" si="17"/>
        <v>0</v>
      </c>
      <c r="J26" s="150">
        <f t="shared" si="17"/>
        <v>960.4894132428235</v>
      </c>
      <c r="K26" s="161">
        <f t="shared" si="17"/>
        <v>0</v>
      </c>
      <c r="L26" s="95">
        <f t="shared" si="17"/>
        <v>0</v>
      </c>
      <c r="M26" s="95">
        <f t="shared" si="17"/>
        <v>0</v>
      </c>
      <c r="N26" s="131">
        <f t="shared" si="17"/>
        <v>0</v>
      </c>
      <c r="O26" s="131">
        <f t="shared" si="17"/>
        <v>1112.4865349559986</v>
      </c>
      <c r="P26" s="95">
        <f t="shared" ref="P26" si="18">P24-P19</f>
        <v>-5733.053757604237</v>
      </c>
      <c r="Q26" s="95"/>
      <c r="R26" s="95"/>
      <c r="S26" s="69"/>
      <c r="T26" s="95">
        <f t="shared" si="17"/>
        <v>1217.108593392044</v>
      </c>
      <c r="U26" s="95">
        <f t="shared" si="17"/>
        <v>825.82037530410162</v>
      </c>
      <c r="V26" s="95">
        <f t="shared" si="17"/>
        <v>505.75840706224699</v>
      </c>
      <c r="W26" s="95">
        <f t="shared" si="17"/>
        <v>240.69987852160193</v>
      </c>
      <c r="X26" s="95">
        <f t="shared" si="17"/>
        <v>17.876358012821584</v>
      </c>
    </row>
    <row r="27" spans="2:24" hidden="1" outlineLevel="1" x14ac:dyDescent="0.25">
      <c r="B27" s="97"/>
      <c r="C27" s="97"/>
      <c r="D27" s="97"/>
      <c r="E27" s="68"/>
      <c r="F27" s="66"/>
      <c r="G27" s="68"/>
      <c r="H27" s="68"/>
      <c r="I27" s="69"/>
      <c r="J27" s="68"/>
      <c r="K27" s="66"/>
      <c r="O27" s="69"/>
      <c r="S27" s="69"/>
    </row>
    <row r="28" spans="2:24" hidden="1" outlineLevel="1" x14ac:dyDescent="0.25">
      <c r="B28" s="97" t="s">
        <v>263</v>
      </c>
      <c r="C28" s="97"/>
      <c r="D28" s="97"/>
      <c r="E28" s="68"/>
      <c r="F28" s="66"/>
      <c r="G28" s="68"/>
      <c r="H28" s="68"/>
      <c r="I28" s="69"/>
      <c r="J28" s="68"/>
      <c r="K28" s="66"/>
      <c r="O28" s="69"/>
      <c r="S28" s="69"/>
    </row>
    <row r="29" spans="2:24" hidden="1" outlineLevel="1" x14ac:dyDescent="0.25">
      <c r="B29" s="97"/>
      <c r="C29" s="97"/>
      <c r="D29" s="97"/>
      <c r="E29" s="68"/>
      <c r="F29" s="66"/>
      <c r="G29" s="68"/>
      <c r="H29" s="68"/>
      <c r="I29" s="69"/>
      <c r="J29" s="68"/>
      <c r="K29" s="66"/>
      <c r="O29" s="69"/>
      <c r="S29" s="69"/>
    </row>
    <row r="30" spans="2:24" hidden="1" outlineLevel="1" x14ac:dyDescent="0.25">
      <c r="B30" s="110" t="s">
        <v>303</v>
      </c>
      <c r="C30" s="97"/>
      <c r="D30" s="95">
        <v>1963.0510486540279</v>
      </c>
      <c r="E30" s="150">
        <v>2715.6261683683697</v>
      </c>
      <c r="F30" s="161">
        <v>3793.6444835598377</v>
      </c>
      <c r="G30" s="150">
        <v>4035.5460679132939</v>
      </c>
      <c r="H30" s="150">
        <v>4280.3341858025851</v>
      </c>
      <c r="I30" s="131">
        <v>4617.9437681255531</v>
      </c>
      <c r="J30" s="150">
        <v>3793.6444835598377</v>
      </c>
      <c r="K30" s="161">
        <v>5100.6254926268502</v>
      </c>
      <c r="L30" s="95">
        <v>5483.7317182267243</v>
      </c>
      <c r="M30" s="95">
        <f>L34</f>
        <v>5810.2090894640887</v>
      </c>
      <c r="N30" s="131">
        <f>M34</f>
        <v>6070.2090894640887</v>
      </c>
      <c r="O30" s="131">
        <f>J34</f>
        <v>5100.6254926268502</v>
      </c>
      <c r="P30" s="131">
        <f>O34</f>
        <v>6521.1155039494297</v>
      </c>
      <c r="Q30" s="131"/>
      <c r="R30" s="95"/>
      <c r="S30" s="69"/>
      <c r="T30" s="95">
        <f>O34</f>
        <v>6521.1155039494297</v>
      </c>
      <c r="U30" s="95">
        <f ca="1">T34</f>
        <v>7692.6057632714146</v>
      </c>
      <c r="V30" s="95">
        <f ca="1">U34</f>
        <v>8632.1094147501062</v>
      </c>
      <c r="W30" s="95">
        <f ca="1">V34</f>
        <v>9356.4747532191177</v>
      </c>
      <c r="X30" s="95">
        <f ca="1">W34</f>
        <v>9886.5840415902312</v>
      </c>
    </row>
    <row r="31" spans="2:24" hidden="1" outlineLevel="1" x14ac:dyDescent="0.25">
      <c r="B31" s="113" t="s">
        <v>51</v>
      </c>
      <c r="C31" s="97"/>
      <c r="D31" s="95">
        <v>856.96932054366675</v>
      </c>
      <c r="E31" s="150">
        <v>1041.7913799950818</v>
      </c>
      <c r="F31" s="161">
        <v>319.91054210460612</v>
      </c>
      <c r="G31" s="150">
        <v>290.09331220796508</v>
      </c>
      <c r="H31" s="150">
        <v>294.89021336140229</v>
      </c>
      <c r="I31" s="131">
        <v>305.63516083929107</v>
      </c>
      <c r="J31" s="150">
        <v>1210.5292285132646</v>
      </c>
      <c r="K31" s="161">
        <v>299.21885524257567</v>
      </c>
      <c r="L31" s="95">
        <v>356.29750857396004</v>
      </c>
      <c r="M31" s="396">
        <v>300</v>
      </c>
      <c r="N31" s="293">
        <v>300</v>
      </c>
      <c r="O31" s="131">
        <f t="shared" ref="O31:X31" si="19">-O48*O96</f>
        <v>1446.4227783018757</v>
      </c>
      <c r="P31" s="293">
        <v>300</v>
      </c>
      <c r="Q31" s="293"/>
      <c r="R31" s="95"/>
      <c r="S31" s="69"/>
      <c r="T31" s="95">
        <f t="shared" si="19"/>
        <v>1430.6436207204006</v>
      </c>
      <c r="U31" s="95">
        <f t="shared" si="19"/>
        <v>1455.2328079515325</v>
      </c>
      <c r="V31" s="95">
        <f t="shared" si="19"/>
        <v>1478.7043048539765</v>
      </c>
      <c r="W31" s="95">
        <f t="shared" si="19"/>
        <v>1500.8848694267861</v>
      </c>
      <c r="X31" s="95">
        <f t="shared" si="19"/>
        <v>1521.5867296947422</v>
      </c>
    </row>
    <row r="32" spans="2:24" hidden="1" outlineLevel="1" x14ac:dyDescent="0.25">
      <c r="B32" s="113" t="s">
        <v>52</v>
      </c>
      <c r="C32" s="97"/>
      <c r="D32" s="95">
        <v>162.27828041328542</v>
      </c>
      <c r="E32" s="150">
        <v>531.89685669966445</v>
      </c>
      <c r="F32" s="161">
        <v>94.594775505068924</v>
      </c>
      <c r="G32" s="150">
        <v>130.02920310597392</v>
      </c>
      <c r="H32" s="150">
        <v>248.36446159845889</v>
      </c>
      <c r="I32" s="131">
        <v>390.34219060880105</v>
      </c>
      <c r="J32" s="150">
        <v>863.33063081830278</v>
      </c>
      <c r="K32" s="161">
        <v>322.03051989340827</v>
      </c>
      <c r="L32" s="95">
        <v>194.43930858515535</v>
      </c>
      <c r="M32" s="396">
        <v>200</v>
      </c>
      <c r="N32" s="293">
        <v>200</v>
      </c>
      <c r="O32" s="131">
        <f>SUM(K32:N32)</f>
        <v>916.46982847856361</v>
      </c>
      <c r="P32" s="293">
        <v>200</v>
      </c>
      <c r="Q32" s="293"/>
      <c r="R32" s="95"/>
      <c r="S32" s="69"/>
      <c r="T32" s="95">
        <f>O32*1.02</f>
        <v>934.79922504813487</v>
      </c>
      <c r="U32" s="95">
        <f>T32*1.02</f>
        <v>953.49520954909758</v>
      </c>
      <c r="V32" s="95">
        <f>U32*1.02</f>
        <v>972.5651137400796</v>
      </c>
      <c r="W32" s="95">
        <f>V32*1.02</f>
        <v>992.0164160148812</v>
      </c>
      <c r="X32" s="95">
        <f>W32*1.02</f>
        <v>1011.8567443351789</v>
      </c>
    </row>
    <row r="33" spans="2:25" hidden="1" outlineLevel="1" x14ac:dyDescent="0.25">
      <c r="B33" s="113" t="s">
        <v>38</v>
      </c>
      <c r="C33" s="97"/>
      <c r="D33" s="95">
        <v>-266.67248124261039</v>
      </c>
      <c r="E33" s="150">
        <v>-495.66992150327832</v>
      </c>
      <c r="F33" s="161">
        <v>-172.60373325621885</v>
      </c>
      <c r="G33" s="150">
        <v>-175.33439742464776</v>
      </c>
      <c r="H33" s="150">
        <v>-205.6450926368932</v>
      </c>
      <c r="I33" s="131">
        <v>-213.29562694679498</v>
      </c>
      <c r="J33" s="150">
        <v>-766.87885026455479</v>
      </c>
      <c r="K33" s="161">
        <v>-238.14314953610989</v>
      </c>
      <c r="L33" s="95">
        <v>-224.25944592175051</v>
      </c>
      <c r="M33" s="396">
        <v>-240</v>
      </c>
      <c r="N33" s="293">
        <v>-240</v>
      </c>
      <c r="O33" s="131">
        <f>SUM(K33:N33)</f>
        <v>-942.40259545786034</v>
      </c>
      <c r="P33" s="293">
        <v>-240</v>
      </c>
      <c r="Q33" s="293"/>
      <c r="R33" s="95"/>
      <c r="S33" s="69"/>
      <c r="T33" s="95">
        <f ca="1">-T94*T37*12</f>
        <v>-1193.9525864465509</v>
      </c>
      <c r="U33" s="95">
        <f ca="1">-U94*U37*12</f>
        <v>-1469.2243660219367</v>
      </c>
      <c r="V33" s="95">
        <f ca="1">-V94*V37*12</f>
        <v>-1726.9040801250458</v>
      </c>
      <c r="W33" s="95">
        <f ca="1">-W94*W37*12</f>
        <v>-1962.7919970705539</v>
      </c>
      <c r="X33" s="95">
        <f ca="1">-X94*X37*12</f>
        <v>-2174.2906572010124</v>
      </c>
    </row>
    <row r="34" spans="2:25" hidden="1" outlineLevel="1" x14ac:dyDescent="0.25">
      <c r="B34" s="110" t="s">
        <v>305</v>
      </c>
      <c r="C34" s="97"/>
      <c r="D34" s="95">
        <f>SUM(D30:D33)</f>
        <v>2715.6261683683697</v>
      </c>
      <c r="E34" s="150">
        <f t="shared" ref="E34:L34" si="20">SUM(E30:E33)</f>
        <v>3793.6444835598381</v>
      </c>
      <c r="F34" s="161">
        <f t="shared" si="20"/>
        <v>4035.5460679132943</v>
      </c>
      <c r="G34" s="150">
        <f t="shared" si="20"/>
        <v>4280.3341858025842</v>
      </c>
      <c r="H34" s="150">
        <f t="shared" si="20"/>
        <v>4617.9437681255522</v>
      </c>
      <c r="I34" s="131">
        <f t="shared" si="20"/>
        <v>5100.6254926268493</v>
      </c>
      <c r="J34" s="150">
        <f t="shared" si="20"/>
        <v>5100.6254926268502</v>
      </c>
      <c r="K34" s="161">
        <f t="shared" si="20"/>
        <v>5483.7317182267243</v>
      </c>
      <c r="L34" s="95">
        <f t="shared" si="20"/>
        <v>5810.2090894640887</v>
      </c>
      <c r="M34" s="396">
        <f t="shared" ref="M34:X34" si="21">SUM(M30:M33)</f>
        <v>6070.2090894640887</v>
      </c>
      <c r="N34" s="131">
        <f t="shared" si="21"/>
        <v>6330.2090894640887</v>
      </c>
      <c r="O34" s="131">
        <f t="shared" si="21"/>
        <v>6521.1155039494297</v>
      </c>
      <c r="P34" s="131">
        <f t="shared" ref="P34" si="22">SUM(P30:P33)</f>
        <v>6781.1155039494297</v>
      </c>
      <c r="Q34" s="131"/>
      <c r="R34" s="95"/>
      <c r="S34" s="69"/>
      <c r="T34" s="95">
        <f t="shared" ca="1" si="21"/>
        <v>7692.6057632714146</v>
      </c>
      <c r="U34" s="95">
        <f t="shared" ca="1" si="21"/>
        <v>8632.1094147501062</v>
      </c>
      <c r="V34" s="95">
        <f t="shared" ca="1" si="21"/>
        <v>9356.4747532191177</v>
      </c>
      <c r="W34" s="95">
        <f t="shared" ca="1" si="21"/>
        <v>9886.5840415902312</v>
      </c>
      <c r="X34" s="95">
        <f t="shared" ca="1" si="21"/>
        <v>10245.736858419139</v>
      </c>
    </row>
    <row r="35" spans="2:25" hidden="1" outlineLevel="1" x14ac:dyDescent="0.25">
      <c r="B35" s="113" t="s">
        <v>60</v>
      </c>
      <c r="C35" s="97"/>
      <c r="D35" s="95">
        <v>1019.2476009569522</v>
      </c>
      <c r="E35" s="150">
        <v>1573.6882366947461</v>
      </c>
      <c r="F35" s="161">
        <v>414.50531760967505</v>
      </c>
      <c r="G35" s="150">
        <v>420.122515313939</v>
      </c>
      <c r="H35" s="150">
        <v>543.25467495986118</v>
      </c>
      <c r="I35" s="131">
        <v>695.97735144809212</v>
      </c>
      <c r="J35" s="150">
        <v>2073.8598593315673</v>
      </c>
      <c r="K35" s="161">
        <v>621.24937513598388</v>
      </c>
      <c r="L35" s="95">
        <v>550.73681715911539</v>
      </c>
      <c r="M35" s="396">
        <v>600</v>
      </c>
      <c r="N35" s="293">
        <v>600</v>
      </c>
      <c r="O35" s="131">
        <f>SUM(K35:N35)</f>
        <v>2371.9861922950995</v>
      </c>
      <c r="P35" s="293">
        <v>600</v>
      </c>
      <c r="Q35" s="293"/>
      <c r="R35" s="95"/>
      <c r="S35" s="69"/>
      <c r="T35" s="95">
        <f>T32+T31</f>
        <v>2365.4428457685353</v>
      </c>
      <c r="U35" s="95">
        <f>U32+U31</f>
        <v>2408.7280175006299</v>
      </c>
      <c r="V35" s="95">
        <f>V32+V31</f>
        <v>2451.2694185940563</v>
      </c>
      <c r="W35" s="95">
        <f>W32+W31</f>
        <v>2492.9012854416674</v>
      </c>
      <c r="X35" s="95">
        <f>X32+X31</f>
        <v>2533.4434740299212</v>
      </c>
    </row>
    <row r="36" spans="2:25" hidden="1" outlineLevel="1" x14ac:dyDescent="0.25">
      <c r="B36" s="110" t="s">
        <v>0</v>
      </c>
      <c r="C36" s="97"/>
      <c r="D36" s="95">
        <f>SUM(D31:D33)</f>
        <v>752.57511971434178</v>
      </c>
      <c r="E36" s="150">
        <f t="shared" ref="E36:X36" si="23">SUM(E31:E33)</f>
        <v>1078.0183151914678</v>
      </c>
      <c r="F36" s="161">
        <f t="shared" si="23"/>
        <v>241.9015843534562</v>
      </c>
      <c r="G36" s="150">
        <f t="shared" si="23"/>
        <v>244.78811788929124</v>
      </c>
      <c r="H36" s="150">
        <f t="shared" si="23"/>
        <v>337.60958232296798</v>
      </c>
      <c r="I36" s="131">
        <f t="shared" si="23"/>
        <v>482.68172450129714</v>
      </c>
      <c r="J36" s="150">
        <f t="shared" si="23"/>
        <v>1306.9810090670126</v>
      </c>
      <c r="K36" s="161">
        <f t="shared" si="23"/>
        <v>383.10622559987399</v>
      </c>
      <c r="L36" s="95">
        <f t="shared" si="23"/>
        <v>326.47737123736488</v>
      </c>
      <c r="M36" s="95">
        <f t="shared" si="23"/>
        <v>260</v>
      </c>
      <c r="N36" s="131">
        <f t="shared" si="23"/>
        <v>260</v>
      </c>
      <c r="O36" s="131">
        <f t="shared" si="23"/>
        <v>1420.4900113225792</v>
      </c>
      <c r="P36" s="131">
        <f t="shared" ref="P36" si="24">SUM(P31:P33)</f>
        <v>260</v>
      </c>
      <c r="Q36" s="131"/>
      <c r="R36" s="95"/>
      <c r="S36" s="69"/>
      <c r="T36" s="95">
        <f t="shared" ca="1" si="23"/>
        <v>1171.4902593219845</v>
      </c>
      <c r="U36" s="95">
        <f t="shared" ca="1" si="23"/>
        <v>939.5036514786932</v>
      </c>
      <c r="V36" s="95">
        <f t="shared" ca="1" si="23"/>
        <v>724.36533846901057</v>
      </c>
      <c r="W36" s="95">
        <f t="shared" ca="1" si="23"/>
        <v>530.10928837111351</v>
      </c>
      <c r="X36" s="95">
        <f t="shared" ca="1" si="23"/>
        <v>359.15281682890873</v>
      </c>
    </row>
    <row r="37" spans="2:25" hidden="1" outlineLevel="1" x14ac:dyDescent="0.25">
      <c r="B37" s="110" t="s">
        <v>122</v>
      </c>
      <c r="C37" s="97"/>
      <c r="D37" s="95">
        <f>(D34+D30)/2</f>
        <v>2339.3386085111988</v>
      </c>
      <c r="E37" s="150">
        <f t="shared" ref="E37:X37" si="25">(E34+E30)/2</f>
        <v>3254.6353259641037</v>
      </c>
      <c r="F37" s="161">
        <f t="shared" si="25"/>
        <v>3914.5952757365658</v>
      </c>
      <c r="G37" s="150">
        <f t="shared" si="25"/>
        <v>4157.9401268579386</v>
      </c>
      <c r="H37" s="150">
        <f t="shared" si="25"/>
        <v>4449.1389769640682</v>
      </c>
      <c r="I37" s="131">
        <f t="shared" si="25"/>
        <v>4859.2846303762017</v>
      </c>
      <c r="J37" s="150">
        <f t="shared" si="25"/>
        <v>4447.134988093344</v>
      </c>
      <c r="K37" s="161">
        <f t="shared" si="25"/>
        <v>5292.1786054267868</v>
      </c>
      <c r="L37" s="95">
        <f t="shared" si="25"/>
        <v>5646.9704038454065</v>
      </c>
      <c r="M37" s="95">
        <f t="shared" si="25"/>
        <v>5940.2090894640887</v>
      </c>
      <c r="N37" s="131">
        <f t="shared" si="25"/>
        <v>6200.2090894640887</v>
      </c>
      <c r="O37" s="131">
        <f t="shared" si="25"/>
        <v>5810.87049828814</v>
      </c>
      <c r="P37" s="131">
        <f t="shared" ref="P37" si="26">(P34+P30)/2</f>
        <v>6651.1155039494297</v>
      </c>
      <c r="Q37" s="131"/>
      <c r="R37" s="95"/>
      <c r="S37" s="69"/>
      <c r="T37" s="95">
        <f t="shared" ca="1" si="25"/>
        <v>7106.8606336104222</v>
      </c>
      <c r="U37" s="95">
        <f t="shared" ca="1" si="25"/>
        <v>8162.3575890107604</v>
      </c>
      <c r="V37" s="95">
        <f t="shared" ca="1" si="25"/>
        <v>8994.292083984612</v>
      </c>
      <c r="W37" s="95">
        <f t="shared" ca="1" si="25"/>
        <v>9621.5293974046745</v>
      </c>
      <c r="X37" s="95">
        <f t="shared" ca="1" si="25"/>
        <v>10066.160450004685</v>
      </c>
    </row>
    <row r="38" spans="2:25" ht="15.75" hidden="1" outlineLevel="1" thickBot="1" x14ac:dyDescent="0.3">
      <c r="B38" s="324"/>
      <c r="C38" s="325"/>
      <c r="D38" s="326"/>
      <c r="E38" s="326"/>
      <c r="F38" s="327"/>
      <c r="G38" s="326"/>
      <c r="H38" s="326"/>
      <c r="I38" s="328"/>
      <c r="J38" s="326"/>
      <c r="K38" s="327"/>
      <c r="L38" s="326"/>
      <c r="M38" s="326"/>
      <c r="N38" s="328"/>
      <c r="O38" s="328"/>
      <c r="P38" s="329"/>
      <c r="Q38" s="329"/>
      <c r="R38" s="135"/>
      <c r="S38" s="69"/>
      <c r="T38" s="329"/>
      <c r="U38" s="329"/>
      <c r="V38" s="329"/>
      <c r="W38" s="329"/>
      <c r="X38" s="329"/>
    </row>
    <row r="39" spans="2:25" hidden="1" outlineLevel="1" x14ac:dyDescent="0.25">
      <c r="B39" s="97"/>
      <c r="C39" s="97"/>
      <c r="D39" s="97"/>
      <c r="E39" s="68"/>
      <c r="F39" s="66"/>
      <c r="G39" s="68"/>
      <c r="H39" s="68"/>
      <c r="I39" s="69"/>
      <c r="J39" s="68"/>
      <c r="K39" s="66"/>
      <c r="O39" s="69"/>
      <c r="S39" s="69"/>
    </row>
    <row r="40" spans="2:25" hidden="1" outlineLevel="1" x14ac:dyDescent="0.25">
      <c r="B40" s="97" t="s">
        <v>306</v>
      </c>
      <c r="C40" s="97"/>
      <c r="D40" s="97"/>
      <c r="E40" s="68"/>
      <c r="F40" s="66"/>
      <c r="G40" s="68"/>
      <c r="H40" s="68"/>
      <c r="I40" s="69"/>
      <c r="J40" s="68"/>
      <c r="K40" s="66"/>
      <c r="O40" s="69"/>
      <c r="S40" s="69"/>
    </row>
    <row r="41" spans="2:25" hidden="1" outlineLevel="1" x14ac:dyDescent="0.25">
      <c r="B41" s="97"/>
      <c r="C41" s="97"/>
      <c r="D41" s="97"/>
      <c r="E41" s="68"/>
      <c r="F41" s="66"/>
      <c r="G41" s="68"/>
      <c r="H41" s="68"/>
      <c r="I41" s="69"/>
      <c r="J41" s="68"/>
      <c r="K41" s="66"/>
      <c r="O41" s="69"/>
      <c r="S41" s="69"/>
    </row>
    <row r="42" spans="2:25" hidden="1" outlineLevel="1" x14ac:dyDescent="0.25">
      <c r="B42" s="38" t="s">
        <v>312</v>
      </c>
      <c r="C42" s="97"/>
      <c r="D42" s="95">
        <v>949.83429087860895</v>
      </c>
      <c r="E42" s="150">
        <v>811.73310576360291</v>
      </c>
      <c r="F42" s="161">
        <v>1452.7865559231077</v>
      </c>
      <c r="G42" s="150">
        <v>1462.6463993501116</v>
      </c>
      <c r="H42" s="150">
        <v>1711.8950832456201</v>
      </c>
      <c r="I42" s="131">
        <v>1725.0981223772176</v>
      </c>
      <c r="J42" s="150">
        <v>1452.7865559231077</v>
      </c>
      <c r="K42" s="161">
        <v>1676.4920773669537</v>
      </c>
      <c r="L42" s="95">
        <v>1624.6531981485177</v>
      </c>
      <c r="M42" s="95">
        <f>L50</f>
        <v>1824.6173788405367</v>
      </c>
      <c r="N42" s="131">
        <f>M50</f>
        <v>2024.5815595325555</v>
      </c>
      <c r="O42" s="131">
        <f>J50</f>
        <v>1676.4920773669537</v>
      </c>
      <c r="P42" s="131">
        <f>O50</f>
        <v>2224.5457402245747</v>
      </c>
      <c r="Q42" s="131"/>
      <c r="R42" s="95"/>
      <c r="S42" s="69"/>
      <c r="T42" s="95">
        <f>O50</f>
        <v>2224.5457402245747</v>
      </c>
      <c r="U42" s="95">
        <f t="shared" ref="U42:X43" si="27">T50</f>
        <v>3394.561819183943</v>
      </c>
      <c r="V42" s="95">
        <f t="shared" si="27"/>
        <v>4378.4837020912801</v>
      </c>
      <c r="W42" s="95">
        <f t="shared" si="27"/>
        <v>5162.3916791439842</v>
      </c>
      <c r="X42" s="95">
        <f t="shared" si="27"/>
        <v>5639.3700550493231</v>
      </c>
      <c r="Y42" s="95"/>
    </row>
    <row r="43" spans="2:25" hidden="1" outlineLevel="1" x14ac:dyDescent="0.25">
      <c r="B43" s="38" t="s">
        <v>313</v>
      </c>
      <c r="C43" s="97"/>
      <c r="D43" s="95">
        <v>466.0837091213923</v>
      </c>
      <c r="E43" s="150">
        <v>958.20489423639992</v>
      </c>
      <c r="F43" s="161">
        <v>999.72044407689418</v>
      </c>
      <c r="G43" s="150">
        <v>906.54160064989082</v>
      </c>
      <c r="H43" s="150">
        <v>921.53191675438211</v>
      </c>
      <c r="I43" s="131">
        <v>955.10987762278455</v>
      </c>
      <c r="J43" s="150">
        <v>999.72044407689418</v>
      </c>
      <c r="K43" s="161">
        <v>935.05892263304895</v>
      </c>
      <c r="L43" s="95">
        <v>1149.3468018514841</v>
      </c>
      <c r="M43" s="95">
        <f>L51</f>
        <v>1165.9160277348064</v>
      </c>
      <c r="N43" s="131">
        <f>M51</f>
        <v>1182.4852536181288</v>
      </c>
      <c r="O43" s="131">
        <f>J51</f>
        <v>935.05892263304895</v>
      </c>
      <c r="P43" s="131">
        <f>O51</f>
        <v>1199.0544795014507</v>
      </c>
      <c r="Q43" s="131"/>
      <c r="R43" s="95"/>
      <c r="S43" s="69"/>
      <c r="T43" s="95">
        <f>O51</f>
        <v>1199.0544795014507</v>
      </c>
      <c r="U43" s="95">
        <f t="shared" si="27"/>
        <v>3060.0731647501993</v>
      </c>
      <c r="V43" s="95">
        <f t="shared" si="27"/>
        <v>4882.1537842613852</v>
      </c>
      <c r="W43" s="95">
        <f t="shared" si="27"/>
        <v>6654.1194347481305</v>
      </c>
      <c r="X43" s="95">
        <f t="shared" si="27"/>
        <v>8364.2343677592144</v>
      </c>
      <c r="Y43" s="95"/>
    </row>
    <row r="44" spans="2:25" hidden="1" outlineLevel="1" x14ac:dyDescent="0.25">
      <c r="B44" s="97" t="s">
        <v>62</v>
      </c>
      <c r="C44" s="97"/>
      <c r="D44" s="95">
        <v>1415.9180000000001</v>
      </c>
      <c r="E44" s="150">
        <v>1769.9380000000001</v>
      </c>
      <c r="F44" s="161">
        <v>2452.5069999999996</v>
      </c>
      <c r="G44" s="150">
        <v>2369.1880000000001</v>
      </c>
      <c r="H44" s="150">
        <v>2633.4269999999997</v>
      </c>
      <c r="I44" s="131">
        <v>2680.2079999999996</v>
      </c>
      <c r="J44" s="150">
        <v>2452.5069999999996</v>
      </c>
      <c r="K44" s="161">
        <v>2611.5510000000004</v>
      </c>
      <c r="L44" s="95">
        <v>2774</v>
      </c>
      <c r="M44" s="95">
        <f>L49</f>
        <v>2990.5334065753414</v>
      </c>
      <c r="N44" s="131">
        <f>M49</f>
        <v>3207.0668131506827</v>
      </c>
      <c r="O44" s="131">
        <f>J49</f>
        <v>2611.5510000000004</v>
      </c>
      <c r="P44" s="131">
        <f>O49</f>
        <v>3423.6002197260232</v>
      </c>
      <c r="Q44" s="131"/>
      <c r="R44" s="95"/>
      <c r="S44" s="69"/>
      <c r="T44" s="95">
        <f>O49</f>
        <v>3423.6002197260232</v>
      </c>
      <c r="U44" s="95">
        <f>T49</f>
        <v>6454.634983934141</v>
      </c>
      <c r="V44" s="95">
        <f>U49</f>
        <v>9260.6374863526653</v>
      </c>
      <c r="W44" s="95">
        <f>V49</f>
        <v>11816.511113892117</v>
      </c>
      <c r="X44" s="95">
        <f>W49</f>
        <v>14003.604422808539</v>
      </c>
      <c r="Y44" s="95"/>
    </row>
    <row r="45" spans="2:25" hidden="1" outlineLevel="1" x14ac:dyDescent="0.25">
      <c r="B45" s="113" t="s">
        <v>48</v>
      </c>
      <c r="C45" s="97"/>
      <c r="D45" s="95">
        <v>2865.7574799526465</v>
      </c>
      <c r="E45" s="150">
        <v>4042.2788090386885</v>
      </c>
      <c r="F45" s="161">
        <v>1220.5153066962605</v>
      </c>
      <c r="G45" s="150">
        <v>1468.1206833539347</v>
      </c>
      <c r="H45" s="150">
        <v>1439.782275169614</v>
      </c>
      <c r="I45" s="131">
        <v>1388.9757236374178</v>
      </c>
      <c r="J45" s="150">
        <v>5517.3939888572268</v>
      </c>
      <c r="K45" s="161">
        <v>1345.2378519206925</v>
      </c>
      <c r="L45" s="95">
        <v>1553.8418458157837</v>
      </c>
      <c r="M45" s="95">
        <f t="shared" ref="M45:P48" si="28">L45</f>
        <v>1553.8418458157837</v>
      </c>
      <c r="N45" s="131">
        <f t="shared" si="28"/>
        <v>1553.8418458157837</v>
      </c>
      <c r="O45" s="131">
        <f>SUM(K45:N45)</f>
        <v>6006.763389368044</v>
      </c>
      <c r="P45" s="131">
        <f t="shared" si="28"/>
        <v>6006.763389368044</v>
      </c>
      <c r="Q45" s="131"/>
      <c r="R45" s="95"/>
      <c r="S45" s="69"/>
      <c r="T45" s="95">
        <f>T104*T103</f>
        <v>6737.9</v>
      </c>
      <c r="U45" s="95">
        <f>U104*U103</f>
        <v>6830.2</v>
      </c>
      <c r="V45" s="95">
        <f>V104*V103</f>
        <v>6922.5</v>
      </c>
      <c r="W45" s="95">
        <f>W104*W103</f>
        <v>6922.5</v>
      </c>
      <c r="X45" s="95">
        <f>X104*X103</f>
        <v>6922.5</v>
      </c>
      <c r="Y45" s="95"/>
    </row>
    <row r="46" spans="2:25" hidden="1" outlineLevel="1" x14ac:dyDescent="0.25">
      <c r="B46" s="113" t="s">
        <v>111</v>
      </c>
      <c r="C46" s="97"/>
      <c r="D46" s="95">
        <v>3012.6191867140269</v>
      </c>
      <c r="E46" s="150">
        <v>3130.9248683806741</v>
      </c>
      <c r="F46" s="161">
        <v>906.54160064989082</v>
      </c>
      <c r="G46" s="150">
        <v>921.53191675438211</v>
      </c>
      <c r="H46" s="150">
        <v>955.10987762278455</v>
      </c>
      <c r="I46" s="131">
        <v>935.0589226330485</v>
      </c>
      <c r="J46" s="150">
        <v>3718.242317660106</v>
      </c>
      <c r="K46" s="161">
        <v>1149.3468018514841</v>
      </c>
      <c r="L46" s="95">
        <v>1165.9160277348064</v>
      </c>
      <c r="M46" s="95">
        <f t="shared" si="28"/>
        <v>1165.9160277348064</v>
      </c>
      <c r="N46" s="131">
        <f t="shared" si="28"/>
        <v>1165.9160277348064</v>
      </c>
      <c r="O46" s="131">
        <f>SUM(K46:N46)</f>
        <v>4647.0948850559034</v>
      </c>
      <c r="P46" s="131">
        <f t="shared" si="28"/>
        <v>4647.0948850559034</v>
      </c>
      <c r="Q46" s="131"/>
      <c r="R46" s="95"/>
      <c r="S46" s="69"/>
      <c r="T46" s="95">
        <f>T68</f>
        <v>6331.7800000000007</v>
      </c>
      <c r="U46" s="95">
        <f>U68</f>
        <v>6516.380000000001</v>
      </c>
      <c r="V46" s="95">
        <f>V68</f>
        <v>6700.9800000000005</v>
      </c>
      <c r="W46" s="95">
        <f>W68</f>
        <v>6885.5800000000008</v>
      </c>
      <c r="X46" s="95">
        <f>X68</f>
        <v>7070.1800000000012</v>
      </c>
      <c r="Y46" s="95"/>
    </row>
    <row r="47" spans="2:25" hidden="1" outlineLevel="1" x14ac:dyDescent="0.25">
      <c r="B47" s="113" t="s">
        <v>49</v>
      </c>
      <c r="C47" s="97"/>
      <c r="D47" s="95">
        <v>-3003.8586650676525</v>
      </c>
      <c r="E47" s="150">
        <v>-3401.2253588791837</v>
      </c>
      <c r="F47" s="161">
        <v>-1210.6554632692564</v>
      </c>
      <c r="G47" s="150">
        <v>-1218.8719994584264</v>
      </c>
      <c r="H47" s="150">
        <v>-1426.5792360380167</v>
      </c>
      <c r="I47" s="131">
        <v>-1437.5817686476814</v>
      </c>
      <c r="J47" s="150">
        <v>-5293.6884674133807</v>
      </c>
      <c r="K47" s="161">
        <v>-1397.0767311391282</v>
      </c>
      <c r="L47" s="95">
        <v>-1353.8776651237649</v>
      </c>
      <c r="M47" s="95">
        <f t="shared" si="28"/>
        <v>-1353.8776651237649</v>
      </c>
      <c r="N47" s="150">
        <f t="shared" si="28"/>
        <v>-1353.8776651237649</v>
      </c>
      <c r="O47" s="131">
        <f>SUM(K47:N47)</f>
        <v>-5458.709726510423</v>
      </c>
      <c r="P47" s="150">
        <f t="shared" si="28"/>
        <v>-5458.709726510423</v>
      </c>
      <c r="Q47" s="150"/>
      <c r="R47" s="150"/>
      <c r="S47" s="69"/>
      <c r="T47" s="150">
        <f>O47*1.02</f>
        <v>-5567.8839210406313</v>
      </c>
      <c r="U47" s="150">
        <f t="shared" ref="U47:X48" si="29">T47*1.05</f>
        <v>-5846.2781170926628</v>
      </c>
      <c r="V47" s="150">
        <f t="shared" si="29"/>
        <v>-6138.5920229472958</v>
      </c>
      <c r="W47" s="150">
        <f t="shared" si="29"/>
        <v>-6445.5216240946611</v>
      </c>
      <c r="X47" s="150">
        <f t="shared" si="29"/>
        <v>-6767.7977052993947</v>
      </c>
      <c r="Y47" s="95"/>
    </row>
    <row r="48" spans="2:25" hidden="1" outlineLevel="1" x14ac:dyDescent="0.25">
      <c r="B48" s="113" t="s">
        <v>50</v>
      </c>
      <c r="C48" s="97"/>
      <c r="D48" s="95">
        <v>-2520.4980015990195</v>
      </c>
      <c r="E48" s="150">
        <v>-3089.4093185401798</v>
      </c>
      <c r="F48" s="161">
        <v>-999.72044407689418</v>
      </c>
      <c r="G48" s="150">
        <v>-906.54160064989082</v>
      </c>
      <c r="H48" s="150">
        <v>-921.53191675438211</v>
      </c>
      <c r="I48" s="131">
        <v>-955.10987762278455</v>
      </c>
      <c r="J48" s="150">
        <v>-3782.9038391039517</v>
      </c>
      <c r="K48" s="161">
        <v>-935.05892263304895</v>
      </c>
      <c r="L48" s="95">
        <v>-1149.3468018514841</v>
      </c>
      <c r="M48" s="95">
        <f t="shared" si="28"/>
        <v>-1149.3468018514841</v>
      </c>
      <c r="N48" s="150">
        <f t="shared" si="28"/>
        <v>-1149.3468018514841</v>
      </c>
      <c r="O48" s="131">
        <f>SUM(K48:N48)</f>
        <v>-4383.0993281875017</v>
      </c>
      <c r="P48" s="150">
        <f t="shared" si="28"/>
        <v>-4383.0993281875017</v>
      </c>
      <c r="Q48" s="150"/>
      <c r="R48" s="150"/>
      <c r="S48" s="69"/>
      <c r="T48" s="150">
        <f>O48*1.02</f>
        <v>-4470.761314751252</v>
      </c>
      <c r="U48" s="150">
        <f t="shared" si="29"/>
        <v>-4694.2993804888147</v>
      </c>
      <c r="V48" s="150">
        <f t="shared" si="29"/>
        <v>-4929.0143495132552</v>
      </c>
      <c r="W48" s="150">
        <f t="shared" si="29"/>
        <v>-5175.4650669889179</v>
      </c>
      <c r="X48" s="150">
        <f t="shared" si="29"/>
        <v>-5434.2383203383642</v>
      </c>
      <c r="Y48" s="95"/>
    </row>
    <row r="49" spans="2:29" hidden="1" outlineLevel="1" x14ac:dyDescent="0.25">
      <c r="B49" s="97" t="s">
        <v>63</v>
      </c>
      <c r="C49" s="97"/>
      <c r="D49" s="95">
        <v>1769.9380000000001</v>
      </c>
      <c r="E49" s="150">
        <v>2452.5069999999996</v>
      </c>
      <c r="F49" s="161">
        <v>2369.1880000000001</v>
      </c>
      <c r="G49" s="150">
        <v>2633.4269999999997</v>
      </c>
      <c r="H49" s="150">
        <v>2680.2079999999996</v>
      </c>
      <c r="I49" s="131">
        <v>2611.5510000000004</v>
      </c>
      <c r="J49" s="150">
        <v>2611.5510000000004</v>
      </c>
      <c r="K49" s="161">
        <v>2774</v>
      </c>
      <c r="L49" s="95">
        <v>2990.5334065753414</v>
      </c>
      <c r="M49" s="150">
        <f>SUM(M44:M48)</f>
        <v>3207.0668131506827</v>
      </c>
      <c r="N49" s="131">
        <f t="shared" ref="N49:X49" si="30">SUM(N44:N48)</f>
        <v>3423.6002197260241</v>
      </c>
      <c r="O49" s="131">
        <f t="shared" si="30"/>
        <v>3423.6002197260232</v>
      </c>
      <c r="P49" s="131">
        <f t="shared" ref="P49" si="31">SUM(P44:P48)</f>
        <v>4235.649439452045</v>
      </c>
      <c r="Q49" s="131"/>
      <c r="R49" s="95"/>
      <c r="S49" s="69"/>
      <c r="T49" s="95">
        <f t="shared" si="30"/>
        <v>6454.634983934141</v>
      </c>
      <c r="U49" s="95">
        <f t="shared" si="30"/>
        <v>9260.6374863526653</v>
      </c>
      <c r="V49" s="95">
        <f t="shared" si="30"/>
        <v>11816.511113892117</v>
      </c>
      <c r="W49" s="95">
        <f t="shared" si="30"/>
        <v>14003.604422808539</v>
      </c>
      <c r="X49" s="95">
        <f t="shared" si="30"/>
        <v>15794.248397170777</v>
      </c>
      <c r="Y49" s="95"/>
    </row>
    <row r="50" spans="2:29" hidden="1" outlineLevel="1" x14ac:dyDescent="0.25">
      <c r="B50" s="113" t="s">
        <v>314</v>
      </c>
      <c r="C50" s="97"/>
      <c r="D50" s="95">
        <v>811.73310576360291</v>
      </c>
      <c r="E50" s="150">
        <v>1452.7865559231077</v>
      </c>
      <c r="F50" s="161">
        <v>1462.6463993501116</v>
      </c>
      <c r="G50" s="150">
        <v>1711.8950832456201</v>
      </c>
      <c r="H50" s="150">
        <v>1725.0981223772176</v>
      </c>
      <c r="I50" s="131">
        <v>1676.4920773669539</v>
      </c>
      <c r="J50" s="150">
        <v>1676.4920773669537</v>
      </c>
      <c r="K50" s="161">
        <v>1624.6531981485177</v>
      </c>
      <c r="L50" s="95">
        <v>1824.6173788405367</v>
      </c>
      <c r="M50" s="95">
        <f>M47+M45+M42</f>
        <v>2024.5815595325555</v>
      </c>
      <c r="N50" s="131">
        <f t="shared" ref="N50:X50" si="32">N47+N45+N42</f>
        <v>2224.5457402245743</v>
      </c>
      <c r="O50" s="131">
        <f t="shared" si="32"/>
        <v>2224.5457402245747</v>
      </c>
      <c r="P50" s="131">
        <f t="shared" ref="P50" si="33">P47+P45+P42</f>
        <v>2772.5994030821957</v>
      </c>
      <c r="Q50" s="131"/>
      <c r="R50" s="95"/>
      <c r="S50" s="69"/>
      <c r="T50" s="95">
        <f t="shared" si="32"/>
        <v>3394.561819183943</v>
      </c>
      <c r="U50" s="95">
        <f t="shared" si="32"/>
        <v>4378.4837020912801</v>
      </c>
      <c r="V50" s="95">
        <f t="shared" si="32"/>
        <v>5162.3916791439842</v>
      </c>
      <c r="W50" s="95">
        <f t="shared" si="32"/>
        <v>5639.3700550493231</v>
      </c>
      <c r="X50" s="95">
        <f t="shared" si="32"/>
        <v>5794.0723497499284</v>
      </c>
      <c r="Y50" s="95"/>
    </row>
    <row r="51" spans="2:29" hidden="1" outlineLevel="1" x14ac:dyDescent="0.25">
      <c r="B51" s="113" t="s">
        <v>315</v>
      </c>
      <c r="C51" s="97"/>
      <c r="D51" s="95">
        <v>958.20489423639992</v>
      </c>
      <c r="E51" s="150">
        <v>999.72044407689418</v>
      </c>
      <c r="F51" s="161">
        <v>906.54160064989082</v>
      </c>
      <c r="G51" s="150">
        <v>921.53191675438211</v>
      </c>
      <c r="H51" s="150">
        <v>955.10987762278455</v>
      </c>
      <c r="I51" s="131">
        <v>935.0589226330485</v>
      </c>
      <c r="J51" s="150">
        <v>935.05892263304895</v>
      </c>
      <c r="K51" s="161">
        <v>1149.3468018514841</v>
      </c>
      <c r="L51" s="95">
        <v>1165.9160277348064</v>
      </c>
      <c r="M51" s="95">
        <f>M48+M46+M43</f>
        <v>1182.4852536181288</v>
      </c>
      <c r="N51" s="131">
        <f t="shared" ref="N51:X51" si="34">N48+N46+N43</f>
        <v>1199.0544795014512</v>
      </c>
      <c r="O51" s="131">
        <f t="shared" si="34"/>
        <v>1199.0544795014507</v>
      </c>
      <c r="P51" s="131">
        <f t="shared" ref="P51" si="35">P48+P46+P43</f>
        <v>1463.0500363698525</v>
      </c>
      <c r="Q51" s="131"/>
      <c r="R51" s="95"/>
      <c r="S51" s="69"/>
      <c r="T51" s="95">
        <f t="shared" si="34"/>
        <v>3060.0731647501993</v>
      </c>
      <c r="U51" s="95">
        <f t="shared" si="34"/>
        <v>4882.1537842613852</v>
      </c>
      <c r="V51" s="95">
        <f t="shared" si="34"/>
        <v>6654.1194347481305</v>
      </c>
      <c r="W51" s="95">
        <f t="shared" si="34"/>
        <v>8364.2343677592144</v>
      </c>
      <c r="X51" s="95">
        <f t="shared" si="34"/>
        <v>10000.176047420851</v>
      </c>
      <c r="Y51" s="95"/>
    </row>
    <row r="52" spans="2:29" hidden="1" outlineLevel="1" x14ac:dyDescent="0.25">
      <c r="B52" s="97"/>
      <c r="C52" s="97"/>
      <c r="E52" s="68"/>
      <c r="F52" s="66"/>
      <c r="G52" s="68"/>
      <c r="H52" s="68"/>
      <c r="I52" s="69"/>
      <c r="J52" s="68"/>
      <c r="K52" s="66"/>
      <c r="O52" s="69"/>
      <c r="S52" s="69"/>
    </row>
    <row r="53" spans="2:29" hidden="1" outlineLevel="1" x14ac:dyDescent="0.25">
      <c r="B53" s="38" t="s">
        <v>96</v>
      </c>
      <c r="C53" s="97"/>
      <c r="D53" s="95">
        <v>1016.6207872017588</v>
      </c>
      <c r="E53" s="150">
        <v>914.95870848158302</v>
      </c>
      <c r="F53" s="161"/>
      <c r="G53" s="150"/>
      <c r="H53" s="150"/>
      <c r="I53" s="131"/>
      <c r="J53" s="150">
        <v>777.71490220934561</v>
      </c>
      <c r="K53" s="161"/>
      <c r="L53" s="95"/>
      <c r="M53" s="95"/>
      <c r="N53" s="150"/>
      <c r="O53" s="131">
        <f>J53*0.95</f>
        <v>738.82915709887834</v>
      </c>
      <c r="P53" s="150">
        <f>K53*0.95</f>
        <v>0</v>
      </c>
      <c r="Q53" s="150"/>
      <c r="R53" s="150"/>
      <c r="S53" s="131"/>
      <c r="T53" s="150">
        <f>O53*0.95</f>
        <v>701.88769924393443</v>
      </c>
      <c r="U53" s="150">
        <f>T53*0.95</f>
        <v>666.79331428173771</v>
      </c>
      <c r="V53" s="150">
        <f>U53*0.95</f>
        <v>633.45364856765082</v>
      </c>
      <c r="W53" s="150">
        <f>V53*0.95</f>
        <v>601.78096613926823</v>
      </c>
      <c r="X53" s="150">
        <f>W53*0.95</f>
        <v>571.69191783230474</v>
      </c>
      <c r="Y53" s="95"/>
    </row>
    <row r="54" spans="2:29" hidden="1" outlineLevel="1" x14ac:dyDescent="0.25">
      <c r="B54" s="38" t="s">
        <v>117</v>
      </c>
      <c r="C54" s="97"/>
      <c r="D54" s="95">
        <v>162.27828041328564</v>
      </c>
      <c r="E54" s="150">
        <v>531.89685669966434</v>
      </c>
      <c r="F54" s="161"/>
      <c r="G54" s="150"/>
      <c r="H54" s="150"/>
      <c r="I54" s="131"/>
      <c r="J54" s="150">
        <v>863.33063081830323</v>
      </c>
      <c r="K54" s="161"/>
      <c r="L54" s="95"/>
      <c r="M54" s="95"/>
      <c r="N54" s="150"/>
      <c r="O54" s="131">
        <f>J54*(1+O106)</f>
        <v>880.59724343466928</v>
      </c>
      <c r="P54" s="150">
        <f>K54*(1+P106)</f>
        <v>0</v>
      </c>
      <c r="Q54" s="150"/>
      <c r="R54" s="150"/>
      <c r="S54" s="131"/>
      <c r="T54" s="150">
        <f>O54*(1+T106)</f>
        <v>898.20918830336268</v>
      </c>
      <c r="U54" s="150">
        <f>T54*(1+U106)</f>
        <v>916.17337206943</v>
      </c>
      <c r="V54" s="150">
        <f>U54*(1+V106)</f>
        <v>934.49683951081863</v>
      </c>
      <c r="W54" s="150">
        <f>V54*(1+W106)</f>
        <v>953.18677630103502</v>
      </c>
      <c r="X54" s="150">
        <f>W54*(1+X106)</f>
        <v>972.25051182705579</v>
      </c>
      <c r="Y54" s="95"/>
    </row>
    <row r="55" spans="2:29" s="110" customFormat="1" hidden="1" outlineLevel="1" x14ac:dyDescent="0.25">
      <c r="B55" s="110" t="s">
        <v>32</v>
      </c>
      <c r="C55" s="97"/>
      <c r="D55" s="95"/>
      <c r="E55" s="151"/>
      <c r="F55" s="162"/>
      <c r="G55" s="151"/>
      <c r="H55" s="151"/>
      <c r="I55" s="130"/>
      <c r="J55" s="151"/>
      <c r="K55" s="162"/>
      <c r="L55" s="111"/>
      <c r="M55" s="111"/>
      <c r="N55" s="151"/>
      <c r="O55" s="131">
        <f t="shared" ref="O55:X55" si="36">-(O48*O96)-(O95*O47)</f>
        <v>3629.9066689060446</v>
      </c>
      <c r="P55" s="150">
        <f t="shared" ref="P55" si="37">-(P48*P96)-(P95*P47)</f>
        <v>3476.9014810939616</v>
      </c>
      <c r="Q55" s="150"/>
      <c r="R55" s="150"/>
      <c r="S55" s="130"/>
      <c r="T55" s="150">
        <f t="shared" si="36"/>
        <v>3657.7971891366533</v>
      </c>
      <c r="U55" s="150">
        <f t="shared" si="36"/>
        <v>3735.2812736176711</v>
      </c>
      <c r="V55" s="150">
        <f t="shared" si="36"/>
        <v>3811.3692735739487</v>
      </c>
      <c r="W55" s="150">
        <f t="shared" si="36"/>
        <v>3885.7278703418106</v>
      </c>
      <c r="X55" s="150">
        <f t="shared" si="36"/>
        <v>3957.9939036025244</v>
      </c>
      <c r="Y55" s="111"/>
    </row>
    <row r="56" spans="2:29" hidden="1" outlineLevel="1" x14ac:dyDescent="0.25">
      <c r="B56" s="38" t="s">
        <v>295</v>
      </c>
      <c r="C56" s="97"/>
      <c r="D56" s="95">
        <v>-6082</v>
      </c>
      <c r="E56" s="150">
        <v>-6186</v>
      </c>
      <c r="F56" s="161"/>
      <c r="G56" s="150"/>
      <c r="H56" s="150"/>
      <c r="I56" s="131"/>
      <c r="J56" s="150">
        <v>-5819</v>
      </c>
      <c r="K56" s="161"/>
      <c r="L56" s="95"/>
      <c r="M56" s="95"/>
      <c r="N56" s="131"/>
      <c r="O56" s="131">
        <f>J56*1.02</f>
        <v>-5935.38</v>
      </c>
      <c r="P56" s="95">
        <f>K56*1.02</f>
        <v>0</v>
      </c>
      <c r="Q56" s="95"/>
      <c r="R56" s="95"/>
      <c r="S56" s="131"/>
      <c r="T56" s="95">
        <f>O56*1.02</f>
        <v>-6054.0875999999998</v>
      </c>
      <c r="U56" s="95">
        <f>T56*1.02</f>
        <v>-6175.1693519999999</v>
      </c>
      <c r="V56" s="95">
        <f>U56*1.02</f>
        <v>-6298.6727390400001</v>
      </c>
      <c r="W56" s="95">
        <f>V56*1.02</f>
        <v>-6424.6461938208004</v>
      </c>
      <c r="X56" s="95">
        <f>W56*1.02</f>
        <v>-6553.1391176972165</v>
      </c>
      <c r="Y56" s="95"/>
    </row>
    <row r="57" spans="2:29" hidden="1" outlineLevel="1" x14ac:dyDescent="0.25">
      <c r="B57" s="113" t="s">
        <v>300</v>
      </c>
      <c r="C57" s="77"/>
      <c r="D57" s="330"/>
      <c r="E57" s="150"/>
      <c r="F57" s="161"/>
      <c r="G57" s="150"/>
      <c r="H57" s="150"/>
      <c r="I57" s="131"/>
      <c r="J57" s="150"/>
      <c r="K57" s="161"/>
      <c r="L57" s="95"/>
      <c r="M57" s="95"/>
      <c r="N57" s="131"/>
      <c r="O57" s="131">
        <f t="shared" ref="O57:X57" si="38">-O56*O95</f>
        <v>2374.152</v>
      </c>
      <c r="P57" s="95">
        <f t="shared" ref="P57" si="39">-P56*P95</f>
        <v>0</v>
      </c>
      <c r="Q57" s="95"/>
      <c r="R57" s="95"/>
      <c r="S57" s="131"/>
      <c r="T57" s="95">
        <f t="shared" si="38"/>
        <v>2421.6350400000001</v>
      </c>
      <c r="U57" s="95">
        <f t="shared" si="38"/>
        <v>2408.31604728</v>
      </c>
      <c r="V57" s="95">
        <f t="shared" si="38"/>
        <v>2393.4956408352</v>
      </c>
      <c r="W57" s="95">
        <f t="shared" si="38"/>
        <v>2377.119091713696</v>
      </c>
      <c r="X57" s="95">
        <f t="shared" si="38"/>
        <v>2359.130082370998</v>
      </c>
      <c r="Y57" s="95"/>
    </row>
    <row r="58" spans="2:29" hidden="1" outlineLevel="1" x14ac:dyDescent="0.25">
      <c r="B58" s="113" t="s">
        <v>296</v>
      </c>
      <c r="C58" s="97"/>
      <c r="D58" s="292"/>
      <c r="E58" s="150"/>
      <c r="F58" s="161"/>
      <c r="G58" s="150"/>
      <c r="H58" s="150"/>
      <c r="I58" s="131"/>
      <c r="J58" s="150"/>
      <c r="K58" s="161"/>
      <c r="L58" s="95"/>
      <c r="M58" s="95"/>
      <c r="N58" s="131"/>
      <c r="O58" s="131">
        <f t="shared" ref="O58:X58" si="40">O57+O56</f>
        <v>-3561.2280000000001</v>
      </c>
      <c r="P58" s="95">
        <f t="shared" ref="P58" si="41">P57+P56</f>
        <v>0</v>
      </c>
      <c r="Q58" s="95"/>
      <c r="R58" s="95"/>
      <c r="S58" s="131"/>
      <c r="T58" s="95">
        <f t="shared" si="40"/>
        <v>-3632.4525599999997</v>
      </c>
      <c r="U58" s="95">
        <f t="shared" si="40"/>
        <v>-3766.8533047199999</v>
      </c>
      <c r="V58" s="95">
        <f t="shared" si="40"/>
        <v>-3905.1770982048001</v>
      </c>
      <c r="W58" s="95">
        <f t="shared" si="40"/>
        <v>-4047.5271021071044</v>
      </c>
      <c r="X58" s="95">
        <f t="shared" si="40"/>
        <v>-4194.0090353262185</v>
      </c>
      <c r="Y58" s="95"/>
    </row>
    <row r="59" spans="2:29" ht="15.75" hidden="1" outlineLevel="1" thickBot="1" x14ac:dyDescent="0.3">
      <c r="B59" s="325"/>
      <c r="C59" s="325"/>
      <c r="D59" s="325"/>
      <c r="E59" s="324"/>
      <c r="F59" s="331"/>
      <c r="G59" s="324"/>
      <c r="H59" s="324"/>
      <c r="I59" s="332"/>
      <c r="J59" s="324"/>
      <c r="K59" s="331"/>
      <c r="L59" s="324"/>
      <c r="M59" s="324"/>
      <c r="N59" s="332"/>
      <c r="O59" s="332"/>
      <c r="P59" s="324"/>
      <c r="Q59" s="324"/>
      <c r="R59" s="68"/>
      <c r="S59" s="69"/>
      <c r="T59" s="324"/>
      <c r="U59" s="324"/>
      <c r="V59" s="324"/>
      <c r="W59" s="324"/>
      <c r="X59" s="324"/>
    </row>
    <row r="60" spans="2:29" hidden="1" outlineLevel="1" x14ac:dyDescent="0.25">
      <c r="B60" s="77"/>
      <c r="C60" s="97"/>
      <c r="D60" s="97"/>
      <c r="E60" s="68"/>
      <c r="F60" s="66"/>
      <c r="G60" s="68"/>
      <c r="H60" s="68"/>
      <c r="I60" s="69"/>
      <c r="J60" s="68"/>
      <c r="K60" s="66"/>
      <c r="O60" s="69"/>
      <c r="S60" s="69"/>
    </row>
    <row r="61" spans="2:29" hidden="1" outlineLevel="1" x14ac:dyDescent="0.25">
      <c r="B61" s="97" t="s">
        <v>307</v>
      </c>
      <c r="C61" s="97"/>
      <c r="D61" s="97"/>
      <c r="E61" s="68"/>
      <c r="F61" s="66"/>
      <c r="G61" s="68"/>
      <c r="H61" s="68"/>
      <c r="I61" s="69"/>
      <c r="J61" s="68"/>
      <c r="K61" s="66"/>
      <c r="O61" s="69"/>
      <c r="S61" s="69"/>
    </row>
    <row r="62" spans="2:29" hidden="1" outlineLevel="1" x14ac:dyDescent="0.25">
      <c r="B62" s="77"/>
      <c r="C62" s="97"/>
      <c r="D62" s="97"/>
      <c r="E62" s="68"/>
      <c r="F62" s="66"/>
      <c r="G62" s="68"/>
      <c r="H62" s="68"/>
      <c r="I62" s="69"/>
      <c r="J62" s="68"/>
      <c r="K62" s="66"/>
      <c r="O62" s="69"/>
      <c r="S62" s="69"/>
    </row>
    <row r="63" spans="2:29" hidden="1" outlineLevel="1" x14ac:dyDescent="0.25">
      <c r="B63" s="38" t="s">
        <v>299</v>
      </c>
      <c r="C63" s="97"/>
      <c r="D63" s="95">
        <f t="shared" ref="D63:X63" si="42">D79</f>
        <v>19570.273999999998</v>
      </c>
      <c r="E63" s="150">
        <f t="shared" si="42"/>
        <v>21081.817000000003</v>
      </c>
      <c r="F63" s="161">
        <f t="shared" si="42"/>
        <v>21255.296999999999</v>
      </c>
      <c r="G63" s="150">
        <f t="shared" si="42"/>
        <v>21635.007999999998</v>
      </c>
      <c r="H63" s="150">
        <f t="shared" si="42"/>
        <v>22014.606</v>
      </c>
      <c r="I63" s="131">
        <f t="shared" si="42"/>
        <v>22522.637999999999</v>
      </c>
      <c r="J63" s="150">
        <f t="shared" si="42"/>
        <v>22522.637999999999</v>
      </c>
      <c r="K63" s="161">
        <f t="shared" si="42"/>
        <v>22916</v>
      </c>
      <c r="L63" s="95">
        <f t="shared" si="42"/>
        <v>23435</v>
      </c>
      <c r="M63" s="95">
        <f t="shared" si="42"/>
        <v>23760.294685590041</v>
      </c>
      <c r="N63" s="131">
        <f t="shared" si="42"/>
        <v>24150.077315653911</v>
      </c>
      <c r="O63" s="131">
        <f t="shared" si="42"/>
        <v>24150.077315653911</v>
      </c>
      <c r="P63" s="95">
        <f t="shared" ref="P63:S63" si="43">P79</f>
        <v>20878.0476194781</v>
      </c>
      <c r="Q63" s="95">
        <f t="shared" si="43"/>
        <v>18038.063369163159</v>
      </c>
      <c r="R63" s="95">
        <f t="shared" si="43"/>
        <v>18025.724402747277</v>
      </c>
      <c r="S63" s="131">
        <f t="shared" si="43"/>
        <v>18611.074664707041</v>
      </c>
      <c r="T63" s="95">
        <f t="shared" si="42"/>
        <v>25348.398194410052</v>
      </c>
      <c r="U63" s="95">
        <f t="shared" si="42"/>
        <v>26334.916653919754</v>
      </c>
      <c r="V63" s="95">
        <f t="shared" si="42"/>
        <v>27154.598521414147</v>
      </c>
      <c r="W63" s="95">
        <f t="shared" si="42"/>
        <v>27842.228407537939</v>
      </c>
      <c r="X63" s="95">
        <f t="shared" si="42"/>
        <v>28424.581949396066</v>
      </c>
      <c r="Y63" s="95"/>
      <c r="AA63" s="95"/>
      <c r="AB63" s="95"/>
      <c r="AC63" s="95"/>
    </row>
    <row r="64" spans="2:29" hidden="1" outlineLevel="1" x14ac:dyDescent="0.25">
      <c r="B64" s="38" t="s">
        <v>298</v>
      </c>
      <c r="C64" s="93">
        <f t="shared" ref="C64:X64" si="44">C93</f>
        <v>1.9800000000000002E-2</v>
      </c>
      <c r="D64" s="93">
        <f t="shared" si="44"/>
        <v>1.89E-2</v>
      </c>
      <c r="E64" s="135">
        <f t="shared" si="44"/>
        <v>1.8700000000000001E-2</v>
      </c>
      <c r="F64" s="160">
        <f t="shared" si="44"/>
        <v>1.9199999999999998E-2</v>
      </c>
      <c r="G64" s="135">
        <f t="shared" si="44"/>
        <v>1.8200000000000001E-2</v>
      </c>
      <c r="H64" s="135">
        <f t="shared" si="44"/>
        <v>1.9199999999999998E-2</v>
      </c>
      <c r="I64" s="128">
        <f t="shared" si="44"/>
        <v>1.7999999999999999E-2</v>
      </c>
      <c r="J64" s="135">
        <f t="shared" si="44"/>
        <v>1.8599999999999998E-2</v>
      </c>
      <c r="K64" s="160">
        <f t="shared" si="44"/>
        <v>1.7999999999999999E-2</v>
      </c>
      <c r="L64" s="93">
        <f t="shared" si="44"/>
        <v>1.6E-2</v>
      </c>
      <c r="M64" s="93">
        <f t="shared" si="44"/>
        <v>1.9E-2</v>
      </c>
      <c r="N64" s="128">
        <f t="shared" si="44"/>
        <v>1.9E-2</v>
      </c>
      <c r="O64" s="128">
        <f t="shared" si="44"/>
        <v>1.7999999999999999E-2</v>
      </c>
      <c r="P64" s="93">
        <f t="shared" ref="P64:S64" si="45">P93</f>
        <v>1.9E-2</v>
      </c>
      <c r="Q64" s="93">
        <f t="shared" si="45"/>
        <v>1.7999999999999999E-2</v>
      </c>
      <c r="R64" s="93">
        <f t="shared" si="45"/>
        <v>1.9E-2</v>
      </c>
      <c r="S64" s="128">
        <f t="shared" si="45"/>
        <v>1.7999999999999999E-2</v>
      </c>
      <c r="T64" s="93">
        <f t="shared" si="44"/>
        <v>1.7999999999999999E-2</v>
      </c>
      <c r="U64" s="93">
        <f t="shared" si="44"/>
        <v>1.7999999999999999E-2</v>
      </c>
      <c r="V64" s="93">
        <f t="shared" si="44"/>
        <v>1.7999999999999999E-2</v>
      </c>
      <c r="W64" s="93">
        <f t="shared" si="44"/>
        <v>1.7999999999999999E-2</v>
      </c>
      <c r="X64" s="93">
        <f t="shared" si="44"/>
        <v>1.7999999999999999E-2</v>
      </c>
    </row>
    <row r="65" spans="2:25" hidden="1" outlineLevel="1" x14ac:dyDescent="0.25">
      <c r="B65" s="38" t="s">
        <v>297</v>
      </c>
      <c r="C65" s="97"/>
      <c r="D65" s="95">
        <f>D63*D64*12</f>
        <v>4438.5381431999995</v>
      </c>
      <c r="E65" s="95">
        <f t="shared" ref="E65:X65" si="46">E63*E64*12</f>
        <v>4730.7597348000008</v>
      </c>
      <c r="F65" s="95">
        <f t="shared" si="46"/>
        <v>4897.2204287999994</v>
      </c>
      <c r="G65" s="95">
        <f t="shared" si="46"/>
        <v>4725.0857471999998</v>
      </c>
      <c r="H65" s="95">
        <f t="shared" si="46"/>
        <v>5072.1652223999999</v>
      </c>
      <c r="I65" s="95">
        <f t="shared" si="46"/>
        <v>4864.8898079999999</v>
      </c>
      <c r="J65" s="95">
        <f t="shared" si="46"/>
        <v>5027.0528015999989</v>
      </c>
      <c r="K65" s="95">
        <f t="shared" si="46"/>
        <v>4949.8559999999998</v>
      </c>
      <c r="L65" s="95">
        <f t="shared" si="46"/>
        <v>4499.5199999999995</v>
      </c>
      <c r="M65" s="95">
        <f t="shared" si="46"/>
        <v>5417.3471883145285</v>
      </c>
      <c r="N65" s="95">
        <f t="shared" si="46"/>
        <v>5506.2176279690921</v>
      </c>
      <c r="O65" s="131">
        <f t="shared" si="46"/>
        <v>5216.4167001812439</v>
      </c>
      <c r="P65" s="95">
        <f t="shared" ref="P65:S65" si="47">P63*P64*12</f>
        <v>4760.1948572410065</v>
      </c>
      <c r="Q65" s="95">
        <f t="shared" si="47"/>
        <v>3896.221687739242</v>
      </c>
      <c r="R65" s="95">
        <f t="shared" si="47"/>
        <v>4109.8651638263791</v>
      </c>
      <c r="S65" s="131">
        <f t="shared" si="47"/>
        <v>4019.992127576721</v>
      </c>
      <c r="T65" s="95">
        <f t="shared" si="46"/>
        <v>5475.2540099925709</v>
      </c>
      <c r="U65" s="95">
        <f t="shared" si="46"/>
        <v>5688.3419972466663</v>
      </c>
      <c r="V65" s="95">
        <f t="shared" si="46"/>
        <v>5865.3932806254552</v>
      </c>
      <c r="W65" s="95">
        <f t="shared" si="46"/>
        <v>6013.9213360281947</v>
      </c>
      <c r="X65" s="95">
        <f t="shared" si="46"/>
        <v>6139.7097010695497</v>
      </c>
    </row>
    <row r="66" spans="2:25" hidden="1" outlineLevel="1" x14ac:dyDescent="0.25">
      <c r="B66" s="97"/>
      <c r="C66" s="97"/>
      <c r="D66" s="97"/>
      <c r="E66" s="68"/>
      <c r="F66" s="66"/>
      <c r="G66" s="68"/>
      <c r="H66" s="68"/>
      <c r="I66" s="69"/>
      <c r="J66" s="68"/>
      <c r="K66" s="66"/>
      <c r="O66" s="412"/>
      <c r="S66" s="69"/>
    </row>
    <row r="67" spans="2:25" hidden="1" outlineLevel="1" x14ac:dyDescent="0.25">
      <c r="B67" s="38" t="s">
        <v>98</v>
      </c>
      <c r="C67" s="97"/>
      <c r="D67" s="93">
        <v>0.60499999999999998</v>
      </c>
      <c r="E67" s="135">
        <v>0.60299999999999998</v>
      </c>
      <c r="F67" s="160"/>
      <c r="G67" s="135"/>
      <c r="H67" s="135"/>
      <c r="I67" s="128"/>
      <c r="J67" s="135">
        <v>0.64600000000000002</v>
      </c>
      <c r="K67" s="160"/>
      <c r="L67" s="93"/>
      <c r="M67" s="93"/>
      <c r="N67" s="128"/>
      <c r="O67" s="413">
        <f>J67+0.02</f>
        <v>0.66600000000000004</v>
      </c>
      <c r="P67" s="360">
        <f>K67+0.02</f>
        <v>0.02</v>
      </c>
      <c r="Q67" s="360">
        <f t="shared" ref="Q67:S67" si="48">L67+0.02</f>
        <v>0.02</v>
      </c>
      <c r="R67" s="360">
        <f t="shared" si="48"/>
        <v>0.02</v>
      </c>
      <c r="S67" s="413">
        <f t="shared" si="48"/>
        <v>0.02</v>
      </c>
      <c r="T67" s="360">
        <f>O67+0.02</f>
        <v>0.68600000000000005</v>
      </c>
      <c r="U67" s="360">
        <f>T67+0.02</f>
        <v>0.70600000000000007</v>
      </c>
      <c r="V67" s="360">
        <f>U67+0.02</f>
        <v>0.72600000000000009</v>
      </c>
      <c r="W67" s="360">
        <f>V67+0.02</f>
        <v>0.74600000000000011</v>
      </c>
      <c r="X67" s="360">
        <f>W67+0.02</f>
        <v>0.76600000000000013</v>
      </c>
      <c r="Y67" s="93"/>
    </row>
    <row r="68" spans="2:25" hidden="1" outlineLevel="1" x14ac:dyDescent="0.25">
      <c r="B68" s="38" t="s">
        <v>41</v>
      </c>
      <c r="C68" s="97"/>
      <c r="D68" s="97"/>
      <c r="E68" s="68"/>
      <c r="F68" s="66"/>
      <c r="G68" s="68"/>
      <c r="H68" s="68"/>
      <c r="I68" s="69"/>
      <c r="J68" s="68"/>
      <c r="K68" s="66"/>
      <c r="O68" s="131">
        <f t="shared" ref="O68:X68" si="49">O67*O103</f>
        <v>5900.2524547199992</v>
      </c>
      <c r="P68" s="95">
        <f t="shared" ref="P68:S68" si="50">P67*P103</f>
        <v>184.6</v>
      </c>
      <c r="Q68" s="95">
        <f t="shared" si="50"/>
        <v>184.6</v>
      </c>
      <c r="R68" s="95">
        <f t="shared" si="50"/>
        <v>184.6</v>
      </c>
      <c r="S68" s="131">
        <f t="shared" si="50"/>
        <v>184.6</v>
      </c>
      <c r="T68" s="95">
        <f t="shared" si="49"/>
        <v>6331.7800000000007</v>
      </c>
      <c r="U68" s="95">
        <f t="shared" si="49"/>
        <v>6516.380000000001</v>
      </c>
      <c r="V68" s="95">
        <f t="shared" si="49"/>
        <v>6700.9800000000005</v>
      </c>
      <c r="W68" s="95">
        <f t="shared" si="49"/>
        <v>6885.5800000000008</v>
      </c>
      <c r="X68" s="95">
        <f t="shared" si="49"/>
        <v>7070.1800000000012</v>
      </c>
    </row>
    <row r="69" spans="2:25" hidden="1" outlineLevel="1" x14ac:dyDescent="0.25">
      <c r="C69" s="97"/>
      <c r="D69" s="97"/>
      <c r="E69" s="68"/>
      <c r="F69" s="66"/>
      <c r="G69" s="68"/>
      <c r="H69" s="68"/>
      <c r="I69" s="69"/>
      <c r="J69" s="68"/>
      <c r="K69" s="66"/>
      <c r="O69" s="69"/>
      <c r="S69" s="69"/>
    </row>
    <row r="70" spans="2:25" hidden="1" outlineLevel="1" x14ac:dyDescent="0.25">
      <c r="B70" s="38" t="s">
        <v>97</v>
      </c>
      <c r="C70" s="97"/>
      <c r="D70" s="93">
        <v>0.70416491485855082</v>
      </c>
      <c r="E70" s="135">
        <v>0.74649673786809068</v>
      </c>
      <c r="F70" s="160"/>
      <c r="G70" s="135"/>
      <c r="H70" s="135"/>
      <c r="I70" s="128"/>
      <c r="J70" s="135">
        <v>0.75</v>
      </c>
      <c r="K70" s="66"/>
      <c r="O70" s="413">
        <f>J70+0.005</f>
        <v>0.755</v>
      </c>
      <c r="P70" s="360">
        <f>K70+0.005</f>
        <v>5.0000000000000001E-3</v>
      </c>
      <c r="Q70" s="360">
        <f t="shared" ref="Q70:S70" si="51">L70+0.005</f>
        <v>5.0000000000000001E-3</v>
      </c>
      <c r="R70" s="360">
        <f t="shared" si="51"/>
        <v>5.0000000000000001E-3</v>
      </c>
      <c r="S70" s="413">
        <f t="shared" si="51"/>
        <v>5.0000000000000001E-3</v>
      </c>
      <c r="T70" s="360">
        <f>O70+0.005</f>
        <v>0.76</v>
      </c>
      <c r="U70" s="360">
        <f>T70+0.005</f>
        <v>0.76500000000000001</v>
      </c>
      <c r="V70" s="360">
        <f>U70+0.005</f>
        <v>0.77</v>
      </c>
      <c r="W70" s="360">
        <f>V70+0.005</f>
        <v>0.77500000000000002</v>
      </c>
      <c r="X70" s="360">
        <f>W70+0.005</f>
        <v>0.78</v>
      </c>
    </row>
    <row r="71" spans="2:25" hidden="1" outlineLevel="1" x14ac:dyDescent="0.25">
      <c r="B71" s="38" t="s">
        <v>285</v>
      </c>
      <c r="C71" s="97"/>
      <c r="D71" s="97"/>
      <c r="E71" s="68"/>
      <c r="F71" s="66"/>
      <c r="G71" s="68"/>
      <c r="H71" s="68"/>
      <c r="I71" s="69"/>
      <c r="J71" s="68"/>
      <c r="K71" s="66"/>
      <c r="O71" s="131">
        <f t="shared" ref="O71:X71" si="52">O70*O102</f>
        <v>6174.2073503999982</v>
      </c>
      <c r="P71" s="95">
        <f t="shared" ref="P71:S71" si="53">P70*P102</f>
        <v>42.6</v>
      </c>
      <c r="Q71" s="95">
        <f t="shared" si="53"/>
        <v>42.6</v>
      </c>
      <c r="R71" s="95">
        <f t="shared" si="53"/>
        <v>42.6</v>
      </c>
      <c r="S71" s="131">
        <f t="shared" si="53"/>
        <v>42.6</v>
      </c>
      <c r="T71" s="95">
        <f t="shared" si="52"/>
        <v>6475.2</v>
      </c>
      <c r="U71" s="95">
        <f t="shared" si="52"/>
        <v>6517.8</v>
      </c>
      <c r="V71" s="95">
        <f t="shared" si="52"/>
        <v>6560.4000000000005</v>
      </c>
      <c r="W71" s="95">
        <f t="shared" si="52"/>
        <v>6603</v>
      </c>
      <c r="X71" s="95">
        <f t="shared" si="52"/>
        <v>6645.6</v>
      </c>
    </row>
    <row r="72" spans="2:25" hidden="1" outlineLevel="1" x14ac:dyDescent="0.25">
      <c r="B72" s="97"/>
      <c r="C72" s="97"/>
      <c r="D72" s="97"/>
      <c r="E72" s="68"/>
      <c r="F72" s="66"/>
      <c r="G72" s="68"/>
      <c r="H72" s="68"/>
      <c r="I72" s="69"/>
      <c r="J72" s="68"/>
      <c r="K72" s="66"/>
      <c r="O72" s="69"/>
      <c r="S72" s="69"/>
    </row>
    <row r="73" spans="2:25" hidden="1" outlineLevel="1" x14ac:dyDescent="0.25">
      <c r="B73" s="38" t="s">
        <v>188</v>
      </c>
      <c r="C73" s="96">
        <v>17908.742000000002</v>
      </c>
      <c r="D73" s="96">
        <v>19570.273999999998</v>
      </c>
      <c r="E73" s="98">
        <v>21081.8</v>
      </c>
      <c r="F73" s="155">
        <v>21255.3</v>
      </c>
      <c r="G73" s="98">
        <v>21635</v>
      </c>
      <c r="H73" s="98">
        <v>22014</v>
      </c>
      <c r="I73" s="127">
        <v>22522</v>
      </c>
      <c r="J73" s="98">
        <f>I73</f>
        <v>22522</v>
      </c>
      <c r="K73" s="155">
        <v>22917</v>
      </c>
      <c r="L73" s="96">
        <v>23436</v>
      </c>
      <c r="M73" s="96" t="e">
        <f>L73+#REF!</f>
        <v>#REF!</v>
      </c>
      <c r="N73" s="127" t="e">
        <f>M73+#REF!</f>
        <v>#REF!</v>
      </c>
      <c r="O73" s="127" t="e">
        <f>N73</f>
        <v>#REF!</v>
      </c>
      <c r="P73" s="96" t="e">
        <f>K73+#REF!</f>
        <v>#REF!</v>
      </c>
      <c r="Q73" s="96" t="e">
        <f>L73+#REF!</f>
        <v>#REF!</v>
      </c>
      <c r="R73" s="96" t="e">
        <f>M73+#REF!</f>
        <v>#REF!</v>
      </c>
      <c r="S73" s="127" t="e">
        <f>N73+#REF!</f>
        <v>#REF!</v>
      </c>
      <c r="T73" s="96" t="e">
        <f>O73+#REF!</f>
        <v>#REF!</v>
      </c>
      <c r="U73" s="96" t="e">
        <f>T73+#REF!</f>
        <v>#REF!</v>
      </c>
      <c r="V73" s="96" t="e">
        <f>U73+#REF!</f>
        <v>#REF!</v>
      </c>
      <c r="W73" s="96" t="e">
        <f>V73+#REF!</f>
        <v>#REF!</v>
      </c>
      <c r="X73" s="96" t="e">
        <f>W73+#REF!</f>
        <v>#REF!</v>
      </c>
    </row>
    <row r="74" spans="2:25" hidden="1" outlineLevel="1" x14ac:dyDescent="0.25">
      <c r="B74" s="97" t="s">
        <v>308</v>
      </c>
      <c r="C74" s="96"/>
      <c r="D74" s="96"/>
      <c r="E74" s="98"/>
      <c r="F74" s="155"/>
      <c r="G74" s="98"/>
      <c r="H74" s="98"/>
      <c r="I74" s="127"/>
      <c r="J74" s="98"/>
      <c r="K74" s="155"/>
      <c r="L74" s="96"/>
      <c r="M74" s="96"/>
      <c r="N74" s="127"/>
      <c r="O74" s="127"/>
      <c r="P74" s="96"/>
      <c r="Q74" s="96"/>
      <c r="R74" s="96"/>
      <c r="S74" s="127"/>
      <c r="T74" s="96"/>
      <c r="U74" s="96"/>
      <c r="V74" s="96"/>
      <c r="W74" s="96"/>
      <c r="X74" s="96"/>
    </row>
    <row r="75" spans="2:25" hidden="1" outlineLevel="1" x14ac:dyDescent="0.25">
      <c r="B75" s="38" t="s">
        <v>292</v>
      </c>
      <c r="C75" s="96"/>
      <c r="D75" s="96">
        <v>17909</v>
      </c>
      <c r="E75" s="98">
        <f>D79</f>
        <v>19570.273999999998</v>
      </c>
      <c r="F75" s="155">
        <v>21081.817000000003</v>
      </c>
      <c r="G75" s="98">
        <v>21255.296999999999</v>
      </c>
      <c r="H75" s="98">
        <v>21635.007999999998</v>
      </c>
      <c r="I75" s="127">
        <v>22014.606</v>
      </c>
      <c r="J75" s="98">
        <f>E79</f>
        <v>21081.817000000003</v>
      </c>
      <c r="K75" s="156">
        <v>22522.637999999999</v>
      </c>
      <c r="L75" s="105">
        <v>22916</v>
      </c>
      <c r="M75" s="105">
        <v>23435</v>
      </c>
      <c r="N75" s="134">
        <v>23760.294685590041</v>
      </c>
      <c r="O75" s="127">
        <f>J79</f>
        <v>22522.637999999999</v>
      </c>
      <c r="P75" s="96">
        <f>K79</f>
        <v>22916</v>
      </c>
      <c r="Q75" s="96">
        <f t="shared" ref="Q75:S75" si="54">L79</f>
        <v>23435</v>
      </c>
      <c r="R75" s="96">
        <f t="shared" si="54"/>
        <v>23760.294685590041</v>
      </c>
      <c r="S75" s="127">
        <f t="shared" si="54"/>
        <v>24150.077315653911</v>
      </c>
      <c r="T75" s="96">
        <f>O79</f>
        <v>24150.077315653911</v>
      </c>
      <c r="U75" s="96">
        <f>T79</f>
        <v>25348.398194410052</v>
      </c>
      <c r="V75" s="96">
        <f>U79</f>
        <v>26334.916653919754</v>
      </c>
      <c r="W75" s="96">
        <f>V79</f>
        <v>27154.598521414147</v>
      </c>
      <c r="X75" s="96">
        <f>W79</f>
        <v>27842.228407537939</v>
      </c>
    </row>
    <row r="76" spans="2:25" hidden="1" outlineLevel="1" x14ac:dyDescent="0.25">
      <c r="B76" s="113" t="s">
        <v>46</v>
      </c>
      <c r="C76" s="96"/>
      <c r="D76" s="96"/>
      <c r="E76" s="98"/>
      <c r="F76" s="155">
        <v>1615.0424341285943</v>
      </c>
      <c r="G76" s="98">
        <v>1838.483506913062</v>
      </c>
      <c r="H76" s="98">
        <v>1939.9673509177755</v>
      </c>
      <c r="I76" s="127">
        <v>2030.2974432725155</v>
      </c>
      <c r="J76" s="98">
        <f>SUM(F76:I76)</f>
        <v>7423.7907352319471</v>
      </c>
      <c r="K76" s="156">
        <v>1910.2110876158617</v>
      </c>
      <c r="L76" s="105">
        <v>1966.4006308368432</v>
      </c>
      <c r="M76" s="105">
        <v>1952.1872076433992</v>
      </c>
      <c r="N76" s="134">
        <v>2041.8814038640135</v>
      </c>
      <c r="O76" s="127">
        <f>SUM(K76:N76)</f>
        <v>7870.6803299601179</v>
      </c>
      <c r="P76" s="96">
        <f>P57+P55+P53+P54</f>
        <v>3476.9014810939616</v>
      </c>
      <c r="Q76" s="96">
        <f t="shared" ref="Q76:S76" si="55">Q57+Q55+Q53+Q54</f>
        <v>0</v>
      </c>
      <c r="R76" s="96">
        <f t="shared" si="55"/>
        <v>0</v>
      </c>
      <c r="S76" s="127">
        <f t="shared" si="55"/>
        <v>0</v>
      </c>
      <c r="T76" s="96">
        <f>T57+T55+T53+T54</f>
        <v>7679.5291166839506</v>
      </c>
      <c r="U76" s="96">
        <f>U57+U55+U53+U54</f>
        <v>7726.5640072488386</v>
      </c>
      <c r="V76" s="96">
        <f>V57+V55+V53+V54</f>
        <v>7772.8154024876185</v>
      </c>
      <c r="W76" s="96">
        <f>W57+W55+W53+W54</f>
        <v>7817.8147044958096</v>
      </c>
      <c r="X76" s="96">
        <f>X57+X55+X53+X54</f>
        <v>7861.066415632883</v>
      </c>
    </row>
    <row r="77" spans="2:25" hidden="1" outlineLevel="1" x14ac:dyDescent="0.25">
      <c r="B77" s="113" t="s">
        <v>291</v>
      </c>
      <c r="C77" s="96"/>
      <c r="D77" s="96"/>
      <c r="E77" s="98"/>
      <c r="F77" s="155">
        <v>-222.25355092859857</v>
      </c>
      <c r="G77" s="98">
        <v>-287.86718041306284</v>
      </c>
      <c r="H77" s="98">
        <v>-303.26046771777362</v>
      </c>
      <c r="I77" s="127">
        <v>-319.75985527251635</v>
      </c>
      <c r="J77" s="98">
        <f>SUM(F77:I77)</f>
        <v>-1133.1410543319514</v>
      </c>
      <c r="K77" s="156">
        <v>-290.00586161586074</v>
      </c>
      <c r="L77" s="105">
        <v>-334.97663083684319</v>
      </c>
      <c r="M77" s="105">
        <v>-317.22309452823544</v>
      </c>
      <c r="N77" s="134">
        <v>-322.58595076562432</v>
      </c>
      <c r="O77" s="127">
        <f>SUM(K77:N77)</f>
        <v>-1264.7915377465638</v>
      </c>
      <c r="P77" s="96">
        <f>K77</f>
        <v>-290.00586161586074</v>
      </c>
      <c r="Q77" s="96">
        <f t="shared" ref="Q77:S77" si="56">L77</f>
        <v>-334.97663083684319</v>
      </c>
      <c r="R77" s="96">
        <f t="shared" si="56"/>
        <v>-317.22309452823544</v>
      </c>
      <c r="S77" s="127">
        <f t="shared" si="56"/>
        <v>-322.58595076562432</v>
      </c>
      <c r="T77" s="96">
        <f>O77</f>
        <v>-1264.7915377465638</v>
      </c>
      <c r="U77" s="96">
        <f>T77</f>
        <v>-1264.7915377465638</v>
      </c>
      <c r="V77" s="96">
        <f>U77</f>
        <v>-1264.7915377465638</v>
      </c>
      <c r="W77" s="96">
        <f>V77</f>
        <v>-1264.7915377465638</v>
      </c>
      <c r="X77" s="96">
        <f>W77</f>
        <v>-1264.7915377465638</v>
      </c>
    </row>
    <row r="78" spans="2:25" hidden="1" outlineLevel="1" x14ac:dyDescent="0.25">
      <c r="B78" s="113" t="s">
        <v>55</v>
      </c>
      <c r="C78" s="96"/>
      <c r="D78" s="96"/>
      <c r="E78" s="98"/>
      <c r="F78" s="155">
        <v>-1219.3088831999999</v>
      </c>
      <c r="G78" s="98">
        <v>-1170.9053264999998</v>
      </c>
      <c r="H78" s="98">
        <v>-1257.1088832</v>
      </c>
      <c r="I78" s="127">
        <v>-1202.5055879999998</v>
      </c>
      <c r="J78" s="98">
        <f>SUM(F78:I78)</f>
        <v>-4849.8286808999992</v>
      </c>
      <c r="K78" s="156">
        <v>-1226.843226</v>
      </c>
      <c r="L78" s="105">
        <v>-1112.424</v>
      </c>
      <c r="M78" s="105">
        <v>-1309.6694275251234</v>
      </c>
      <c r="N78" s="134">
        <v>-1329.5128230345197</v>
      </c>
      <c r="O78" s="127">
        <f>SUM(K78:N78)</f>
        <v>-4978.4494765596428</v>
      </c>
      <c r="P78" s="96">
        <f>-P75*P64*12</f>
        <v>-5224.848</v>
      </c>
      <c r="Q78" s="96">
        <f t="shared" ref="Q78:S78" si="57">-Q75*Q64*12</f>
        <v>-5061.96</v>
      </c>
      <c r="R78" s="96">
        <f t="shared" si="57"/>
        <v>-5417.3471883145285</v>
      </c>
      <c r="S78" s="127">
        <f t="shared" si="57"/>
        <v>-5216.4167001812439</v>
      </c>
      <c r="T78" s="96">
        <f>-T75*T64*12</f>
        <v>-5216.4167001812439</v>
      </c>
      <c r="U78" s="96">
        <f>-U75*U64*12</f>
        <v>-5475.2540099925709</v>
      </c>
      <c r="V78" s="96">
        <f>-V75*V64*12</f>
        <v>-5688.3419972466663</v>
      </c>
      <c r="W78" s="96">
        <f>-W75*W64*12</f>
        <v>-5865.3932806254552</v>
      </c>
      <c r="X78" s="96">
        <f>-X75*X64*12</f>
        <v>-6013.9213360281947</v>
      </c>
    </row>
    <row r="79" spans="2:25" hidden="1" outlineLevel="1" x14ac:dyDescent="0.25">
      <c r="B79" s="38" t="s">
        <v>293</v>
      </c>
      <c r="C79" s="96"/>
      <c r="D79" s="96">
        <v>19570.273999999998</v>
      </c>
      <c r="E79" s="98">
        <v>21081.817000000003</v>
      </c>
      <c r="F79" s="155">
        <v>21255.296999999999</v>
      </c>
      <c r="G79" s="98">
        <v>21635.007999999998</v>
      </c>
      <c r="H79" s="98">
        <v>22014.606</v>
      </c>
      <c r="I79" s="127">
        <v>22522.637999999999</v>
      </c>
      <c r="J79" s="98">
        <f>I79</f>
        <v>22522.637999999999</v>
      </c>
      <c r="K79" s="156">
        <v>22916</v>
      </c>
      <c r="L79" s="105">
        <v>23435</v>
      </c>
      <c r="M79" s="105">
        <v>23760.294685590041</v>
      </c>
      <c r="N79" s="134">
        <v>24150.077315653911</v>
      </c>
      <c r="O79" s="127">
        <f>N79</f>
        <v>24150.077315653911</v>
      </c>
      <c r="P79" s="96">
        <f>SUM(P75:P78)</f>
        <v>20878.0476194781</v>
      </c>
      <c r="Q79" s="96">
        <f t="shared" ref="Q79:S79" si="58">SUM(Q75:Q78)</f>
        <v>18038.063369163159</v>
      </c>
      <c r="R79" s="96">
        <f t="shared" si="58"/>
        <v>18025.724402747277</v>
      </c>
      <c r="S79" s="127">
        <f t="shared" si="58"/>
        <v>18611.074664707041</v>
      </c>
      <c r="T79" s="96">
        <f>SUM(T75:T78)</f>
        <v>25348.398194410052</v>
      </c>
      <c r="U79" s="96">
        <f>SUM(U75:U78)</f>
        <v>26334.916653919754</v>
      </c>
      <c r="V79" s="96">
        <f>SUM(V75:V78)</f>
        <v>27154.598521414147</v>
      </c>
      <c r="W79" s="96">
        <f>SUM(W75:W78)</f>
        <v>27842.228407537939</v>
      </c>
      <c r="X79" s="96">
        <f>SUM(X75:X78)</f>
        <v>28424.581949396066</v>
      </c>
    </row>
    <row r="80" spans="2:25" hidden="1" outlineLevel="1" x14ac:dyDescent="0.25">
      <c r="B80" s="113"/>
      <c r="C80" s="96"/>
      <c r="D80" s="96"/>
      <c r="E80" s="98"/>
      <c r="F80" s="155"/>
      <c r="G80" s="98"/>
      <c r="H80" s="98"/>
      <c r="I80" s="127"/>
      <c r="J80" s="98"/>
      <c r="K80" s="155"/>
      <c r="L80" s="96"/>
      <c r="M80" s="96"/>
      <c r="N80" s="127"/>
      <c r="O80" s="127"/>
      <c r="P80" s="96"/>
      <c r="Q80" s="96"/>
      <c r="R80" s="96"/>
      <c r="S80" s="127"/>
      <c r="T80" s="96"/>
      <c r="U80" s="96"/>
      <c r="V80" s="96"/>
      <c r="W80" s="96"/>
      <c r="X80" s="96"/>
    </row>
    <row r="81" spans="2:26" hidden="1" outlineLevel="1" x14ac:dyDescent="0.25">
      <c r="B81" s="97" t="s">
        <v>309</v>
      </c>
      <c r="C81" s="96"/>
      <c r="D81" s="96"/>
      <c r="E81" s="98"/>
      <c r="F81" s="155"/>
      <c r="G81" s="98"/>
      <c r="H81" s="98"/>
      <c r="I81" s="127"/>
      <c r="J81" s="98"/>
      <c r="K81" s="155"/>
      <c r="L81" s="96"/>
      <c r="M81" s="96"/>
      <c r="N81" s="127"/>
      <c r="O81" s="127"/>
      <c r="P81" s="96"/>
      <c r="Q81" s="96"/>
      <c r="R81" s="96"/>
      <c r="S81" s="127"/>
      <c r="T81" s="96"/>
      <c r="U81" s="96"/>
      <c r="V81" s="96"/>
      <c r="W81" s="96"/>
      <c r="X81" s="96"/>
    </row>
    <row r="82" spans="2:26" hidden="1" outlineLevel="1" x14ac:dyDescent="0.25">
      <c r="B82" s="113" t="s">
        <v>133</v>
      </c>
      <c r="C82" s="95"/>
      <c r="D82" s="95">
        <v>3984.0819999999999</v>
      </c>
      <c r="E82" s="150">
        <v>4330.0619999999999</v>
      </c>
      <c r="F82" s="161"/>
      <c r="G82" s="150"/>
      <c r="H82" s="150"/>
      <c r="I82" s="131"/>
      <c r="J82" s="150">
        <v>4477</v>
      </c>
      <c r="K82" s="161"/>
      <c r="L82" s="95"/>
      <c r="M82" s="95"/>
      <c r="N82" s="131"/>
      <c r="O82" s="131">
        <f>J87</f>
        <v>4788.4489999999996</v>
      </c>
      <c r="P82" s="95">
        <f>K87</f>
        <v>0</v>
      </c>
      <c r="Q82" s="95">
        <f t="shared" ref="Q82:S82" si="59">L87</f>
        <v>0</v>
      </c>
      <c r="R82" s="95">
        <f t="shared" si="59"/>
        <v>0</v>
      </c>
      <c r="S82" s="131">
        <f t="shared" si="59"/>
        <v>0</v>
      </c>
      <c r="T82" s="95">
        <f>O87</f>
        <v>5027.2763503999986</v>
      </c>
      <c r="U82" s="95">
        <f>T87</f>
        <v>5448.3887503999995</v>
      </c>
      <c r="V82" s="95">
        <f>U87</f>
        <v>5791.0193983999998</v>
      </c>
      <c r="W82" s="95">
        <f>V87</f>
        <v>6052.7466593600002</v>
      </c>
      <c r="X82" s="95">
        <f>W87</f>
        <v>6231.1004655392007</v>
      </c>
      <c r="Y82" s="95"/>
    </row>
    <row r="83" spans="2:26" hidden="1" outlineLevel="1" x14ac:dyDescent="0.25">
      <c r="B83" s="113" t="s">
        <v>30</v>
      </c>
      <c r="C83" s="95"/>
      <c r="D83" s="95">
        <v>6244.4023481515696</v>
      </c>
      <c r="E83" s="150">
        <v>6169.1029489015009</v>
      </c>
      <c r="F83" s="161"/>
      <c r="G83" s="150"/>
      <c r="H83" s="150"/>
      <c r="I83" s="131"/>
      <c r="J83" s="150">
        <v>4997.4828971533989</v>
      </c>
      <c r="K83" s="161"/>
      <c r="L83" s="95"/>
      <c r="M83" s="95"/>
      <c r="N83" s="131"/>
      <c r="O83" s="414">
        <f t="shared" ref="O83:X83" si="60">O70*O102-O84</f>
        <v>4909.4158126534348</v>
      </c>
      <c r="P83" s="346">
        <f t="shared" ref="P83:S83" si="61">P70*P102-P84</f>
        <v>-247.40586161586074</v>
      </c>
      <c r="Q83" s="346">
        <f t="shared" si="61"/>
        <v>-292.37663083684316</v>
      </c>
      <c r="R83" s="346">
        <f t="shared" si="61"/>
        <v>-274.62309452823541</v>
      </c>
      <c r="S83" s="347">
        <f t="shared" si="61"/>
        <v>-279.9859507656243</v>
      </c>
      <c r="T83" s="346">
        <f t="shared" si="60"/>
        <v>5210.4084622534356</v>
      </c>
      <c r="U83" s="346">
        <f t="shared" si="60"/>
        <v>5253.0084622534359</v>
      </c>
      <c r="V83" s="346">
        <f t="shared" si="60"/>
        <v>5295.6084622534363</v>
      </c>
      <c r="W83" s="346">
        <f t="shared" si="60"/>
        <v>5338.2084622534367</v>
      </c>
      <c r="X83" s="347">
        <f t="shared" si="60"/>
        <v>5380.808462253437</v>
      </c>
      <c r="Y83" s="95"/>
    </row>
    <row r="84" spans="2:26" hidden="1" outlineLevel="1" x14ac:dyDescent="0.25">
      <c r="B84" s="113" t="s">
        <v>90</v>
      </c>
      <c r="C84" s="95"/>
      <c r="D84" s="95"/>
      <c r="E84" s="150"/>
      <c r="F84" s="161"/>
      <c r="G84" s="150"/>
      <c r="H84" s="150"/>
      <c r="I84" s="131"/>
      <c r="J84" s="150">
        <v>1133</v>
      </c>
      <c r="K84" s="161"/>
      <c r="L84" s="95"/>
      <c r="M84" s="95"/>
      <c r="N84" s="131"/>
      <c r="O84" s="131">
        <f t="shared" ref="O84:X84" si="62">-O77</f>
        <v>1264.7915377465638</v>
      </c>
      <c r="P84" s="95">
        <f t="shared" ref="P84:S84" si="63">-P77</f>
        <v>290.00586161586074</v>
      </c>
      <c r="Q84" s="95">
        <f t="shared" si="63"/>
        <v>334.97663083684319</v>
      </c>
      <c r="R84" s="95">
        <f t="shared" si="63"/>
        <v>317.22309452823544</v>
      </c>
      <c r="S84" s="131">
        <f t="shared" si="63"/>
        <v>322.58595076562432</v>
      </c>
      <c r="T84" s="95">
        <f t="shared" si="62"/>
        <v>1264.7915377465638</v>
      </c>
      <c r="U84" s="95">
        <f t="shared" si="62"/>
        <v>1264.7915377465638</v>
      </c>
      <c r="V84" s="95">
        <f t="shared" si="62"/>
        <v>1264.7915377465638</v>
      </c>
      <c r="W84" s="95">
        <f t="shared" si="62"/>
        <v>1264.7915377465638</v>
      </c>
      <c r="X84" s="95">
        <f t="shared" si="62"/>
        <v>1264.7915377465638</v>
      </c>
      <c r="Y84" s="95"/>
    </row>
    <row r="85" spans="2:26" hidden="1" outlineLevel="1" x14ac:dyDescent="0.25">
      <c r="B85" s="113" t="s">
        <v>103</v>
      </c>
      <c r="C85" s="95"/>
      <c r="D85" s="95">
        <v>-2704.1978885707804</v>
      </c>
      <c r="E85" s="150">
        <v>-2711.5603514168592</v>
      </c>
      <c r="F85" s="161"/>
      <c r="G85" s="150"/>
      <c r="H85" s="150"/>
      <c r="I85" s="131"/>
      <c r="J85" s="150">
        <v>-2394.9314251093947</v>
      </c>
      <c r="K85" s="161"/>
      <c r="L85" s="95"/>
      <c r="M85" s="95"/>
      <c r="N85" s="131"/>
      <c r="O85" s="131">
        <f t="shared" ref="O85:X85" si="64">O56*O95</f>
        <v>-2374.152</v>
      </c>
      <c r="P85" s="95">
        <f t="shared" ref="P85:S85" si="65">P56*P95</f>
        <v>0</v>
      </c>
      <c r="Q85" s="95">
        <f t="shared" si="65"/>
        <v>0</v>
      </c>
      <c r="R85" s="95">
        <f t="shared" si="65"/>
        <v>0</v>
      </c>
      <c r="S85" s="131">
        <f t="shared" si="65"/>
        <v>0</v>
      </c>
      <c r="T85" s="95">
        <f t="shared" si="64"/>
        <v>-2421.6350400000001</v>
      </c>
      <c r="U85" s="95">
        <f t="shared" si="64"/>
        <v>-2408.31604728</v>
      </c>
      <c r="V85" s="95">
        <f t="shared" si="64"/>
        <v>-2393.4956408352</v>
      </c>
      <c r="W85" s="95">
        <f t="shared" si="64"/>
        <v>-2377.119091713696</v>
      </c>
      <c r="X85" s="95">
        <f t="shared" si="64"/>
        <v>-2359.130082370998</v>
      </c>
      <c r="Y85" s="95"/>
    </row>
    <row r="86" spans="2:26" hidden="1" outlineLevel="1" x14ac:dyDescent="0.25">
      <c r="B86" s="97" t="s">
        <v>104</v>
      </c>
      <c r="C86" s="95"/>
      <c r="D86" s="95">
        <v>-3377.7962559000016</v>
      </c>
      <c r="E86" s="150">
        <v>-3924.8874792999986</v>
      </c>
      <c r="F86" s="161"/>
      <c r="G86" s="150"/>
      <c r="H86" s="150"/>
      <c r="I86" s="131"/>
      <c r="J86" s="150">
        <v>-3424.7365263759566</v>
      </c>
      <c r="K86" s="161"/>
      <c r="L86" s="95"/>
      <c r="M86" s="95"/>
      <c r="N86" s="131"/>
      <c r="O86" s="131">
        <f t="shared" ref="O86:X86" si="66">O56*(1-O95)</f>
        <v>-3561.2280000000001</v>
      </c>
      <c r="P86" s="95">
        <f t="shared" ref="P86:S86" si="67">P56*(1-P95)</f>
        <v>0</v>
      </c>
      <c r="Q86" s="95">
        <f t="shared" si="67"/>
        <v>0</v>
      </c>
      <c r="R86" s="95">
        <f t="shared" si="67"/>
        <v>0</v>
      </c>
      <c r="S86" s="131">
        <f t="shared" si="67"/>
        <v>0</v>
      </c>
      <c r="T86" s="95">
        <f t="shared" si="66"/>
        <v>-3632.4525599999997</v>
      </c>
      <c r="U86" s="95">
        <f t="shared" si="66"/>
        <v>-3766.8533047199999</v>
      </c>
      <c r="V86" s="95">
        <f t="shared" si="66"/>
        <v>-3905.1770982048001</v>
      </c>
      <c r="W86" s="95">
        <f t="shared" si="66"/>
        <v>-4047.5271021071044</v>
      </c>
      <c r="X86" s="95">
        <f t="shared" si="66"/>
        <v>-4194.0090353262185</v>
      </c>
      <c r="Y86" s="95"/>
    </row>
    <row r="87" spans="2:26" hidden="1" outlineLevel="1" x14ac:dyDescent="0.25">
      <c r="B87" s="97" t="s">
        <v>135</v>
      </c>
      <c r="C87" s="95"/>
      <c r="D87" s="95">
        <v>4330.0619999999999</v>
      </c>
      <c r="E87" s="150">
        <v>4477.4930000000004</v>
      </c>
      <c r="F87" s="161"/>
      <c r="G87" s="150"/>
      <c r="H87" s="150"/>
      <c r="I87" s="131"/>
      <c r="J87" s="150">
        <v>4788.4489999999996</v>
      </c>
      <c r="K87" s="161"/>
      <c r="L87" s="95"/>
      <c r="M87" s="95"/>
      <c r="N87" s="131"/>
      <c r="O87" s="131">
        <f t="shared" ref="O87:X87" si="68">SUM(O82:O86)</f>
        <v>5027.2763503999986</v>
      </c>
      <c r="P87" s="95">
        <f t="shared" ref="P87:S87" si="69">SUM(P82:P86)</f>
        <v>42.599999999999994</v>
      </c>
      <c r="Q87" s="95">
        <f t="shared" si="69"/>
        <v>42.600000000000023</v>
      </c>
      <c r="R87" s="95">
        <f t="shared" si="69"/>
        <v>42.600000000000023</v>
      </c>
      <c r="S87" s="131">
        <f t="shared" si="69"/>
        <v>42.600000000000023</v>
      </c>
      <c r="T87" s="95">
        <f t="shared" si="68"/>
        <v>5448.3887503999995</v>
      </c>
      <c r="U87" s="95">
        <f t="shared" si="68"/>
        <v>5791.0193983999998</v>
      </c>
      <c r="V87" s="95">
        <f t="shared" si="68"/>
        <v>6052.7466593600002</v>
      </c>
      <c r="W87" s="95">
        <f t="shared" si="68"/>
        <v>6231.1004655392007</v>
      </c>
      <c r="X87" s="95">
        <f t="shared" si="68"/>
        <v>6323.5613478419855</v>
      </c>
      <c r="Y87" s="95"/>
    </row>
    <row r="88" spans="2:26" s="95" customFormat="1" ht="15.75" hidden="1" outlineLevel="1" thickBot="1" x14ac:dyDescent="0.3">
      <c r="B88" s="333"/>
      <c r="C88" s="334"/>
      <c r="D88" s="334"/>
      <c r="E88" s="334"/>
      <c r="F88" s="335"/>
      <c r="G88" s="334"/>
      <c r="H88" s="334"/>
      <c r="I88" s="336"/>
      <c r="J88" s="334"/>
      <c r="K88" s="335"/>
      <c r="L88" s="334"/>
      <c r="M88" s="334"/>
      <c r="N88" s="336"/>
      <c r="O88" s="336"/>
      <c r="P88" s="334"/>
      <c r="Q88" s="334"/>
      <c r="R88" s="98"/>
      <c r="S88" s="131"/>
      <c r="T88" s="334"/>
      <c r="U88" s="334"/>
      <c r="V88" s="334"/>
      <c r="W88" s="334"/>
      <c r="X88" s="334"/>
    </row>
    <row r="89" spans="2:26" s="95" customFormat="1" collapsed="1" x14ac:dyDescent="0.25">
      <c r="B89" s="103"/>
      <c r="C89" s="96"/>
      <c r="D89" s="96"/>
      <c r="E89" s="98"/>
      <c r="F89" s="155"/>
      <c r="G89" s="98"/>
      <c r="H89" s="98"/>
      <c r="I89" s="127"/>
      <c r="J89" s="98"/>
      <c r="K89" s="155"/>
      <c r="L89" s="96"/>
      <c r="M89" s="96"/>
      <c r="N89" s="127"/>
      <c r="O89" s="127"/>
      <c r="P89" s="96"/>
      <c r="Q89" s="96"/>
      <c r="R89" s="96"/>
      <c r="S89" s="131"/>
      <c r="T89" s="96"/>
      <c r="U89" s="93"/>
      <c r="V89" s="96"/>
      <c r="W89" s="96"/>
      <c r="X89" s="96"/>
    </row>
    <row r="90" spans="2:26" s="95" customFormat="1" x14ac:dyDescent="0.25">
      <c r="B90" s="109" t="s">
        <v>242</v>
      </c>
      <c r="C90" s="96"/>
      <c r="D90" s="96"/>
      <c r="E90" s="98"/>
      <c r="F90" s="155"/>
      <c r="G90" s="98"/>
      <c r="H90" s="98"/>
      <c r="I90" s="127"/>
      <c r="J90" s="98"/>
      <c r="K90" s="155"/>
      <c r="L90" s="96"/>
      <c r="M90" s="96"/>
      <c r="N90" s="127"/>
      <c r="O90" s="127"/>
      <c r="P90" s="96"/>
      <c r="Q90" s="96"/>
      <c r="R90" s="96"/>
      <c r="S90" s="131"/>
      <c r="T90" s="96"/>
      <c r="U90" s="96"/>
      <c r="V90" s="96"/>
      <c r="W90" s="96"/>
      <c r="X90" s="96"/>
    </row>
    <row r="91" spans="2:26" x14ac:dyDescent="0.25">
      <c r="B91" s="78" t="s">
        <v>211</v>
      </c>
      <c r="C91" s="116">
        <v>20899.751</v>
      </c>
      <c r="D91" s="116">
        <v>22791.333500000001</v>
      </c>
      <c r="E91" s="116">
        <v>24880.89025</v>
      </c>
      <c r="F91" s="156">
        <v>25602.138999999999</v>
      </c>
      <c r="G91" s="116">
        <v>26005.690999999999</v>
      </c>
      <c r="H91" s="116">
        <v>26487.969000000001</v>
      </c>
      <c r="I91" s="134">
        <v>27021.501</v>
      </c>
      <c r="J91" s="116">
        <v>26279.325000000001</v>
      </c>
      <c r="K91" s="156">
        <v>27406</v>
      </c>
      <c r="L91" s="105">
        <v>28031</v>
      </c>
      <c r="M91" s="96">
        <f t="shared" ref="M91:X91" si="70">(M12+M9)/2</f>
        <v>28694</v>
      </c>
      <c r="N91" s="127">
        <f t="shared" si="70"/>
        <v>29277</v>
      </c>
      <c r="O91" s="127">
        <f t="shared" si="70"/>
        <v>28455.5435</v>
      </c>
      <c r="P91" s="96">
        <f t="shared" ref="P91:S91" si="71">(P12+P9)/2</f>
        <v>29762.5</v>
      </c>
      <c r="Q91" s="96">
        <v>30329</v>
      </c>
      <c r="R91" s="96">
        <v>30776</v>
      </c>
      <c r="S91" s="127">
        <f t="shared" si="71"/>
        <v>31258.2</v>
      </c>
      <c r="T91" s="96">
        <f t="shared" si="70"/>
        <v>30418.7</v>
      </c>
      <c r="U91" s="96">
        <f t="shared" si="70"/>
        <v>31901.974553754855</v>
      </c>
      <c r="V91" s="96">
        <f t="shared" si="70"/>
        <v>33107.2536717369</v>
      </c>
      <c r="W91" s="96">
        <f t="shared" si="70"/>
        <v>34080.950082115582</v>
      </c>
      <c r="X91" s="96">
        <f t="shared" si="70"/>
        <v>34851.349140347535</v>
      </c>
    </row>
    <row r="92" spans="2:26" x14ac:dyDescent="0.25">
      <c r="B92" s="38" t="s">
        <v>8</v>
      </c>
      <c r="C92" s="107">
        <v>12.29</v>
      </c>
      <c r="D92" s="107">
        <v>12.31</v>
      </c>
      <c r="E92" s="107">
        <v>12.35</v>
      </c>
      <c r="F92" s="157">
        <v>12.18</v>
      </c>
      <c r="G92" s="107">
        <v>12.36</v>
      </c>
      <c r="H92" s="107">
        <v>12.47</v>
      </c>
      <c r="I92" s="129">
        <v>12.49</v>
      </c>
      <c r="J92" s="107">
        <v>12.41</v>
      </c>
      <c r="K92" s="157">
        <v>12.26</v>
      </c>
      <c r="L92" s="108">
        <v>12.42</v>
      </c>
      <c r="M92" s="108">
        <v>12.67</v>
      </c>
      <c r="N92" s="129">
        <v>12.75</v>
      </c>
      <c r="O92" s="129">
        <v>12.53</v>
      </c>
      <c r="P92" s="442">
        <v>12.66</v>
      </c>
      <c r="Q92" s="442">
        <v>12.78</v>
      </c>
      <c r="R92" s="442">
        <v>13.04</v>
      </c>
      <c r="S92" s="442">
        <v>12.7</v>
      </c>
      <c r="T92" s="370">
        <f>Drivers!E38</f>
        <v>12.7</v>
      </c>
      <c r="U92" s="370">
        <f>Drivers!F38</f>
        <v>12.9</v>
      </c>
      <c r="V92" s="370">
        <f>Drivers!G38</f>
        <v>13.05</v>
      </c>
      <c r="W92" s="370">
        <f>Drivers!H38</f>
        <v>13.15</v>
      </c>
      <c r="X92" s="370">
        <f>Drivers!I38</f>
        <v>13.25</v>
      </c>
      <c r="Y92" s="68"/>
      <c r="Z92" s="9"/>
    </row>
    <row r="93" spans="2:26" x14ac:dyDescent="0.25">
      <c r="B93" s="38" t="s">
        <v>187</v>
      </c>
      <c r="C93" s="102">
        <v>1.9800000000000002E-2</v>
      </c>
      <c r="D93" s="102">
        <v>1.89E-2</v>
      </c>
      <c r="E93" s="153">
        <v>1.8700000000000001E-2</v>
      </c>
      <c r="F93" s="158">
        <v>1.9199999999999998E-2</v>
      </c>
      <c r="G93" s="153">
        <v>1.8200000000000001E-2</v>
      </c>
      <c r="H93" s="153">
        <v>1.9199999999999998E-2</v>
      </c>
      <c r="I93" s="146">
        <v>1.7999999999999999E-2</v>
      </c>
      <c r="J93" s="153">
        <v>1.8599999999999998E-2</v>
      </c>
      <c r="K93" s="158">
        <v>1.7999999999999999E-2</v>
      </c>
      <c r="L93" s="102">
        <v>1.6E-2</v>
      </c>
      <c r="M93" s="102">
        <v>1.9E-2</v>
      </c>
      <c r="N93" s="146">
        <v>1.9E-2</v>
      </c>
      <c r="O93" s="415">
        <v>1.7999999999999999E-2</v>
      </c>
      <c r="P93" s="443">
        <v>1.9E-2</v>
      </c>
      <c r="Q93" s="443">
        <v>1.7999999999999999E-2</v>
      </c>
      <c r="R93" s="443">
        <v>1.9E-2</v>
      </c>
      <c r="S93" s="443">
        <v>1.7999999999999999E-2</v>
      </c>
      <c r="T93" s="361">
        <f>Drivers!E26</f>
        <v>1.7999999999999999E-2</v>
      </c>
      <c r="U93" s="361">
        <f>Drivers!F26</f>
        <v>1.7999999999999999E-2</v>
      </c>
      <c r="V93" s="361">
        <f>Drivers!G26</f>
        <v>1.7999999999999999E-2</v>
      </c>
      <c r="W93" s="361">
        <f>Drivers!H26</f>
        <v>1.7999999999999999E-2</v>
      </c>
      <c r="X93" s="361">
        <f>Drivers!I26</f>
        <v>1.7999999999999999E-2</v>
      </c>
      <c r="Y93" s="68"/>
      <c r="Z93" s="9"/>
    </row>
    <row r="94" spans="2:26" x14ac:dyDescent="0.25">
      <c r="B94" s="38" t="s">
        <v>123</v>
      </c>
      <c r="C94" s="97"/>
      <c r="D94" s="93">
        <f>-D33/D37/12</f>
        <v>9.4995682494893301E-3</v>
      </c>
      <c r="E94" s="135">
        <f>-E33/E37/12</f>
        <v>1.2691384027703334E-2</v>
      </c>
      <c r="F94" s="160">
        <f>-F33/F37/3</f>
        <v>1.4697452405535667E-2</v>
      </c>
      <c r="G94" s="135">
        <f>-G33/G37/3</f>
        <v>1.4056190651719333E-2</v>
      </c>
      <c r="H94" s="135">
        <f>-H33/H37/3</f>
        <v>1.5407107884742378E-2</v>
      </c>
      <c r="I94" s="128">
        <f>-I33/I37/3</f>
        <v>1.4631483381555678E-2</v>
      </c>
      <c r="J94" s="135">
        <f>-J33/J37/12</f>
        <v>1.4370279073264368E-2</v>
      </c>
      <c r="K94" s="160">
        <f>-K33/K37/3</f>
        <v>1.4999692142659326E-2</v>
      </c>
      <c r="L94" s="93">
        <f>-L33/L37/3</f>
        <v>1.3237744010430619E-2</v>
      </c>
      <c r="M94" s="93">
        <f>-M33/M37/3</f>
        <v>1.3467539407306857E-2</v>
      </c>
      <c r="N94" s="128">
        <f>-N33/N37/3</f>
        <v>1.2902790671356981E-2</v>
      </c>
      <c r="O94" s="128">
        <f>-O33/O37/12</f>
        <v>1.3514937158662208E-2</v>
      </c>
      <c r="P94" s="443">
        <v>1.4E-2</v>
      </c>
      <c r="Q94" s="443">
        <v>1.4E-2</v>
      </c>
      <c r="R94" s="443">
        <v>1.4E-2</v>
      </c>
      <c r="S94" s="443">
        <v>1.4E-2</v>
      </c>
      <c r="T94" s="362">
        <f>Drivers!E32</f>
        <v>1.4E-2</v>
      </c>
      <c r="U94" s="362">
        <f>Drivers!F32</f>
        <v>1.4999999999999999E-2</v>
      </c>
      <c r="V94" s="362">
        <f>Drivers!G32</f>
        <v>1.6E-2</v>
      </c>
      <c r="W94" s="362">
        <f>Drivers!H32</f>
        <v>1.7000000000000001E-2</v>
      </c>
      <c r="X94" s="362">
        <f>Drivers!I32</f>
        <v>1.8000000000000002E-2</v>
      </c>
      <c r="Y94" s="68"/>
      <c r="Z94" s="9"/>
    </row>
    <row r="95" spans="2:26" s="93" customFormat="1" x14ac:dyDescent="0.25">
      <c r="B95" s="92" t="s">
        <v>61</v>
      </c>
      <c r="C95" s="104">
        <v>0.44600000000000001</v>
      </c>
      <c r="D95" s="104">
        <v>0.44500000000000001</v>
      </c>
      <c r="E95" s="135">
        <v>0.4375</v>
      </c>
      <c r="F95" s="160">
        <v>0.42</v>
      </c>
      <c r="G95" s="135">
        <v>0.42</v>
      </c>
      <c r="H95" s="135">
        <v>0.41</v>
      </c>
      <c r="I95" s="128">
        <v>0.41</v>
      </c>
      <c r="J95" s="135">
        <v>0.41299999999999998</v>
      </c>
      <c r="K95" s="160">
        <v>0.4</v>
      </c>
      <c r="L95" s="93">
        <v>0.41</v>
      </c>
      <c r="M95" s="99">
        <v>0.42</v>
      </c>
      <c r="N95" s="133">
        <v>0.39</v>
      </c>
      <c r="O95" s="128">
        <v>0.4</v>
      </c>
      <c r="P95" s="443">
        <v>0.38</v>
      </c>
      <c r="Q95" s="443">
        <v>0.4</v>
      </c>
      <c r="R95" s="443">
        <v>0.4</v>
      </c>
      <c r="S95" s="443">
        <v>0.4</v>
      </c>
      <c r="T95" s="362">
        <f>Drivers!E14</f>
        <v>0.4</v>
      </c>
      <c r="U95" s="362">
        <f>Drivers!F14</f>
        <v>0.39</v>
      </c>
      <c r="V95" s="362">
        <f>Drivers!G14</f>
        <v>0.38</v>
      </c>
      <c r="W95" s="362">
        <f>Drivers!H14</f>
        <v>0.37</v>
      </c>
      <c r="X95" s="362">
        <f>Drivers!I14</f>
        <v>0.36</v>
      </c>
      <c r="Y95" s="135"/>
      <c r="Z95" s="135"/>
    </row>
    <row r="96" spans="2:26" s="93" customFormat="1" x14ac:dyDescent="0.25">
      <c r="B96" s="92" t="s">
        <v>189</v>
      </c>
      <c r="C96" s="104">
        <v>0.34</v>
      </c>
      <c r="D96" s="104">
        <v>0.34</v>
      </c>
      <c r="E96" s="135">
        <v>0.33721377537870356</v>
      </c>
      <c r="F96" s="159">
        <v>0.33</v>
      </c>
      <c r="G96" s="154">
        <v>0.33</v>
      </c>
      <c r="H96" s="154">
        <v>0.33</v>
      </c>
      <c r="I96" s="133">
        <v>0.33</v>
      </c>
      <c r="J96" s="135">
        <f>I96</f>
        <v>0.33</v>
      </c>
      <c r="K96" s="159">
        <v>0.33</v>
      </c>
      <c r="L96" s="99">
        <v>0.33</v>
      </c>
      <c r="M96" s="99">
        <v>0.33</v>
      </c>
      <c r="N96" s="133">
        <v>0.33</v>
      </c>
      <c r="O96" s="128">
        <f>N96</f>
        <v>0.33</v>
      </c>
      <c r="P96" s="444">
        <v>0.32</v>
      </c>
      <c r="Q96" s="444">
        <v>0.32</v>
      </c>
      <c r="R96" s="444">
        <v>0.32</v>
      </c>
      <c r="S96" s="444">
        <v>0.32</v>
      </c>
      <c r="T96" s="362">
        <f>Drivers!E20</f>
        <v>0.32</v>
      </c>
      <c r="U96" s="362">
        <f>Drivers!F20</f>
        <v>0.31</v>
      </c>
      <c r="V96" s="362">
        <f>Drivers!G20</f>
        <v>0.3</v>
      </c>
      <c r="W96" s="362">
        <f>Drivers!H20</f>
        <v>0.28999999999999998</v>
      </c>
      <c r="X96" s="362">
        <f>Drivers!I20</f>
        <v>0.28000000000000003</v>
      </c>
      <c r="Y96" s="135"/>
      <c r="Z96" s="135"/>
    </row>
    <row r="97" spans="1:29" x14ac:dyDescent="0.25">
      <c r="B97" s="38" t="s">
        <v>281</v>
      </c>
      <c r="C97" s="105">
        <v>40200</v>
      </c>
      <c r="D97" s="105">
        <v>49500</v>
      </c>
      <c r="E97" s="116">
        <v>59696.872420956963</v>
      </c>
      <c r="F97" s="156">
        <v>62123.741500075412</v>
      </c>
      <c r="G97" s="116">
        <v>65046.062793634854</v>
      </c>
      <c r="H97" s="116">
        <v>67882.559859654924</v>
      </c>
      <c r="I97" s="134">
        <v>70662.517243999435</v>
      </c>
      <c r="J97" s="116">
        <v>70662.517243999449</v>
      </c>
      <c r="K97" s="156">
        <v>73206.014473493837</v>
      </c>
      <c r="L97" s="105">
        <v>76173.325628315681</v>
      </c>
      <c r="M97" s="96">
        <f>(M101*M104)+L97</f>
        <v>79290.825628315681</v>
      </c>
      <c r="N97" s="127">
        <f>(N101*N104)+M97</f>
        <v>82575.825628315681</v>
      </c>
      <c r="O97" s="127">
        <f>N97</f>
        <v>82575.825628315681</v>
      </c>
      <c r="P97" s="96">
        <f>(P101*P104)+K97</f>
        <v>86163.514473493837</v>
      </c>
      <c r="Q97" s="96">
        <f>(Q101*Q104)+P97</f>
        <v>99121.014473493837</v>
      </c>
      <c r="R97" s="96">
        <f>(R101*R104)+Q97</f>
        <v>112078.51447349384</v>
      </c>
      <c r="S97" s="127">
        <f>(S101*S104)+R97</f>
        <v>125036.01447349384</v>
      </c>
      <c r="T97" s="96">
        <f>(T101*T104)+O97</f>
        <v>95533.325628315681</v>
      </c>
      <c r="U97" s="96">
        <f>(U101*U104)+T97</f>
        <v>108668.32562831568</v>
      </c>
      <c r="V97" s="96">
        <f>(V101*V104)+U97</f>
        <v>121980.82562831568</v>
      </c>
      <c r="W97" s="96">
        <f>(W101*W104)+V97</f>
        <v>135293.32562831568</v>
      </c>
      <c r="X97" s="96">
        <f>(X101*X104)+W97</f>
        <v>148605.82562831568</v>
      </c>
    </row>
    <row r="98" spans="1:29" x14ac:dyDescent="0.25">
      <c r="B98" s="113" t="s">
        <v>284</v>
      </c>
      <c r="C98" s="105"/>
      <c r="D98" s="295">
        <f>D97/C97-1</f>
        <v>0.23134328358208944</v>
      </c>
      <c r="E98" s="295">
        <f>E97/D97-1</f>
        <v>0.20599742264559517</v>
      </c>
      <c r="F98" s="163"/>
      <c r="G98" s="152"/>
      <c r="H98" s="152"/>
      <c r="I98" s="147"/>
      <c r="J98" s="295">
        <f>J97/E97-1</f>
        <v>0.18368876589911487</v>
      </c>
      <c r="K98" s="163"/>
      <c r="L98" s="295"/>
      <c r="M98" s="295"/>
      <c r="N98" s="147"/>
      <c r="O98" s="147">
        <f>O97/J97-1</f>
        <v>0.16859445217864621</v>
      </c>
      <c r="P98" s="295">
        <f>P97/K97-1</f>
        <v>0.17700048408852531</v>
      </c>
      <c r="Q98" s="295">
        <f t="shared" ref="Q98:S98" si="72">Q97/L97-1</f>
        <v>0.30125622921008288</v>
      </c>
      <c r="R98" s="295">
        <f t="shared" si="72"/>
        <v>0.4135117598456346</v>
      </c>
      <c r="S98" s="147">
        <f t="shared" si="72"/>
        <v>0.51419635858437407</v>
      </c>
      <c r="T98" s="295">
        <f>T97/O97-1</f>
        <v>0.15691638444311007</v>
      </c>
      <c r="U98" s="295">
        <f>U97/T97-1</f>
        <v>0.13749128813021083</v>
      </c>
      <c r="V98" s="295">
        <f>V97/U97-1</f>
        <v>0.12250579847464915</v>
      </c>
      <c r="W98" s="295">
        <f>W97/V97-1</f>
        <v>0.10913600503544818</v>
      </c>
      <c r="X98" s="295">
        <f>X97/W97-1</f>
        <v>9.8397315153393006E-2</v>
      </c>
    </row>
    <row r="99" spans="1:29" x14ac:dyDescent="0.25">
      <c r="B99" s="38" t="s">
        <v>280</v>
      </c>
      <c r="C99" s="105"/>
      <c r="D99" s="105">
        <v>5713.8274834572057</v>
      </c>
      <c r="E99" s="116">
        <v>7090.5871275594973</v>
      </c>
      <c r="F99" s="156">
        <v>2017.6539180670989</v>
      </c>
      <c r="G99" s="116">
        <v>2106.2498836145764</v>
      </c>
      <c r="H99" s="116">
        <v>2201.630312695112</v>
      </c>
      <c r="I99" s="134">
        <v>2294.6528395292753</v>
      </c>
      <c r="J99" s="116">
        <v>8620.1869539060626</v>
      </c>
      <c r="K99" s="156">
        <v>2427.7814727326995</v>
      </c>
      <c r="L99" s="105">
        <v>2520.7763642180362</v>
      </c>
      <c r="M99" s="96">
        <v>2618.0670615042718</v>
      </c>
      <c r="N99" s="127">
        <v>2710.9008542142642</v>
      </c>
      <c r="O99" s="127">
        <f>SUM(K99:N99)</f>
        <v>10277.525752669271</v>
      </c>
      <c r="P99" s="96">
        <f>P100*P97</f>
        <v>11847.483240105403</v>
      </c>
      <c r="Q99" s="96">
        <f t="shared" ref="Q99:S99" si="73">Q100*Q97</f>
        <v>0</v>
      </c>
      <c r="R99" s="96">
        <f t="shared" si="73"/>
        <v>0</v>
      </c>
      <c r="S99" s="127">
        <f t="shared" si="73"/>
        <v>0</v>
      </c>
      <c r="T99" s="96">
        <f>T100*T97</f>
        <v>13135.832273893408</v>
      </c>
      <c r="U99" s="96">
        <f>U100*U97</f>
        <v>15213.565587964196</v>
      </c>
      <c r="V99" s="96">
        <f>V100*V97</f>
        <v>17382.267652034985</v>
      </c>
      <c r="W99" s="96">
        <f>W100*W97</f>
        <v>19617.532216105777</v>
      </c>
      <c r="X99" s="96">
        <f>X100*X97</f>
        <v>21919.359280176566</v>
      </c>
    </row>
    <row r="100" spans="1:29" x14ac:dyDescent="0.25">
      <c r="B100" s="113" t="s">
        <v>119</v>
      </c>
      <c r="C100" s="105"/>
      <c r="D100" s="295">
        <f t="shared" ref="D100:I100" si="74">D99/D97</f>
        <v>0.11543085825166072</v>
      </c>
      <c r="E100" s="152">
        <f t="shared" si="74"/>
        <v>0.11877652613958888</v>
      </c>
      <c r="F100" s="163">
        <f t="shared" si="74"/>
        <v>3.2477984573170783E-2</v>
      </c>
      <c r="G100" s="152">
        <f t="shared" si="74"/>
        <v>3.2380897369558938E-2</v>
      </c>
      <c r="H100" s="152">
        <f t="shared" si="74"/>
        <v>3.243293000804498E-2</v>
      </c>
      <c r="I100" s="147">
        <f t="shared" si="74"/>
        <v>3.2473409227777465E-2</v>
      </c>
      <c r="J100" s="152">
        <f>J99/J97</f>
        <v>0.12199094074359593</v>
      </c>
      <c r="K100" s="159">
        <v>3.4000000000000002E-2</v>
      </c>
      <c r="L100" s="99">
        <v>3.4000000000000002E-2</v>
      </c>
      <c r="M100" s="93">
        <v>3.4000000000000002E-2</v>
      </c>
      <c r="N100" s="128">
        <v>3.4000000000000002E-2</v>
      </c>
      <c r="O100" s="133">
        <f>O99/O97</f>
        <v>0.12446167718539958</v>
      </c>
      <c r="P100" s="99">
        <v>0.13750000000000001</v>
      </c>
      <c r="Q100" s="99"/>
      <c r="R100" s="99"/>
      <c r="S100" s="69"/>
      <c r="T100" s="99">
        <v>0.13750000000000001</v>
      </c>
      <c r="U100" s="99">
        <v>0.14000000000000001</v>
      </c>
      <c r="V100" s="99">
        <v>0.14250000000000002</v>
      </c>
      <c r="W100" s="99">
        <v>0.14500000000000002</v>
      </c>
      <c r="X100" s="99">
        <v>0.14750000000000002</v>
      </c>
      <c r="Y100" s="294"/>
    </row>
    <row r="101" spans="1:29" x14ac:dyDescent="0.25">
      <c r="B101" s="38" t="s">
        <v>234</v>
      </c>
      <c r="C101" s="105">
        <v>12734</v>
      </c>
      <c r="D101" s="105">
        <v>14440</v>
      </c>
      <c r="E101" s="116">
        <v>15531.999999999998</v>
      </c>
      <c r="F101" s="156">
        <v>3728.0000000000023</v>
      </c>
      <c r="G101" s="116">
        <v>4397.0000000000118</v>
      </c>
      <c r="H101" s="116">
        <v>4246.0000000000018</v>
      </c>
      <c r="I101" s="134">
        <v>4064.9999999999991</v>
      </c>
      <c r="J101" s="116">
        <v>16436.000000000015</v>
      </c>
      <c r="K101" s="156">
        <v>3936.9959999999951</v>
      </c>
      <c r="L101" s="105">
        <v>4300</v>
      </c>
      <c r="M101" s="105">
        <v>4300</v>
      </c>
      <c r="N101" s="134">
        <v>4500</v>
      </c>
      <c r="O101" s="134">
        <f>SUM(K101:N101)</f>
        <v>17036.995999999996</v>
      </c>
      <c r="P101" s="446">
        <v>17750</v>
      </c>
      <c r="Q101" s="446">
        <v>17750</v>
      </c>
      <c r="R101" s="446">
        <v>17750</v>
      </c>
      <c r="S101" s="446">
        <v>17750</v>
      </c>
      <c r="T101" s="363">
        <f>Drivers!E8</f>
        <v>17750</v>
      </c>
      <c r="U101" s="363">
        <f>Drivers!F8</f>
        <v>17750</v>
      </c>
      <c r="V101" s="363">
        <f>Drivers!G8</f>
        <v>17750</v>
      </c>
      <c r="W101" s="363">
        <f>Drivers!H8</f>
        <v>17750</v>
      </c>
      <c r="X101" s="363">
        <f>Drivers!I8</f>
        <v>17750</v>
      </c>
      <c r="Y101" s="68"/>
    </row>
    <row r="102" spans="1:29" x14ac:dyDescent="0.25">
      <c r="B102" s="113" t="s">
        <v>279</v>
      </c>
      <c r="C102" s="105"/>
      <c r="D102" s="105"/>
      <c r="E102" s="116"/>
      <c r="F102" s="156"/>
      <c r="G102" s="116"/>
      <c r="H102" s="116"/>
      <c r="I102" s="134"/>
      <c r="J102" s="116">
        <f>J101*0.48</f>
        <v>7889.280000000007</v>
      </c>
      <c r="K102" s="156">
        <f t="shared" ref="K102:X102" si="75">K101*0.48</f>
        <v>1889.7580799999976</v>
      </c>
      <c r="L102" s="105">
        <f t="shared" si="75"/>
        <v>2064</v>
      </c>
      <c r="M102" s="105">
        <f t="shared" si="75"/>
        <v>2064</v>
      </c>
      <c r="N102" s="134">
        <f t="shared" si="75"/>
        <v>2160</v>
      </c>
      <c r="O102" s="134">
        <f t="shared" si="75"/>
        <v>8177.7580799999978</v>
      </c>
      <c r="P102" s="447">
        <v>8520</v>
      </c>
      <c r="Q102" s="447">
        <v>8520</v>
      </c>
      <c r="R102" s="447">
        <v>8520</v>
      </c>
      <c r="S102" s="447">
        <v>8520</v>
      </c>
      <c r="T102" s="363">
        <f t="shared" si="75"/>
        <v>8520</v>
      </c>
      <c r="U102" s="363">
        <f t="shared" si="75"/>
        <v>8520</v>
      </c>
      <c r="V102" s="363">
        <f t="shared" si="75"/>
        <v>8520</v>
      </c>
      <c r="W102" s="363">
        <f t="shared" si="75"/>
        <v>8520</v>
      </c>
      <c r="X102" s="363">
        <f t="shared" si="75"/>
        <v>8520</v>
      </c>
      <c r="Y102" s="68"/>
    </row>
    <row r="103" spans="1:29" x14ac:dyDescent="0.25">
      <c r="B103" s="113" t="s">
        <v>278</v>
      </c>
      <c r="C103" s="105"/>
      <c r="D103" s="105"/>
      <c r="E103" s="116"/>
      <c r="F103" s="156"/>
      <c r="G103" s="116"/>
      <c r="H103" s="116"/>
      <c r="I103" s="134"/>
      <c r="J103" s="116">
        <f>J101-J102</f>
        <v>8546.7200000000084</v>
      </c>
      <c r="K103" s="156">
        <f t="shared" ref="K103:X103" si="76">K101-K102</f>
        <v>2047.2379199999975</v>
      </c>
      <c r="L103" s="105">
        <f t="shared" si="76"/>
        <v>2236</v>
      </c>
      <c r="M103" s="105">
        <f t="shared" si="76"/>
        <v>2236</v>
      </c>
      <c r="N103" s="134">
        <f t="shared" si="76"/>
        <v>2340</v>
      </c>
      <c r="O103" s="134">
        <f t="shared" si="76"/>
        <v>8859.2379199999978</v>
      </c>
      <c r="P103" s="448">
        <v>9230</v>
      </c>
      <c r="Q103" s="448">
        <v>9230</v>
      </c>
      <c r="R103" s="448">
        <v>9230</v>
      </c>
      <c r="S103" s="448">
        <v>9230</v>
      </c>
      <c r="T103" s="363">
        <f t="shared" si="76"/>
        <v>9230</v>
      </c>
      <c r="U103" s="363">
        <f t="shared" si="76"/>
        <v>9230</v>
      </c>
      <c r="V103" s="363">
        <f t="shared" si="76"/>
        <v>9230</v>
      </c>
      <c r="W103" s="363">
        <f t="shared" si="76"/>
        <v>9230</v>
      </c>
      <c r="X103" s="363">
        <f t="shared" si="76"/>
        <v>9230</v>
      </c>
      <c r="Y103" s="68"/>
    </row>
    <row r="104" spans="1:29" x14ac:dyDescent="0.25">
      <c r="B104" s="38" t="s">
        <v>47</v>
      </c>
      <c r="C104" s="99">
        <v>0.66</v>
      </c>
      <c r="D104" s="99">
        <v>0.67</v>
      </c>
      <c r="E104" s="154">
        <v>0.69</v>
      </c>
      <c r="F104" s="159">
        <v>0.7</v>
      </c>
      <c r="G104" s="154">
        <v>0.70799999999999996</v>
      </c>
      <c r="H104" s="154">
        <v>0.71499999999999997</v>
      </c>
      <c r="I104" s="133">
        <v>0.73499999999999999</v>
      </c>
      <c r="J104" s="154">
        <v>0.71467151375030413</v>
      </c>
      <c r="K104" s="159">
        <v>0.71</v>
      </c>
      <c r="L104" s="99">
        <v>0.72</v>
      </c>
      <c r="M104" s="99">
        <f>L104+0.005</f>
        <v>0.72499999999999998</v>
      </c>
      <c r="N104" s="133">
        <f>M104+0.005</f>
        <v>0.73</v>
      </c>
      <c r="O104" s="133">
        <f>AVERAGE(K104:N104)</f>
        <v>0.72124999999999995</v>
      </c>
      <c r="P104" s="99">
        <v>0.73</v>
      </c>
      <c r="Q104" s="99">
        <v>0.73</v>
      </c>
      <c r="R104" s="99">
        <v>0.73</v>
      </c>
      <c r="S104" s="133">
        <v>0.73</v>
      </c>
      <c r="T104" s="99">
        <v>0.73</v>
      </c>
      <c r="U104" s="99">
        <v>0.74</v>
      </c>
      <c r="V104" s="99">
        <v>0.75</v>
      </c>
      <c r="W104" s="99">
        <f>V104</f>
        <v>0.75</v>
      </c>
      <c r="X104" s="99">
        <f>W104</f>
        <v>0.75</v>
      </c>
    </row>
    <row r="105" spans="1:29" s="95" customFormat="1" x14ac:dyDescent="0.25">
      <c r="B105" s="100" t="s">
        <v>282</v>
      </c>
      <c r="D105" s="348">
        <v>40516.935000000005</v>
      </c>
      <c r="E105" s="349">
        <v>41732.443050000002</v>
      </c>
      <c r="F105" s="349">
        <v>7321.2231595000003</v>
      </c>
      <c r="G105" s="349">
        <v>13245.131746300001</v>
      </c>
      <c r="H105" s="349">
        <v>12711.685764700002</v>
      </c>
      <c r="I105" s="349">
        <v>9706.3756710000016</v>
      </c>
      <c r="J105" s="349">
        <v>42984.416341500008</v>
      </c>
      <c r="K105" s="349">
        <v>7467.6476226900004</v>
      </c>
      <c r="L105" s="348">
        <v>13510.034381226002</v>
      </c>
      <c r="M105" s="348">
        <v>12965.919479994001</v>
      </c>
      <c r="N105" s="350">
        <f>M105</f>
        <v>12965.919479994001</v>
      </c>
      <c r="O105" s="416">
        <f>J105*(1+O106)</f>
        <v>43844.104668330008</v>
      </c>
      <c r="P105" s="351">
        <f>O105*(1+P106)</f>
        <v>44063.325191671654</v>
      </c>
      <c r="Q105" s="351">
        <f>P105*(1+Q106)</f>
        <v>44283.641817630007</v>
      </c>
      <c r="R105" s="351">
        <f>Q105*(1+R106)</f>
        <v>44505.060026718151</v>
      </c>
      <c r="S105" s="416">
        <f>R105*(1+S106)</f>
        <v>44727.585326851739</v>
      </c>
      <c r="T105" s="351">
        <f>S105</f>
        <v>44727.585326851739</v>
      </c>
      <c r="U105" s="351">
        <f>T105*(1+U106)</f>
        <v>45622.137033388775</v>
      </c>
      <c r="V105" s="351">
        <f>U105*(1+V106)</f>
        <v>46534.579774056554</v>
      </c>
      <c r="W105" s="351">
        <f>V105*(1+W106)</f>
        <v>47465.271369537688</v>
      </c>
      <c r="X105" s="351">
        <f>W105*(1+X106)</f>
        <v>48414.576796928442</v>
      </c>
    </row>
    <row r="106" spans="1:29" x14ac:dyDescent="0.25">
      <c r="B106" s="113" t="s">
        <v>284</v>
      </c>
      <c r="C106" s="99"/>
      <c r="D106" s="99"/>
      <c r="E106" s="154">
        <f>E105/D105-1</f>
        <v>2.9999999999999805E-2</v>
      </c>
      <c r="F106" s="159">
        <v>0.03</v>
      </c>
      <c r="G106" s="154">
        <v>0.03</v>
      </c>
      <c r="H106" s="154">
        <v>0.03</v>
      </c>
      <c r="I106" s="133">
        <v>0.03</v>
      </c>
      <c r="J106" s="154">
        <f>J105/E105-1</f>
        <v>3.0000000000000249E-2</v>
      </c>
      <c r="K106" s="159">
        <f>K105/F105-1</f>
        <v>2.0000000000000018E-2</v>
      </c>
      <c r="L106" s="99">
        <f>L105/G105-1</f>
        <v>2.0000000000000018E-2</v>
      </c>
      <c r="M106" s="99">
        <f>M105/H105-1</f>
        <v>2.0000000000000018E-2</v>
      </c>
      <c r="N106" s="133">
        <f>N105/I105-1</f>
        <v>0.33581471802421836</v>
      </c>
      <c r="O106" s="133">
        <v>0.02</v>
      </c>
      <c r="P106" s="99">
        <v>5.0000000000000001E-3</v>
      </c>
      <c r="Q106" s="99">
        <v>5.0000000000000001E-3</v>
      </c>
      <c r="R106" s="99">
        <v>5.0000000000000001E-3</v>
      </c>
      <c r="S106" s="133">
        <v>5.0000000000000001E-3</v>
      </c>
      <c r="T106" s="99">
        <f>O106</f>
        <v>0.02</v>
      </c>
      <c r="U106" s="99">
        <f>T106</f>
        <v>0.02</v>
      </c>
      <c r="V106" s="99">
        <f>U106</f>
        <v>0.02</v>
      </c>
      <c r="W106" s="99">
        <f>V106</f>
        <v>0.02</v>
      </c>
      <c r="X106" s="99">
        <f>W106</f>
        <v>0.02</v>
      </c>
    </row>
    <row r="107" spans="1:29" x14ac:dyDescent="0.25">
      <c r="B107" s="113" t="s">
        <v>283</v>
      </c>
      <c r="C107" s="99"/>
      <c r="D107" s="99"/>
      <c r="E107" s="152">
        <f t="shared" ref="E107:X107" si="77">E46/E105</f>
        <v>7.5023761839906805E-2</v>
      </c>
      <c r="F107" s="163">
        <f t="shared" si="77"/>
        <v>0.12382379021920194</v>
      </c>
      <c r="G107" s="152">
        <f t="shared" si="77"/>
        <v>6.9575141599615267E-2</v>
      </c>
      <c r="H107" s="152">
        <f t="shared" si="77"/>
        <v>7.5136366277641808E-2</v>
      </c>
      <c r="I107" s="147">
        <f t="shared" si="77"/>
        <v>9.6334507784069087E-2</v>
      </c>
      <c r="J107" s="152">
        <f t="shared" si="77"/>
        <v>8.6502100857195272E-2</v>
      </c>
      <c r="K107" s="163">
        <f t="shared" si="77"/>
        <v>0.1539101548336671</v>
      </c>
      <c r="L107" s="295">
        <f t="shared" si="77"/>
        <v>8.630000448814569E-2</v>
      </c>
      <c r="M107" s="295">
        <f t="shared" si="77"/>
        <v>8.992158477721364E-2</v>
      </c>
      <c r="N107" s="147">
        <f t="shared" si="77"/>
        <v>8.992158477721364E-2</v>
      </c>
      <c r="O107" s="147">
        <f t="shared" si="77"/>
        <v>0.10599132814343105</v>
      </c>
      <c r="P107" s="295">
        <f t="shared" ref="P107" si="78">P46/P105</f>
        <v>0.10546400810291648</v>
      </c>
      <c r="Q107" s="295"/>
      <c r="R107" s="295"/>
      <c r="S107" s="69"/>
      <c r="T107" s="295">
        <f t="shared" si="77"/>
        <v>0.14156319760456157</v>
      </c>
      <c r="U107" s="295">
        <f t="shared" si="77"/>
        <v>0.14283372993314533</v>
      </c>
      <c r="V107" s="295">
        <f t="shared" si="77"/>
        <v>0.14400001101408585</v>
      </c>
      <c r="W107" s="295">
        <f t="shared" si="77"/>
        <v>0.14506564065320052</v>
      </c>
      <c r="X107" s="295">
        <f t="shared" si="77"/>
        <v>0.14603411756866896</v>
      </c>
    </row>
    <row r="108" spans="1:29" x14ac:dyDescent="0.25">
      <c r="E108" s="68"/>
      <c r="F108" s="66"/>
      <c r="G108" s="68"/>
      <c r="H108" s="106"/>
      <c r="I108" s="69"/>
      <c r="J108" s="68"/>
      <c r="K108" s="72"/>
      <c r="L108" s="93"/>
      <c r="O108" s="69"/>
      <c r="S108" s="69"/>
    </row>
    <row r="109" spans="1:29" x14ac:dyDescent="0.25">
      <c r="A109" s="38" t="s">
        <v>226</v>
      </c>
      <c r="B109" s="117" t="s">
        <v>213</v>
      </c>
      <c r="C109" s="118"/>
      <c r="D109" s="118"/>
      <c r="E109" s="118"/>
      <c r="F109" s="118"/>
      <c r="G109" s="118"/>
      <c r="H109" s="118"/>
      <c r="I109" s="118"/>
      <c r="J109" s="118"/>
      <c r="K109" s="315"/>
      <c r="L109" s="118"/>
      <c r="M109" s="118"/>
      <c r="N109" s="118"/>
      <c r="O109" s="417"/>
      <c r="P109" s="118"/>
      <c r="Q109" s="118"/>
      <c r="R109" s="118"/>
      <c r="S109" s="417"/>
      <c r="T109" s="118"/>
      <c r="U109" s="119"/>
      <c r="V109" s="119"/>
      <c r="W109" s="119"/>
      <c r="X109" s="119"/>
    </row>
    <row r="110" spans="1:29" x14ac:dyDescent="0.25">
      <c r="B110" s="97" t="s">
        <v>193</v>
      </c>
      <c r="E110" s="68"/>
      <c r="F110" s="63"/>
      <c r="G110" s="64"/>
      <c r="H110" s="64"/>
      <c r="I110" s="65"/>
      <c r="J110" s="68"/>
      <c r="K110" s="63"/>
      <c r="O110" s="69"/>
      <c r="S110" s="69"/>
    </row>
    <row r="111" spans="1:29" x14ac:dyDescent="0.25">
      <c r="B111" s="113" t="s">
        <v>194</v>
      </c>
      <c r="C111" s="95">
        <v>2599.0720000000006</v>
      </c>
      <c r="D111" s="95">
        <v>2962.7730000000001</v>
      </c>
      <c r="E111" s="150">
        <v>3284.6600000000003</v>
      </c>
      <c r="F111" s="161">
        <v>851.43600000000004</v>
      </c>
      <c r="G111" s="150">
        <v>878.16</v>
      </c>
      <c r="H111" s="150">
        <v>902.51400000000001</v>
      </c>
      <c r="I111" s="131">
        <v>922.19200000000001</v>
      </c>
      <c r="J111" s="150">
        <v>3554.3019999999997</v>
      </c>
      <c r="K111" s="161">
        <v>911.47</v>
      </c>
      <c r="L111" s="95">
        <v>940.07</v>
      </c>
      <c r="M111" s="95">
        <v>974.47</v>
      </c>
      <c r="N111" s="131">
        <v>998.77499999999998</v>
      </c>
      <c r="O111" s="131">
        <f>SUM(K111:N111)</f>
        <v>3824.7850000000003</v>
      </c>
      <c r="P111" s="95">
        <v>1009.682</v>
      </c>
      <c r="Q111" s="95">
        <v>1033.2840000000001</v>
      </c>
      <c r="R111" s="95">
        <v>1069.7460000000001</v>
      </c>
      <c r="S111" s="131">
        <f t="shared" ref="S111" si="79">(S91*S92*0.011)/4</f>
        <v>1091.6926349999999</v>
      </c>
      <c r="T111" s="95">
        <f>SUM(P111:S111)</f>
        <v>4204.4046350000008</v>
      </c>
      <c r="U111" s="95">
        <f>U91*U92*0.011</f>
        <v>4526.8901891778141</v>
      </c>
      <c r="V111" s="95">
        <f>V91*V92*0.011</f>
        <v>4752.5462645778325</v>
      </c>
      <c r="W111" s="95">
        <f>W91*W92*0.011</f>
        <v>4929.8094293780186</v>
      </c>
      <c r="X111" s="95">
        <f>X91*X92*0.011</f>
        <v>5079.584137205653</v>
      </c>
      <c r="Z111" t="s">
        <v>356</v>
      </c>
      <c r="AA111" s="38" t="s">
        <v>331</v>
      </c>
      <c r="AB111" s="38" t="s">
        <v>332</v>
      </c>
      <c r="AC111" s="38" t="s">
        <v>333</v>
      </c>
    </row>
    <row r="112" spans="1:29" x14ac:dyDescent="0.25">
      <c r="B112" s="113" t="s">
        <v>72</v>
      </c>
      <c r="C112" s="95">
        <v>71.050999999999988</v>
      </c>
      <c r="D112" s="95">
        <v>73.456000000000003</v>
      </c>
      <c r="E112" s="150">
        <v>80.397000000000006</v>
      </c>
      <c r="F112" s="161">
        <v>23.978000000000002</v>
      </c>
      <c r="G112" s="150">
        <v>27.616</v>
      </c>
      <c r="H112" s="150">
        <v>23.129000000000001</v>
      </c>
      <c r="I112" s="131">
        <v>29.937999999999999</v>
      </c>
      <c r="J112" s="150">
        <v>104.661</v>
      </c>
      <c r="K112" s="161">
        <v>24.841000000000001</v>
      </c>
      <c r="L112" s="95">
        <v>29.263000000000002</v>
      </c>
      <c r="M112" s="95">
        <v>25.875</v>
      </c>
      <c r="N112" s="131">
        <v>30.943999999999999</v>
      </c>
      <c r="O112" s="131">
        <f>SUM(K112:N112)</f>
        <v>110.923</v>
      </c>
      <c r="P112" s="95">
        <v>27.120999999999999</v>
      </c>
      <c r="Q112" s="95">
        <v>33.520000000000003</v>
      </c>
      <c r="R112" s="95">
        <v>31.306000000000001</v>
      </c>
      <c r="S112" s="131">
        <f>N112*1.04</f>
        <v>32.181759999999997</v>
      </c>
      <c r="T112" s="95">
        <f t="shared" ref="T112:T115" si="80">SUM(P112:S112)</f>
        <v>124.12876</v>
      </c>
      <c r="U112" s="95">
        <f>T112*1.05</f>
        <v>130.33519799999999</v>
      </c>
      <c r="V112" s="95">
        <f>U112*1.05</f>
        <v>136.8519579</v>
      </c>
      <c r="W112" s="95">
        <f>V112*1.05</f>
        <v>143.69455579500001</v>
      </c>
      <c r="X112" s="95">
        <f>W112*1.05</f>
        <v>150.87928358475003</v>
      </c>
      <c r="Y112" s="38" t="s">
        <v>334</v>
      </c>
      <c r="Z112" s="38">
        <v>1180</v>
      </c>
      <c r="AA112" s="38">
        <v>1220</v>
      </c>
      <c r="AB112" s="38">
        <v>1250</v>
      </c>
      <c r="AC112" s="38">
        <v>1270</v>
      </c>
    </row>
    <row r="113" spans="1:29" x14ac:dyDescent="0.25">
      <c r="B113" s="113" t="s">
        <v>114</v>
      </c>
      <c r="C113" s="95">
        <v>73.671999999999997</v>
      </c>
      <c r="D113" s="95">
        <v>82.37399999999991</v>
      </c>
      <c r="E113" s="150">
        <v>89.464000000000169</v>
      </c>
      <c r="F113" s="161">
        <v>22.214000000000055</v>
      </c>
      <c r="G113" s="150">
        <v>25.497999999999934</v>
      </c>
      <c r="H113" s="150">
        <v>25.300000000000068</v>
      </c>
      <c r="I113" s="131">
        <v>27.970000000000141</v>
      </c>
      <c r="J113" s="150">
        <v>100.9820000000002</v>
      </c>
      <c r="K113" s="161">
        <v>26.873000000000047</v>
      </c>
      <c r="L113" s="95">
        <v>28.83</v>
      </c>
      <c r="M113" s="95">
        <v>33.131</v>
      </c>
      <c r="N113" s="131">
        <v>33.448999999999998</v>
      </c>
      <c r="O113" s="131">
        <f>SUM(K113:N113)</f>
        <v>122.28300000000004</v>
      </c>
      <c r="P113" s="95">
        <v>31.541</v>
      </c>
      <c r="Q113" s="95">
        <v>27.858000000000001</v>
      </c>
      <c r="R113" s="95">
        <v>34.268000000000001</v>
      </c>
      <c r="S113" s="131">
        <f>N113*1.04</f>
        <v>34.786960000000001</v>
      </c>
      <c r="T113" s="95">
        <f t="shared" si="80"/>
        <v>128.45396</v>
      </c>
      <c r="U113" s="95">
        <f>T113*1.08</f>
        <v>138.73027680000001</v>
      </c>
      <c r="V113" s="95">
        <f>U113*1.08</f>
        <v>149.82869894400002</v>
      </c>
      <c r="W113" s="95">
        <f>V113*1.08</f>
        <v>161.81499485952003</v>
      </c>
      <c r="X113" s="95">
        <f>W113*1.08</f>
        <v>174.76019444828165</v>
      </c>
      <c r="Y113" s="38" t="s">
        <v>18</v>
      </c>
      <c r="Z113" s="38">
        <v>447</v>
      </c>
      <c r="AA113" s="38">
        <v>456</v>
      </c>
      <c r="AB113" s="38">
        <v>475</v>
      </c>
      <c r="AC113" s="38">
        <v>466</v>
      </c>
    </row>
    <row r="114" spans="1:29" x14ac:dyDescent="0.25">
      <c r="B114" s="113" t="s">
        <v>89</v>
      </c>
      <c r="C114" s="95">
        <v>281.63900000000001</v>
      </c>
      <c r="D114" s="95">
        <v>290.91800000000001</v>
      </c>
      <c r="E114" s="150">
        <v>351.82600000000002</v>
      </c>
      <c r="F114" s="161">
        <v>101.896</v>
      </c>
      <c r="G114" s="150">
        <v>105.884</v>
      </c>
      <c r="H114" s="150">
        <v>107.95700000000001</v>
      </c>
      <c r="I114" s="131">
        <v>112.66500000000001</v>
      </c>
      <c r="J114" s="150">
        <v>428.40200000000004</v>
      </c>
      <c r="K114" s="161">
        <v>119.619</v>
      </c>
      <c r="L114" s="95">
        <v>125</v>
      </c>
      <c r="M114" s="95">
        <v>136.26</v>
      </c>
      <c r="N114" s="131">
        <v>132.97800000000001</v>
      </c>
      <c r="O114" s="131">
        <v>512.04999999999995</v>
      </c>
      <c r="P114" s="95">
        <v>132.666</v>
      </c>
      <c r="Q114" s="95">
        <v>140.90299999999999</v>
      </c>
      <c r="R114" s="95">
        <v>142.32599999999999</v>
      </c>
      <c r="S114" s="131">
        <f>N114*1.04</f>
        <v>138.29712000000001</v>
      </c>
      <c r="T114" s="95">
        <f t="shared" si="80"/>
        <v>554.19211999999993</v>
      </c>
      <c r="U114" s="95">
        <f>T114*1.05</f>
        <v>581.90172599999994</v>
      </c>
      <c r="V114" s="95">
        <f>U114*1.05</f>
        <v>610.99681229999999</v>
      </c>
      <c r="W114" s="95">
        <f>V114*1.05</f>
        <v>641.54665291499998</v>
      </c>
      <c r="X114" s="95">
        <f>W114*1.05</f>
        <v>673.62398556075004</v>
      </c>
    </row>
    <row r="115" spans="1:29" s="110" customFormat="1" x14ac:dyDescent="0.25">
      <c r="B115" s="110" t="s">
        <v>92</v>
      </c>
      <c r="C115" s="111">
        <v>3025.4340000000007</v>
      </c>
      <c r="D115" s="111">
        <v>3409.5210000000002</v>
      </c>
      <c r="E115" s="151">
        <v>3806.3470000000007</v>
      </c>
      <c r="F115" s="162">
        <v>999.524</v>
      </c>
      <c r="G115" s="151">
        <v>1037.1579999999999</v>
      </c>
      <c r="H115" s="151">
        <v>1058.9000000000001</v>
      </c>
      <c r="I115" s="130">
        <v>1092.7650000000001</v>
      </c>
      <c r="J115" s="151">
        <v>4188.3469999999998</v>
      </c>
      <c r="K115" s="162">
        <v>1082.8030000000001</v>
      </c>
      <c r="L115" s="111">
        <v>1123.163</v>
      </c>
      <c r="M115" s="111">
        <f t="shared" ref="M115:X115" si="81">SUM(M111:M114)</f>
        <v>1169.7360000000001</v>
      </c>
      <c r="N115" s="130">
        <f t="shared" si="81"/>
        <v>1196.1460000000002</v>
      </c>
      <c r="O115" s="130">
        <f t="shared" si="81"/>
        <v>4570.0410000000002</v>
      </c>
      <c r="P115" s="111">
        <f t="shared" ref="P115:S115" si="82">SUM(P111:P114)</f>
        <v>1201.01</v>
      </c>
      <c r="Q115" s="111">
        <f t="shared" si="82"/>
        <v>1235.5650000000001</v>
      </c>
      <c r="R115" s="111">
        <f t="shared" si="82"/>
        <v>1277.6460000000002</v>
      </c>
      <c r="S115" s="130">
        <f t="shared" si="82"/>
        <v>1296.9584749999997</v>
      </c>
      <c r="T115" s="111">
        <f t="shared" si="80"/>
        <v>5011.1794749999999</v>
      </c>
      <c r="U115" s="111">
        <f t="shared" si="81"/>
        <v>5377.8573899778139</v>
      </c>
      <c r="V115" s="111">
        <f t="shared" si="81"/>
        <v>5650.223733721833</v>
      </c>
      <c r="W115" s="111">
        <f t="shared" si="81"/>
        <v>5876.8656329475389</v>
      </c>
      <c r="X115" s="111">
        <f t="shared" si="81"/>
        <v>6078.8476007994341</v>
      </c>
    </row>
    <row r="116" spans="1:29" x14ac:dyDescent="0.25">
      <c r="B116" s="114" t="s">
        <v>118</v>
      </c>
      <c r="C116" s="93">
        <v>6.5707186380067784E-2</v>
      </c>
      <c r="D116" s="93">
        <f>D115/C115-1</f>
        <v>0.12695269505135443</v>
      </c>
      <c r="E116" s="135">
        <f>E115/D115-1</f>
        <v>0.11638760987247188</v>
      </c>
      <c r="F116" s="163">
        <v>0.11155668691775333</v>
      </c>
      <c r="G116" s="152">
        <v>0.1011069906988149</v>
      </c>
      <c r="H116" s="152">
        <v>9.9217084214831663E-2</v>
      </c>
      <c r="I116" s="147">
        <v>9.0702481607280783E-2</v>
      </c>
      <c r="J116" s="135">
        <f t="shared" ref="J116:O116" si="83">J115/E115-1</f>
        <v>0.10035869036637979</v>
      </c>
      <c r="K116" s="160">
        <f t="shared" si="83"/>
        <v>8.33186596820088E-2</v>
      </c>
      <c r="L116" s="93">
        <f t="shared" si="83"/>
        <v>8.2923720397470868E-2</v>
      </c>
      <c r="M116" s="93">
        <f t="shared" si="83"/>
        <v>0.10467088488053644</v>
      </c>
      <c r="N116" s="128">
        <f t="shared" si="83"/>
        <v>9.460496996151968E-2</v>
      </c>
      <c r="O116" s="128">
        <f t="shared" si="83"/>
        <v>9.1132372747530388E-2</v>
      </c>
      <c r="P116" s="93">
        <f>P115/K115-1</f>
        <v>0.1091675955829452</v>
      </c>
      <c r="Q116" s="93">
        <f t="shared" ref="Q116:S116" si="84">Q115/L115-1</f>
        <v>0.10007630237107179</v>
      </c>
      <c r="R116" s="93">
        <f t="shared" si="84"/>
        <v>9.2251584973019662E-2</v>
      </c>
      <c r="S116" s="128">
        <f t="shared" si="84"/>
        <v>8.4281078563987588E-2</v>
      </c>
      <c r="T116" s="93">
        <f>T115/O115-1</f>
        <v>9.6528340774185484E-2</v>
      </c>
      <c r="U116" s="93">
        <f>U115/T115-1</f>
        <v>7.3171978135509574E-2</v>
      </c>
      <c r="V116" s="93">
        <f>V115/U115-1</f>
        <v>5.06458844095794E-2</v>
      </c>
      <c r="W116" s="93">
        <f>W115/V115-1</f>
        <v>4.0112022090922794E-2</v>
      </c>
      <c r="X116" s="93">
        <f>X115/W115-1</f>
        <v>3.4368995390930968E-2</v>
      </c>
    </row>
    <row r="117" spans="1:29" x14ac:dyDescent="0.25">
      <c r="E117" s="68"/>
      <c r="F117" s="66"/>
      <c r="G117" s="68"/>
      <c r="H117" s="68"/>
      <c r="I117" s="69"/>
      <c r="J117" s="68"/>
      <c r="K117" s="66"/>
      <c r="O117" s="69"/>
      <c r="S117" s="69"/>
    </row>
    <row r="118" spans="1:29" x14ac:dyDescent="0.25">
      <c r="B118" s="97" t="s">
        <v>70</v>
      </c>
      <c r="E118" s="68"/>
      <c r="F118" s="66"/>
      <c r="G118" s="68"/>
      <c r="H118" s="68"/>
      <c r="I118" s="69"/>
      <c r="J118" s="68"/>
      <c r="K118" s="66"/>
      <c r="O118" s="69"/>
      <c r="S118" s="69"/>
    </row>
    <row r="119" spans="1:29" x14ac:dyDescent="0.25">
      <c r="A119" s="38" t="s">
        <v>202</v>
      </c>
      <c r="B119" s="38" t="s">
        <v>35</v>
      </c>
      <c r="C119" s="95">
        <v>73.537000000000006</v>
      </c>
      <c r="D119" s="95">
        <v>69.286000000000001</v>
      </c>
      <c r="E119" s="150">
        <v>75.578000000000003</v>
      </c>
      <c r="F119" s="161">
        <v>20.434000000000001</v>
      </c>
      <c r="G119" s="150">
        <v>20.315999999999999</v>
      </c>
      <c r="H119" s="150">
        <v>20.609000000000002</v>
      </c>
      <c r="I119" s="131">
        <v>20.562999999999999</v>
      </c>
      <c r="J119" s="150">
        <v>81.921999999999997</v>
      </c>
      <c r="K119" s="161">
        <v>20.367000000000001</v>
      </c>
      <c r="L119" s="95">
        <v>21.71</v>
      </c>
      <c r="M119" s="95">
        <v>22.742999999999999</v>
      </c>
      <c r="N119" s="131">
        <v>28.847999999999999</v>
      </c>
      <c r="O119" s="131">
        <v>94.608999999999995</v>
      </c>
      <c r="P119" s="396">
        <v>23.538</v>
      </c>
      <c r="Q119" s="396">
        <v>34.847000000000001</v>
      </c>
      <c r="R119" s="396">
        <v>22.22</v>
      </c>
      <c r="S119" s="435">
        <f>R119*0.99</f>
        <v>21.997799999999998</v>
      </c>
      <c r="T119" s="95">
        <f>SUM(P119:S119)</f>
        <v>102.6028</v>
      </c>
      <c r="U119" s="95">
        <f t="shared" ref="U119:X120" si="85">T119*1.01</f>
        <v>103.628828</v>
      </c>
      <c r="V119" s="95">
        <f t="shared" si="85"/>
        <v>104.66511628000001</v>
      </c>
      <c r="W119" s="95">
        <f t="shared" si="85"/>
        <v>105.71176744280001</v>
      </c>
      <c r="X119" s="95">
        <f t="shared" si="85"/>
        <v>106.76888511722801</v>
      </c>
    </row>
    <row r="120" spans="1:29" x14ac:dyDescent="0.25">
      <c r="A120" s="38" t="s">
        <v>202</v>
      </c>
      <c r="B120" s="38" t="s">
        <v>16</v>
      </c>
      <c r="C120" s="95">
        <v>324.19400000000002</v>
      </c>
      <c r="D120" s="95">
        <v>310.22300000000001</v>
      </c>
      <c r="E120" s="150">
        <v>290.77100000000002</v>
      </c>
      <c r="F120" s="161">
        <v>73.599999999999994</v>
      </c>
      <c r="G120" s="150">
        <v>68.260999999999996</v>
      </c>
      <c r="H120" s="150">
        <v>73.430999999999997</v>
      </c>
      <c r="I120" s="131">
        <v>76.622</v>
      </c>
      <c r="J120" s="150">
        <v>291.91399999999999</v>
      </c>
      <c r="K120" s="161">
        <v>69.754999999999995</v>
      </c>
      <c r="L120" s="95">
        <v>69.37</v>
      </c>
      <c r="M120" s="95">
        <v>75.706999999999994</v>
      </c>
      <c r="N120" s="131">
        <v>76.867999999999995</v>
      </c>
      <c r="O120" s="131">
        <v>293.09100000000001</v>
      </c>
      <c r="P120" s="95">
        <v>85.1</v>
      </c>
      <c r="Q120" s="95">
        <v>83.644999999999996</v>
      </c>
      <c r="R120" s="95">
        <v>89</v>
      </c>
      <c r="S120" s="131">
        <v>70</v>
      </c>
      <c r="T120" s="95">
        <f t="shared" ref="T120:T123" si="86">SUM(P120:S120)</f>
        <v>327.745</v>
      </c>
      <c r="U120" s="95">
        <f t="shared" si="85"/>
        <v>331.02244999999999</v>
      </c>
      <c r="V120" s="95">
        <f t="shared" si="85"/>
        <v>334.3326745</v>
      </c>
      <c r="W120" s="95">
        <f t="shared" si="85"/>
        <v>337.67600124500001</v>
      </c>
      <c r="X120" s="95">
        <f t="shared" si="85"/>
        <v>341.05276125745002</v>
      </c>
    </row>
    <row r="121" spans="1:29" x14ac:dyDescent="0.25">
      <c r="A121" s="38" t="s">
        <v>233</v>
      </c>
      <c r="B121" s="38" t="s">
        <v>20</v>
      </c>
      <c r="C121" s="95">
        <v>598.08999999999992</v>
      </c>
      <c r="D121" s="95">
        <v>697.61299999999994</v>
      </c>
      <c r="E121" s="150">
        <v>800.17599999999993</v>
      </c>
      <c r="F121" s="161">
        <v>195.411</v>
      </c>
      <c r="G121" s="150">
        <v>200.221</v>
      </c>
      <c r="H121" s="150">
        <v>204.30699999999999</v>
      </c>
      <c r="I121" s="131">
        <v>210.089</v>
      </c>
      <c r="J121" s="150">
        <v>810.02800000000002</v>
      </c>
      <c r="K121" s="161">
        <v>212.97800000000001</v>
      </c>
      <c r="L121" s="95">
        <v>331.517</v>
      </c>
      <c r="M121" s="95">
        <v>238.62</v>
      </c>
      <c r="N121" s="131">
        <v>251.71700000000001</v>
      </c>
      <c r="O121" s="131">
        <f>SUM(K121:N121)</f>
        <v>1034.8320000000001</v>
      </c>
      <c r="P121" s="95">
        <v>251.744</v>
      </c>
      <c r="Q121" s="95">
        <v>264.38499999999999</v>
      </c>
      <c r="R121" s="95">
        <v>272.82299999999998</v>
      </c>
      <c r="S121" s="131">
        <f>R121*1.1</f>
        <v>300.1053</v>
      </c>
      <c r="T121" s="95">
        <f t="shared" si="86"/>
        <v>1089.0572999999999</v>
      </c>
      <c r="U121" s="95">
        <f>T121*(1+Drivers!F50)</f>
        <v>1197.9630300000001</v>
      </c>
      <c r="V121" s="95">
        <f>U121*(1+Drivers!G50)</f>
        <v>1317.7593330000002</v>
      </c>
      <c r="W121" s="95">
        <f>V121*(1+Drivers!H50)</f>
        <v>1449.5352663000003</v>
      </c>
      <c r="X121" s="95">
        <f>W121*(1+Drivers!I50)</f>
        <v>1594.4887929300005</v>
      </c>
    </row>
    <row r="122" spans="1:29" x14ac:dyDescent="0.25">
      <c r="A122" s="38" t="s">
        <v>202</v>
      </c>
      <c r="B122" s="38" t="s">
        <v>101</v>
      </c>
      <c r="C122" s="95">
        <v>258.23500000000001</v>
      </c>
      <c r="D122" s="95">
        <v>293.13200000000001</v>
      </c>
      <c r="E122" s="150">
        <v>318.536</v>
      </c>
      <c r="F122" s="161">
        <v>90.492000000000004</v>
      </c>
      <c r="G122" s="150">
        <v>89.504999999999995</v>
      </c>
      <c r="H122" s="150">
        <v>92.14500000000001</v>
      </c>
      <c r="I122" s="131">
        <v>95.662999999999997</v>
      </c>
      <c r="J122" s="150">
        <v>367.80500000000006</v>
      </c>
      <c r="K122" s="161">
        <v>91.402000000000001</v>
      </c>
      <c r="L122" s="95">
        <v>91.932000000000002</v>
      </c>
      <c r="M122" s="95">
        <v>94.492000000000004</v>
      </c>
      <c r="N122" s="131">
        <v>99.387</v>
      </c>
      <c r="O122" s="131">
        <f>SUM(K122:N122)</f>
        <v>377.21300000000002</v>
      </c>
      <c r="P122" s="95">
        <v>96.686999999999998</v>
      </c>
      <c r="Q122" s="95">
        <v>93.712000000000003</v>
      </c>
      <c r="R122" s="95">
        <v>94.923000000000002</v>
      </c>
      <c r="S122" s="131">
        <f>R122</f>
        <v>94.923000000000002</v>
      </c>
      <c r="T122" s="95">
        <f t="shared" si="86"/>
        <v>380.245</v>
      </c>
      <c r="U122" s="95">
        <f t="shared" ref="U122:X123" si="87">T122*1.01</f>
        <v>384.04745000000003</v>
      </c>
      <c r="V122" s="95">
        <f t="shared" si="87"/>
        <v>387.88792450000005</v>
      </c>
      <c r="W122" s="95">
        <f t="shared" si="87"/>
        <v>391.76680374500006</v>
      </c>
      <c r="X122" s="95">
        <f t="shared" si="87"/>
        <v>395.68447178245009</v>
      </c>
    </row>
    <row r="123" spans="1:29" x14ac:dyDescent="0.25">
      <c r="A123" s="38" t="s">
        <v>202</v>
      </c>
      <c r="B123" s="38" t="s">
        <v>102</v>
      </c>
      <c r="C123" s="95">
        <v>33.094999999999999</v>
      </c>
      <c r="D123" s="95">
        <v>31.765999999999998</v>
      </c>
      <c r="E123" s="150">
        <v>26.478000000000002</v>
      </c>
      <c r="F123" s="161">
        <v>7.8040000000000003</v>
      </c>
      <c r="G123" s="150">
        <v>12.03</v>
      </c>
      <c r="H123" s="150">
        <v>9.4849999999999994</v>
      </c>
      <c r="I123" s="131">
        <v>15.077999999999999</v>
      </c>
      <c r="J123" s="150">
        <v>44.396999999999998</v>
      </c>
      <c r="K123" s="161">
        <v>8.8450000000000006</v>
      </c>
      <c r="L123" s="95">
        <v>10.93</v>
      </c>
      <c r="M123" s="95">
        <v>9.2460000000000004</v>
      </c>
      <c r="N123" s="131">
        <v>13.702999999999999</v>
      </c>
      <c r="O123" s="131">
        <f>SUM(K123:N123)</f>
        <v>42.724000000000004</v>
      </c>
      <c r="P123" s="95">
        <v>9.7789999999999999</v>
      </c>
      <c r="Q123" s="95">
        <v>9.7279999999999998</v>
      </c>
      <c r="R123" s="95">
        <v>9.6739999999999995</v>
      </c>
      <c r="S123" s="131">
        <f t="shared" ref="S123" si="88">N123*1.01</f>
        <v>13.840029999999999</v>
      </c>
      <c r="T123" s="95">
        <f t="shared" si="86"/>
        <v>43.021029999999996</v>
      </c>
      <c r="U123" s="95">
        <f t="shared" si="87"/>
        <v>43.451240299999995</v>
      </c>
      <c r="V123" s="95">
        <f t="shared" si="87"/>
        <v>43.885752702999994</v>
      </c>
      <c r="W123" s="95">
        <f t="shared" si="87"/>
        <v>44.324610230029997</v>
      </c>
      <c r="X123" s="95">
        <f t="shared" si="87"/>
        <v>44.767856332330297</v>
      </c>
    </row>
    <row r="124" spans="1:29" s="111" customFormat="1" x14ac:dyDescent="0.25">
      <c r="B124" s="112" t="s">
        <v>84</v>
      </c>
      <c r="C124" s="111">
        <f t="shared" ref="C124:X124" si="89">SUM(C119:C123)</f>
        <v>1287.1510000000001</v>
      </c>
      <c r="D124" s="111">
        <f t="shared" si="89"/>
        <v>1402.02</v>
      </c>
      <c r="E124" s="151">
        <f t="shared" si="89"/>
        <v>1511.5390000000002</v>
      </c>
      <c r="F124" s="162">
        <f t="shared" si="89"/>
        <v>387.74099999999999</v>
      </c>
      <c r="G124" s="151">
        <f t="shared" si="89"/>
        <v>390.33299999999997</v>
      </c>
      <c r="H124" s="151">
        <f t="shared" si="89"/>
        <v>399.97699999999998</v>
      </c>
      <c r="I124" s="130">
        <f t="shared" si="89"/>
        <v>418.01499999999999</v>
      </c>
      <c r="J124" s="151">
        <f t="shared" si="89"/>
        <v>1596.066</v>
      </c>
      <c r="K124" s="162">
        <f t="shared" si="89"/>
        <v>403.34700000000004</v>
      </c>
      <c r="L124" s="111">
        <f t="shared" si="89"/>
        <v>525.45899999999995</v>
      </c>
      <c r="M124" s="111">
        <f t="shared" si="89"/>
        <v>440.80799999999999</v>
      </c>
      <c r="N124" s="130">
        <f t="shared" si="89"/>
        <v>470.52299999999997</v>
      </c>
      <c r="O124" s="130">
        <f t="shared" si="89"/>
        <v>1842.4690000000001</v>
      </c>
      <c r="P124" s="111">
        <f t="shared" ref="P124:S124" si="90">SUM(P119:P123)</f>
        <v>466.84800000000001</v>
      </c>
      <c r="Q124" s="111">
        <f t="shared" si="90"/>
        <v>486.31699999999995</v>
      </c>
      <c r="R124" s="111">
        <f t="shared" si="90"/>
        <v>488.64</v>
      </c>
      <c r="S124" s="130">
        <f t="shared" si="90"/>
        <v>500.86613</v>
      </c>
      <c r="T124" s="111">
        <f t="shared" si="89"/>
        <v>1942.6711299999997</v>
      </c>
      <c r="U124" s="111">
        <f t="shared" si="89"/>
        <v>2060.1129983000001</v>
      </c>
      <c r="V124" s="111">
        <f t="shared" si="89"/>
        <v>2188.5308009830001</v>
      </c>
      <c r="W124" s="111">
        <f t="shared" si="89"/>
        <v>2329.0144489628301</v>
      </c>
      <c r="X124" s="111">
        <f t="shared" si="89"/>
        <v>2482.7627674194587</v>
      </c>
    </row>
    <row r="125" spans="1:29" s="111" customFormat="1" x14ac:dyDescent="0.25">
      <c r="B125" s="112"/>
      <c r="E125" s="151"/>
      <c r="F125" s="162"/>
      <c r="G125" s="151"/>
      <c r="H125" s="151"/>
      <c r="I125" s="130"/>
      <c r="J125" s="151"/>
      <c r="K125" s="162"/>
      <c r="N125" s="130"/>
      <c r="O125" s="130"/>
      <c r="S125" s="130"/>
    </row>
    <row r="126" spans="1:29" x14ac:dyDescent="0.25">
      <c r="B126" s="97" t="s">
        <v>243</v>
      </c>
      <c r="E126" s="68"/>
      <c r="F126" s="66"/>
      <c r="G126" s="68"/>
      <c r="H126" s="68"/>
      <c r="I126" s="69"/>
      <c r="J126" s="68"/>
      <c r="K126" s="66"/>
      <c r="O126" s="69"/>
      <c r="S126" s="69"/>
    </row>
    <row r="127" spans="1:29" x14ac:dyDescent="0.25">
      <c r="B127" s="38" t="s">
        <v>2</v>
      </c>
      <c r="C127" s="95">
        <v>229.81399999999999</v>
      </c>
      <c r="D127" s="95">
        <v>253.423</v>
      </c>
      <c r="E127" s="150">
        <v>289.154</v>
      </c>
      <c r="F127" s="161">
        <v>72.760999999999996</v>
      </c>
      <c r="G127" s="150">
        <v>74.352000000000004</v>
      </c>
      <c r="H127" s="150">
        <v>79.641000000000005</v>
      </c>
      <c r="I127" s="131">
        <v>94.272000000000006</v>
      </c>
      <c r="J127" s="150">
        <v>321.02600000000001</v>
      </c>
      <c r="K127" s="161">
        <v>75</v>
      </c>
      <c r="L127" s="95">
        <v>86.492999999999995</v>
      </c>
      <c r="M127" s="95">
        <v>90.540999999999997</v>
      </c>
      <c r="N127" s="131">
        <v>98.411000000000001</v>
      </c>
      <c r="O127" s="131">
        <v>354.18900000000002</v>
      </c>
      <c r="P127" s="95">
        <v>88.725999999999999</v>
      </c>
      <c r="Q127" s="95">
        <v>91.358000000000004</v>
      </c>
      <c r="R127" s="95">
        <v>99.194000000000003</v>
      </c>
      <c r="S127" s="131">
        <f t="shared" ref="S127" si="91">S128*S115</f>
        <v>95.974927149999971</v>
      </c>
      <c r="T127" s="95">
        <f t="shared" ref="T127" si="92">SUM(P127:S127)</f>
        <v>375.25292715</v>
      </c>
      <c r="U127" s="95">
        <f>U128*U115</f>
        <v>402.71092613070573</v>
      </c>
      <c r="V127" s="95">
        <f>V128*V115</f>
        <v>423.10657714599614</v>
      </c>
      <c r="W127" s="95">
        <f>W128*W115</f>
        <v>440.07823751529099</v>
      </c>
      <c r="X127" s="95">
        <f>X128*X115</f>
        <v>455.20328443210315</v>
      </c>
    </row>
    <row r="128" spans="1:29" x14ac:dyDescent="0.25">
      <c r="B128" s="114" t="s">
        <v>21</v>
      </c>
      <c r="C128" s="93">
        <f t="shared" ref="C128:M128" si="93">C127/C115</f>
        <v>7.5960672088698666E-2</v>
      </c>
      <c r="D128" s="93">
        <f t="shared" si="93"/>
        <v>7.4328036108297912E-2</v>
      </c>
      <c r="E128" s="135">
        <f t="shared" si="93"/>
        <v>7.5966274225655189E-2</v>
      </c>
      <c r="F128" s="160">
        <f t="shared" si="93"/>
        <v>7.2795650729747349E-2</v>
      </c>
      <c r="G128" s="135">
        <f t="shared" si="93"/>
        <v>7.1688209510990628E-2</v>
      </c>
      <c r="H128" s="135">
        <f t="shared" si="93"/>
        <v>7.5211068089526864E-2</v>
      </c>
      <c r="I128" s="128">
        <f t="shared" si="93"/>
        <v>8.6269234464866645E-2</v>
      </c>
      <c r="J128" s="135">
        <f t="shared" si="93"/>
        <v>7.6647422002045204E-2</v>
      </c>
      <c r="K128" s="160">
        <f t="shared" si="93"/>
        <v>6.9264676954164328E-2</v>
      </c>
      <c r="L128" s="93">
        <f t="shared" si="93"/>
        <v>7.7008412848357716E-2</v>
      </c>
      <c r="M128" s="93">
        <f t="shared" si="93"/>
        <v>7.7402935363193051E-2</v>
      </c>
      <c r="N128" s="128">
        <f>M128</f>
        <v>7.7402935363193051E-2</v>
      </c>
      <c r="O128" s="128">
        <f>O127/O115</f>
        <v>7.7502368140679706E-2</v>
      </c>
      <c r="P128" s="135">
        <f>P127/P115</f>
        <v>7.387615423685065E-2</v>
      </c>
      <c r="Q128" s="135">
        <f>Q127/Q115</f>
        <v>7.3940262147276753E-2</v>
      </c>
      <c r="R128" s="135">
        <f>R127/R115</f>
        <v>7.7638093806891725E-2</v>
      </c>
      <c r="S128" s="133">
        <v>7.3999999999999996E-2</v>
      </c>
      <c r="T128" s="93">
        <f>T127/T115</f>
        <v>7.4883154559136994E-2</v>
      </c>
      <c r="U128" s="99">
        <f>T128</f>
        <v>7.4883154559136994E-2</v>
      </c>
      <c r="V128" s="99">
        <f>U128</f>
        <v>7.4883154559136994E-2</v>
      </c>
      <c r="W128" s="99">
        <f>V128</f>
        <v>7.4883154559136994E-2</v>
      </c>
      <c r="X128" s="99">
        <f>W128</f>
        <v>7.4883154559136994E-2</v>
      </c>
      <c r="Y128" s="93"/>
    </row>
    <row r="129" spans="1:24" x14ac:dyDescent="0.25">
      <c r="A129" s="38" t="s">
        <v>204</v>
      </c>
      <c r="B129" s="38" t="s">
        <v>129</v>
      </c>
      <c r="C129" s="95">
        <v>519.97199999999998</v>
      </c>
      <c r="D129" s="95">
        <v>565.20000000000005</v>
      </c>
      <c r="E129" s="150">
        <v>559.97399999999993</v>
      </c>
      <c r="F129" s="161">
        <v>123.02200000000001</v>
      </c>
      <c r="G129" s="150">
        <v>124.407</v>
      </c>
      <c r="H129" s="150">
        <v>119.77800000000001</v>
      </c>
      <c r="I129" s="131">
        <v>126.25700000000001</v>
      </c>
      <c r="J129" s="150">
        <v>493.464</v>
      </c>
      <c r="K129" s="161">
        <v>122.26</v>
      </c>
      <c r="L129" s="95">
        <v>136.50399999999999</v>
      </c>
      <c r="M129" s="95">
        <v>133</v>
      </c>
      <c r="N129" s="131">
        <v>140.82599999999999</v>
      </c>
      <c r="O129" s="131">
        <f>SUM(K129:N129)</f>
        <v>532.59</v>
      </c>
      <c r="P129" s="95">
        <v>132.44900000000001</v>
      </c>
      <c r="Q129" s="95">
        <v>128.95599999999999</v>
      </c>
      <c r="R129" s="95">
        <v>120.11</v>
      </c>
      <c r="S129" s="131">
        <f t="shared" ref="S129" si="94">N129*1.02</f>
        <v>143.64251999999999</v>
      </c>
      <c r="T129" s="95">
        <f t="shared" ref="T129" si="95">SUM(P129:S129)</f>
        <v>525.15751999999998</v>
      </c>
      <c r="U129" s="95">
        <f>T129*1.01</f>
        <v>530.40909520000002</v>
      </c>
      <c r="V129" s="95">
        <f>U129*1.01</f>
        <v>535.71318615200005</v>
      </c>
      <c r="W129" s="95">
        <f>V129*1.01</f>
        <v>541.07031801352002</v>
      </c>
      <c r="X129" s="95">
        <f>W129*1.01</f>
        <v>546.48102119365524</v>
      </c>
    </row>
    <row r="130" spans="1:24" s="110" customFormat="1" x14ac:dyDescent="0.25">
      <c r="B130" s="110" t="s">
        <v>69</v>
      </c>
      <c r="C130" s="330">
        <f t="shared" ref="C130:N130" si="96">C129+C127</f>
        <v>749.78599999999994</v>
      </c>
      <c r="D130" s="330">
        <f t="shared" si="96"/>
        <v>818.62300000000005</v>
      </c>
      <c r="E130" s="352">
        <f t="shared" si="96"/>
        <v>849.12799999999993</v>
      </c>
      <c r="F130" s="353">
        <f t="shared" si="96"/>
        <v>195.78300000000002</v>
      </c>
      <c r="G130" s="352">
        <f t="shared" si="96"/>
        <v>198.75900000000001</v>
      </c>
      <c r="H130" s="352">
        <f t="shared" si="96"/>
        <v>199.41900000000001</v>
      </c>
      <c r="I130" s="354">
        <f t="shared" si="96"/>
        <v>220.529</v>
      </c>
      <c r="J130" s="352">
        <f t="shared" si="96"/>
        <v>814.49</v>
      </c>
      <c r="K130" s="353">
        <f t="shared" si="96"/>
        <v>197.26</v>
      </c>
      <c r="L130" s="330">
        <f t="shared" si="96"/>
        <v>222.99699999999999</v>
      </c>
      <c r="M130" s="330">
        <f t="shared" si="96"/>
        <v>223.541</v>
      </c>
      <c r="N130" s="354">
        <f t="shared" si="96"/>
        <v>239.23699999999999</v>
      </c>
      <c r="O130" s="354">
        <f t="shared" ref="O130:X130" si="97">O129+O127</f>
        <v>886.779</v>
      </c>
      <c r="P130" s="330">
        <f t="shared" ref="P130:T130" si="98">P129+P127</f>
        <v>221.17500000000001</v>
      </c>
      <c r="Q130" s="330">
        <f t="shared" si="98"/>
        <v>220.31399999999999</v>
      </c>
      <c r="R130" s="330">
        <f t="shared" si="98"/>
        <v>219.304</v>
      </c>
      <c r="S130" s="354">
        <f t="shared" si="98"/>
        <v>239.61744714999998</v>
      </c>
      <c r="T130" s="330">
        <f t="shared" si="98"/>
        <v>900.41044714999998</v>
      </c>
      <c r="U130" s="330">
        <f t="shared" si="97"/>
        <v>933.12002133070575</v>
      </c>
      <c r="V130" s="330">
        <f t="shared" si="97"/>
        <v>958.81976329799613</v>
      </c>
      <c r="W130" s="330">
        <f t="shared" si="97"/>
        <v>981.14855552881102</v>
      </c>
      <c r="X130" s="330">
        <f t="shared" si="97"/>
        <v>1001.6843056257584</v>
      </c>
    </row>
    <row r="131" spans="1:24" hidden="1" outlineLevel="1" x14ac:dyDescent="0.25">
      <c r="E131" s="68"/>
      <c r="F131" s="66"/>
      <c r="G131" s="68"/>
      <c r="H131" s="68"/>
      <c r="I131" s="69"/>
      <c r="J131" s="68"/>
      <c r="K131" s="66"/>
      <c r="O131" s="69"/>
      <c r="S131" s="69"/>
    </row>
    <row r="132" spans="1:24" s="108" customFormat="1" hidden="1" outlineLevel="1" x14ac:dyDescent="0.25">
      <c r="B132" s="115" t="s">
        <v>232</v>
      </c>
      <c r="E132" s="107"/>
      <c r="F132" s="157"/>
      <c r="G132" s="107"/>
      <c r="H132" s="107"/>
      <c r="I132" s="129"/>
      <c r="J132" s="107"/>
      <c r="K132" s="157" t="e">
        <f>(K122*1000)/#REF!/3</f>
        <v>#REF!</v>
      </c>
      <c r="L132" s="108" t="e">
        <f>(L122*1000)/#REF!/3</f>
        <v>#REF!</v>
      </c>
      <c r="N132" s="129"/>
      <c r="O132" s="129"/>
      <c r="S132" s="129"/>
    </row>
    <row r="133" spans="1:24" hidden="1" outlineLevel="1" x14ac:dyDescent="0.25">
      <c r="B133" s="38" t="s">
        <v>86</v>
      </c>
      <c r="C133" s="95">
        <v>121.94771516164866</v>
      </c>
      <c r="D133" s="95">
        <v>122.20663092093675</v>
      </c>
      <c r="E133" s="150">
        <v>121.40485149482838</v>
      </c>
      <c r="F133" s="161">
        <v>125.5670091545698</v>
      </c>
      <c r="G133" s="150">
        <v>109.703773288538</v>
      </c>
      <c r="H133" s="150">
        <v>108.7274633158426</v>
      </c>
      <c r="I133" s="131">
        <v>113.64009438739092</v>
      </c>
      <c r="J133" s="150">
        <v>113.98554641099787</v>
      </c>
      <c r="K133" s="161">
        <v>111.38238421442951</v>
      </c>
      <c r="L133" s="95">
        <v>155.26162942796472</v>
      </c>
      <c r="O133" s="69"/>
      <c r="S133" s="69"/>
    </row>
    <row r="134" spans="1:24" collapsed="1" x14ac:dyDescent="0.25">
      <c r="A134" s="38" t="s">
        <v>202</v>
      </c>
      <c r="B134" s="38" t="s">
        <v>203</v>
      </c>
      <c r="C134" s="95">
        <v>42.604999999999997</v>
      </c>
      <c r="D134" s="95">
        <v>50.564</v>
      </c>
      <c r="E134" s="150">
        <v>54.108999999999995</v>
      </c>
      <c r="F134" s="161">
        <v>13.984999999999999</v>
      </c>
      <c r="G134" s="150">
        <v>13.693000000000001</v>
      </c>
      <c r="H134" s="150">
        <v>13.576999999999998</v>
      </c>
      <c r="I134" s="131">
        <v>12.853999999999999</v>
      </c>
      <c r="J134" s="150">
        <f>SUM(F134:I134)</f>
        <v>54.108999999999995</v>
      </c>
      <c r="K134" s="161">
        <v>12.826000000000001</v>
      </c>
      <c r="L134" s="95">
        <v>16.079999999999998</v>
      </c>
      <c r="M134" s="95">
        <v>16.132000000000001</v>
      </c>
      <c r="N134" s="131">
        <v>17.222999999999999</v>
      </c>
      <c r="O134" s="131">
        <v>64.403000000000006</v>
      </c>
      <c r="P134" s="95">
        <v>19.440999999999999</v>
      </c>
      <c r="Q134" s="95">
        <v>18.893000000000001</v>
      </c>
      <c r="R134" s="95">
        <v>19.254000000000001</v>
      </c>
      <c r="S134" s="131">
        <f t="shared" ref="S134" si="99">N134*1.01</f>
        <v>17.395229999999998</v>
      </c>
      <c r="T134" s="95">
        <f t="shared" ref="T134:T136" si="100">SUM(P134:S134)</f>
        <v>74.983230000000006</v>
      </c>
      <c r="U134" s="95">
        <f t="shared" ref="U134:X135" si="101">T134*1.01</f>
        <v>75.7330623</v>
      </c>
      <c r="V134" s="95">
        <f t="shared" si="101"/>
        <v>76.490392923000002</v>
      </c>
      <c r="W134" s="95">
        <f t="shared" si="101"/>
        <v>77.255296852230003</v>
      </c>
      <c r="X134" s="95">
        <f t="shared" si="101"/>
        <v>78.027849820752309</v>
      </c>
    </row>
    <row r="135" spans="1:24" x14ac:dyDescent="0.25">
      <c r="A135" s="38" t="s">
        <v>202</v>
      </c>
      <c r="B135" s="38" t="s">
        <v>56</v>
      </c>
      <c r="C135" s="95">
        <v>225.92699999999999</v>
      </c>
      <c r="D135" s="95">
        <v>228.97300000000001</v>
      </c>
      <c r="E135" s="150">
        <v>255.90600000000003</v>
      </c>
      <c r="F135" s="161">
        <v>67.23299999999999</v>
      </c>
      <c r="G135" s="150">
        <v>63.935999999999993</v>
      </c>
      <c r="H135" s="150">
        <v>64.676000000000002</v>
      </c>
      <c r="I135" s="131">
        <v>60.061</v>
      </c>
      <c r="J135" s="150">
        <f>SUM(F135:I135)</f>
        <v>255.90599999999998</v>
      </c>
      <c r="K135" s="161">
        <v>70.143000000000001</v>
      </c>
      <c r="L135" s="95">
        <v>72.14</v>
      </c>
      <c r="M135" s="95">
        <v>67.233999999999995</v>
      </c>
      <c r="N135" s="131">
        <v>105.607</v>
      </c>
      <c r="O135" s="131">
        <v>324.80099999999999</v>
      </c>
      <c r="P135" s="396">
        <v>77.504999999999995</v>
      </c>
      <c r="Q135" s="396">
        <v>81.177999999999997</v>
      </c>
      <c r="R135" s="396">
        <v>90.36</v>
      </c>
      <c r="S135" s="293">
        <v>90</v>
      </c>
      <c r="T135" s="95">
        <f t="shared" si="100"/>
        <v>339.04300000000001</v>
      </c>
      <c r="U135" s="95">
        <f t="shared" si="101"/>
        <v>342.43342999999999</v>
      </c>
      <c r="V135" s="95">
        <f t="shared" si="101"/>
        <v>345.85776429999999</v>
      </c>
      <c r="W135" s="95">
        <f t="shared" si="101"/>
        <v>349.316341943</v>
      </c>
      <c r="X135" s="95">
        <f t="shared" si="101"/>
        <v>352.80950536243</v>
      </c>
    </row>
    <row r="136" spans="1:24" x14ac:dyDescent="0.25">
      <c r="B136" s="38" t="s">
        <v>197</v>
      </c>
      <c r="C136" s="95">
        <v>266.29499999999996</v>
      </c>
      <c r="D136" s="95">
        <v>253.31400000000002</v>
      </c>
      <c r="E136" s="150">
        <v>264.80910314616546</v>
      </c>
      <c r="F136" s="161">
        <v>68.266999999999996</v>
      </c>
      <c r="G136" s="150">
        <v>67.203999999999994</v>
      </c>
      <c r="H136" s="150">
        <v>64.55</v>
      </c>
      <c r="I136" s="131">
        <v>66.402000000000001</v>
      </c>
      <c r="J136" s="150">
        <f>SUM(F136:I136)</f>
        <v>266.423</v>
      </c>
      <c r="K136" s="161">
        <v>65.040000000000006</v>
      </c>
      <c r="L136" s="95">
        <v>67.096000000000004</v>
      </c>
      <c r="M136" s="95">
        <v>70.403999999999996</v>
      </c>
      <c r="N136" s="131">
        <v>69.686999999999998</v>
      </c>
      <c r="O136" s="131">
        <f>SUM(K136:N136)</f>
        <v>272.22700000000003</v>
      </c>
      <c r="P136" s="95">
        <v>67.626999999999995</v>
      </c>
      <c r="Q136" s="95">
        <v>66.707999999999998</v>
      </c>
      <c r="R136" s="95">
        <v>67.88</v>
      </c>
      <c r="S136" s="131">
        <f t="shared" ref="S136" si="102">S137*S115</f>
        <v>71.332716124999976</v>
      </c>
      <c r="T136" s="95">
        <f t="shared" si="100"/>
        <v>273.54771612499997</v>
      </c>
      <c r="U136" s="95">
        <f>U137*U115</f>
        <v>322.67144339866883</v>
      </c>
      <c r="V136" s="95">
        <f>V137*V115</f>
        <v>339.01342402330999</v>
      </c>
      <c r="W136" s="95">
        <f>W137*W115</f>
        <v>352.61193797685235</v>
      </c>
      <c r="X136" s="95">
        <f>X137*X115</f>
        <v>364.73085604796603</v>
      </c>
    </row>
    <row r="137" spans="1:24" x14ac:dyDescent="0.25">
      <c r="B137" s="114" t="s">
        <v>229</v>
      </c>
      <c r="C137" s="93">
        <f t="shared" ref="C137:P137" si="103">C136/C115</f>
        <v>8.8018776810203064E-2</v>
      </c>
      <c r="D137" s="93">
        <f t="shared" si="103"/>
        <v>7.4296066808211478E-2</v>
      </c>
      <c r="E137" s="135">
        <f t="shared" si="103"/>
        <v>6.9570405206400107E-2</v>
      </c>
      <c r="F137" s="160">
        <f t="shared" si="103"/>
        <v>6.8299510567029903E-2</v>
      </c>
      <c r="G137" s="135">
        <f t="shared" si="103"/>
        <v>6.4796299117395803E-2</v>
      </c>
      <c r="H137" s="135">
        <f t="shared" si="103"/>
        <v>6.0959486259325707E-2</v>
      </c>
      <c r="I137" s="128">
        <f t="shared" si="103"/>
        <v>6.0765123333928153E-2</v>
      </c>
      <c r="J137" s="135">
        <f t="shared" si="103"/>
        <v>6.3610536567290155E-2</v>
      </c>
      <c r="K137" s="160">
        <f t="shared" si="103"/>
        <v>6.0066327854651311E-2</v>
      </c>
      <c r="L137" s="93">
        <f t="shared" si="103"/>
        <v>5.9738435115829137E-2</v>
      </c>
      <c r="M137" s="93">
        <f t="shared" si="103"/>
        <v>6.0187939842836324E-2</v>
      </c>
      <c r="N137" s="128">
        <v>0.06</v>
      </c>
      <c r="O137" s="128">
        <f t="shared" si="103"/>
        <v>5.9567736919646896E-2</v>
      </c>
      <c r="P137" s="135">
        <f t="shared" si="103"/>
        <v>5.6308440396000033E-2</v>
      </c>
      <c r="Q137" s="135">
        <v>5.5E-2</v>
      </c>
      <c r="R137" s="135">
        <v>5.5E-2</v>
      </c>
      <c r="S137" s="133">
        <v>5.5E-2</v>
      </c>
      <c r="T137" s="135">
        <f t="shared" ref="T137" si="104">T136/T115</f>
        <v>5.4587491326081462E-2</v>
      </c>
      <c r="U137" s="99">
        <v>0.06</v>
      </c>
      <c r="V137" s="99">
        <v>0.06</v>
      </c>
      <c r="W137" s="99">
        <v>0.06</v>
      </c>
      <c r="X137" s="99">
        <v>0.06</v>
      </c>
    </row>
    <row r="138" spans="1:24" s="95" customFormat="1" x14ac:dyDescent="0.25">
      <c r="B138" s="100" t="s">
        <v>196</v>
      </c>
      <c r="C138" s="95">
        <f t="shared" ref="C138:J138" si="105">SUM(C134:C136)+C130+C124</f>
        <v>2571.7640000000001</v>
      </c>
      <c r="D138" s="95">
        <f t="shared" si="105"/>
        <v>2753.4940000000001</v>
      </c>
      <c r="E138" s="150">
        <f t="shared" si="105"/>
        <v>2935.4911031461656</v>
      </c>
      <c r="F138" s="161">
        <f t="shared" si="105"/>
        <v>733.00900000000001</v>
      </c>
      <c r="G138" s="150">
        <f t="shared" si="105"/>
        <v>733.92499999999995</v>
      </c>
      <c r="H138" s="150">
        <f t="shared" si="105"/>
        <v>742.19899999999996</v>
      </c>
      <c r="I138" s="131">
        <f t="shared" si="105"/>
        <v>777.86099999999999</v>
      </c>
      <c r="J138" s="150">
        <f t="shared" si="105"/>
        <v>2986.9939999999997</v>
      </c>
      <c r="K138" s="161">
        <f>SUM(K134:K135)+K130+K124</f>
        <v>683.57600000000002</v>
      </c>
      <c r="L138" s="95">
        <f>SUM(L134:L135)+L130+L124</f>
        <v>836.67599999999993</v>
      </c>
      <c r="M138" s="95">
        <f>SUM(M134:M135)+M130+M124+M136</f>
        <v>818.11899999999991</v>
      </c>
      <c r="N138" s="131">
        <f>SUM(N134:N135)+N130+N124+N136</f>
        <v>902.27699999999993</v>
      </c>
      <c r="O138" s="131">
        <f t="shared" ref="O138:X138" si="106">SUM(O134:O136)+O130+O124</f>
        <v>3390.6790000000001</v>
      </c>
      <c r="P138" s="150">
        <f t="shared" ref="P138:S138" si="107">SUM(P134:P136)+P130+P124</f>
        <v>852.596</v>
      </c>
      <c r="Q138" s="150">
        <f t="shared" si="107"/>
        <v>873.40999999999985</v>
      </c>
      <c r="R138" s="150">
        <f t="shared" si="107"/>
        <v>885.43799999999999</v>
      </c>
      <c r="S138" s="131">
        <f t="shared" si="107"/>
        <v>919.21152327499999</v>
      </c>
      <c r="T138" s="95">
        <f t="shared" ref="T138" si="108">SUM(P138:S138)</f>
        <v>3530.6555232749997</v>
      </c>
      <c r="U138" s="150">
        <f t="shared" si="106"/>
        <v>3734.0709553293746</v>
      </c>
      <c r="V138" s="150">
        <f t="shared" si="106"/>
        <v>3908.7121455273063</v>
      </c>
      <c r="W138" s="150">
        <f t="shared" si="106"/>
        <v>4089.3465812637232</v>
      </c>
      <c r="X138" s="150">
        <f t="shared" si="106"/>
        <v>4280.0152842763655</v>
      </c>
    </row>
    <row r="139" spans="1:24" s="111" customFormat="1" x14ac:dyDescent="0.25">
      <c r="B139" s="149" t="s">
        <v>229</v>
      </c>
      <c r="C139" s="303">
        <f t="shared" ref="C139:X139" si="109">C138/C115</f>
        <v>0.85004796006126715</v>
      </c>
      <c r="D139" s="303">
        <f t="shared" si="109"/>
        <v>0.80758968781831819</v>
      </c>
      <c r="E139" s="355">
        <f t="shared" si="109"/>
        <v>0.77120953584793117</v>
      </c>
      <c r="F139" s="356">
        <f t="shared" si="109"/>
        <v>0.73335807844533996</v>
      </c>
      <c r="G139" s="355">
        <f t="shared" si="109"/>
        <v>0.70763085277267301</v>
      </c>
      <c r="H139" s="355">
        <f t="shared" si="109"/>
        <v>0.70091510057606943</v>
      </c>
      <c r="I139" s="357">
        <f t="shared" si="109"/>
        <v>0.71182825218596857</v>
      </c>
      <c r="J139" s="355">
        <f t="shared" si="109"/>
        <v>0.71316774851749387</v>
      </c>
      <c r="K139" s="356">
        <f t="shared" si="109"/>
        <v>0.63130227751493107</v>
      </c>
      <c r="L139" s="303">
        <f t="shared" si="109"/>
        <v>0.74492838528334704</v>
      </c>
      <c r="M139" s="303">
        <f t="shared" si="109"/>
        <v>0.69940482296860129</v>
      </c>
      <c r="N139" s="357">
        <f t="shared" si="109"/>
        <v>0.75432012480081845</v>
      </c>
      <c r="O139" s="357">
        <f t="shared" si="109"/>
        <v>0.74193623208194415</v>
      </c>
      <c r="P139" s="303">
        <f t="shared" ref="P139:S139" si="110">P138/P115</f>
        <v>0.70989916820009824</v>
      </c>
      <c r="Q139" s="303">
        <f t="shared" si="110"/>
        <v>0.70689117933900669</v>
      </c>
      <c r="R139" s="303">
        <f t="shared" si="110"/>
        <v>0.69302295001901926</v>
      </c>
      <c r="S139" s="357">
        <f t="shared" si="110"/>
        <v>0.70874398910497127</v>
      </c>
      <c r="T139" s="303">
        <f t="shared" si="109"/>
        <v>0.70455579188270834</v>
      </c>
      <c r="U139" s="303">
        <f t="shared" si="109"/>
        <v>0.69434175816714605</v>
      </c>
      <c r="V139" s="303">
        <f t="shared" si="109"/>
        <v>0.69178006566345585</v>
      </c>
      <c r="W139" s="303">
        <f t="shared" si="109"/>
        <v>0.69583802602829181</v>
      </c>
      <c r="X139" s="303">
        <f t="shared" si="109"/>
        <v>0.70408333377423338</v>
      </c>
    </row>
    <row r="140" spans="1:24" s="110" customFormat="1" x14ac:dyDescent="0.25">
      <c r="B140" s="110" t="s">
        <v>198</v>
      </c>
      <c r="C140" s="111">
        <f t="shared" ref="C140:X140" si="111">C115-C138</f>
        <v>453.67000000000053</v>
      </c>
      <c r="D140" s="111">
        <f t="shared" si="111"/>
        <v>656.02700000000004</v>
      </c>
      <c r="E140" s="151">
        <f t="shared" si="111"/>
        <v>870.85589685383502</v>
      </c>
      <c r="F140" s="162">
        <f t="shared" si="111"/>
        <v>266.51499999999999</v>
      </c>
      <c r="G140" s="151">
        <f t="shared" si="111"/>
        <v>303.23299999999995</v>
      </c>
      <c r="H140" s="151">
        <f t="shared" si="111"/>
        <v>316.70100000000014</v>
      </c>
      <c r="I140" s="130">
        <f t="shared" si="111"/>
        <v>314.90400000000011</v>
      </c>
      <c r="J140" s="151">
        <v>1119.67</v>
      </c>
      <c r="K140" s="162">
        <f t="shared" si="111"/>
        <v>399.22700000000009</v>
      </c>
      <c r="L140" s="111">
        <f t="shared" si="111"/>
        <v>286.48700000000008</v>
      </c>
      <c r="M140" s="111">
        <f t="shared" si="111"/>
        <v>351.61700000000019</v>
      </c>
      <c r="N140" s="130">
        <f t="shared" si="111"/>
        <v>293.86900000000026</v>
      </c>
      <c r="O140" s="130">
        <f t="shared" si="111"/>
        <v>1179.3620000000001</v>
      </c>
      <c r="P140" s="111">
        <f t="shared" ref="P140:S140" si="112">P115-P138</f>
        <v>348.41399999999999</v>
      </c>
      <c r="Q140" s="111">
        <f t="shared" si="112"/>
        <v>362.1550000000002</v>
      </c>
      <c r="R140" s="111">
        <f t="shared" si="112"/>
        <v>392.2080000000002</v>
      </c>
      <c r="S140" s="130">
        <f t="shared" si="112"/>
        <v>377.74695172499969</v>
      </c>
      <c r="T140" s="111">
        <f t="shared" ref="T140" si="113">SUM(P140:S140)</f>
        <v>1480.5239517250002</v>
      </c>
      <c r="U140" s="111">
        <f t="shared" si="111"/>
        <v>1643.7864346484394</v>
      </c>
      <c r="V140" s="111">
        <f t="shared" si="111"/>
        <v>1741.5115881945267</v>
      </c>
      <c r="W140" s="111">
        <f t="shared" si="111"/>
        <v>1787.5190516838156</v>
      </c>
      <c r="X140" s="111">
        <f t="shared" si="111"/>
        <v>1798.8323165230686</v>
      </c>
    </row>
    <row r="141" spans="1:24" x14ac:dyDescent="0.25">
      <c r="B141" s="115" t="s">
        <v>230</v>
      </c>
      <c r="C141" s="93">
        <f t="shared" ref="C141:X141" si="114">C140/C115</f>
        <v>0.14995203993873291</v>
      </c>
      <c r="D141" s="93">
        <f t="shared" si="114"/>
        <v>0.19241031218168184</v>
      </c>
      <c r="E141" s="135">
        <f t="shared" si="114"/>
        <v>0.22879046415206886</v>
      </c>
      <c r="F141" s="160">
        <f t="shared" si="114"/>
        <v>0.26664192155465999</v>
      </c>
      <c r="G141" s="135">
        <f t="shared" si="114"/>
        <v>0.29236914722732699</v>
      </c>
      <c r="H141" s="135">
        <f t="shared" si="114"/>
        <v>0.29908489942393057</v>
      </c>
      <c r="I141" s="128">
        <f t="shared" si="114"/>
        <v>0.28817174781403143</v>
      </c>
      <c r="J141" s="135">
        <f t="shared" si="114"/>
        <v>0.26732980815581903</v>
      </c>
      <c r="K141" s="160">
        <f t="shared" si="114"/>
        <v>0.36869772248506888</v>
      </c>
      <c r="L141" s="93">
        <f t="shared" si="114"/>
        <v>0.25507161471665296</v>
      </c>
      <c r="M141" s="93">
        <f t="shared" si="114"/>
        <v>0.30059517703139865</v>
      </c>
      <c r="N141" s="128">
        <f t="shared" si="114"/>
        <v>0.24567987519918155</v>
      </c>
      <c r="O141" s="128">
        <f t="shared" si="114"/>
        <v>0.25806376791805591</v>
      </c>
      <c r="P141" s="93">
        <f t="shared" ref="P141:S141" si="115">P140/P115</f>
        <v>0.29010083179990176</v>
      </c>
      <c r="Q141" s="93">
        <f t="shared" si="115"/>
        <v>0.29310882066099331</v>
      </c>
      <c r="R141" s="93">
        <f t="shared" si="115"/>
        <v>0.30697704998098074</v>
      </c>
      <c r="S141" s="128">
        <f t="shared" si="115"/>
        <v>0.29125601089502867</v>
      </c>
      <c r="T141" s="93">
        <f t="shared" si="114"/>
        <v>0.29544420811729161</v>
      </c>
      <c r="U141" s="93">
        <f t="shared" si="114"/>
        <v>0.30565824183285395</v>
      </c>
      <c r="V141" s="93">
        <f t="shared" si="114"/>
        <v>0.30821993433654415</v>
      </c>
      <c r="W141" s="93">
        <f t="shared" si="114"/>
        <v>0.30416197397170819</v>
      </c>
      <c r="X141" s="93">
        <f t="shared" si="114"/>
        <v>0.29591666622576668</v>
      </c>
    </row>
    <row r="142" spans="1:24" x14ac:dyDescent="0.25">
      <c r="E142" s="68"/>
      <c r="F142" s="66"/>
      <c r="G142" s="68"/>
      <c r="H142" s="68"/>
      <c r="I142" s="69"/>
      <c r="J142" s="68"/>
      <c r="K142" s="66"/>
      <c r="O142" s="69"/>
      <c r="P142" s="296"/>
      <c r="Q142" s="296"/>
      <c r="S142" s="69"/>
      <c r="T142" s="95"/>
    </row>
    <row r="143" spans="1:24" s="111" customFormat="1" x14ac:dyDescent="0.25">
      <c r="B143" s="112" t="s">
        <v>205</v>
      </c>
      <c r="C143" s="111">
        <v>731.0180000000006</v>
      </c>
      <c r="D143" s="111">
        <v>920.34600000000023</v>
      </c>
      <c r="E143" s="151">
        <v>1166.1430000000005</v>
      </c>
      <c r="F143" s="162">
        <f>705.22-G143</f>
        <v>334.78300000000002</v>
      </c>
      <c r="G143" s="151">
        <v>370.43700000000001</v>
      </c>
      <c r="H143" s="151">
        <v>381.25100000000009</v>
      </c>
      <c r="I143" s="130">
        <v>381.30600000000015</v>
      </c>
      <c r="J143" s="151">
        <f>SUM(F143:I143)</f>
        <v>1467.777</v>
      </c>
      <c r="K143" s="162">
        <f>814.18-L143</f>
        <v>399.21799999999996</v>
      </c>
      <c r="L143" s="111">
        <v>414.96199999999999</v>
      </c>
      <c r="M143" s="111">
        <v>447</v>
      </c>
      <c r="N143" s="130">
        <v>396.23500000000001</v>
      </c>
      <c r="O143" s="418">
        <v>1657.617</v>
      </c>
      <c r="P143" s="111">
        <v>441.36700000000002</v>
      </c>
      <c r="Q143" s="111">
        <v>468</v>
      </c>
      <c r="R143" s="111">
        <v>491.892</v>
      </c>
      <c r="S143" s="111">
        <f>S140+S136+S167</f>
        <v>470.07966784999968</v>
      </c>
      <c r="T143" s="111">
        <f>T140+T136+T167</f>
        <v>1852.9616678500004</v>
      </c>
      <c r="U143" s="111">
        <f>U140+U136+U167</f>
        <v>2070.2923780471083</v>
      </c>
      <c r="V143" s="111">
        <f>V140+V136</f>
        <v>2080.5250122178368</v>
      </c>
      <c r="W143" s="111">
        <f>W140+W136</f>
        <v>2140.1309896606681</v>
      </c>
      <c r="X143" s="111">
        <f>X140+X136</f>
        <v>2163.5631725710346</v>
      </c>
    </row>
    <row r="144" spans="1:24" x14ac:dyDescent="0.25">
      <c r="B144" s="114" t="s">
        <v>215</v>
      </c>
      <c r="C144" s="93">
        <f t="shared" ref="C144:L144" si="116">C143/C115</f>
        <v>0.24162417689495141</v>
      </c>
      <c r="D144" s="93">
        <f t="shared" si="116"/>
        <v>0.26993410511329896</v>
      </c>
      <c r="E144" s="135">
        <f t="shared" si="116"/>
        <v>0.30636802162283161</v>
      </c>
      <c r="F144" s="160">
        <f t="shared" si="116"/>
        <v>0.33494243259791662</v>
      </c>
      <c r="G144" s="135">
        <f t="shared" si="116"/>
        <v>0.35716544634472286</v>
      </c>
      <c r="H144" s="135">
        <f t="shared" si="116"/>
        <v>0.36004438568325625</v>
      </c>
      <c r="I144" s="128">
        <f t="shared" si="116"/>
        <v>0.34893687114795963</v>
      </c>
      <c r="J144" s="135">
        <f t="shared" si="116"/>
        <v>0.35044302680747325</v>
      </c>
      <c r="K144" s="160">
        <f t="shared" si="116"/>
        <v>0.36868941072383427</v>
      </c>
      <c r="L144" s="93">
        <f t="shared" si="116"/>
        <v>0.36945839562022609</v>
      </c>
      <c r="M144" s="93">
        <v>0.375</v>
      </c>
      <c r="N144" s="128">
        <v>0.375</v>
      </c>
      <c r="O144" s="128">
        <f t="shared" ref="O144:X144" si="117">O143/O115</f>
        <v>0.3627138137272729</v>
      </c>
      <c r="P144" s="93">
        <f t="shared" ref="P144:S144" si="118">P143/P115</f>
        <v>0.36749652375916936</v>
      </c>
      <c r="Q144" s="93">
        <f t="shared" si="118"/>
        <v>0.37877408311177474</v>
      </c>
      <c r="R144" s="93">
        <f t="shared" si="118"/>
        <v>0.38499866160110069</v>
      </c>
      <c r="S144" s="128">
        <f t="shared" si="118"/>
        <v>0.36244773977825295</v>
      </c>
      <c r="T144" s="93">
        <f t="shared" si="117"/>
        <v>0.36976557656618364</v>
      </c>
      <c r="U144" s="93">
        <f t="shared" si="117"/>
        <v>0.38496602418377801</v>
      </c>
      <c r="V144" s="93">
        <f t="shared" si="117"/>
        <v>0.36821993433654415</v>
      </c>
      <c r="W144" s="93">
        <f t="shared" si="117"/>
        <v>0.36416197397170819</v>
      </c>
      <c r="X144" s="93">
        <f t="shared" si="117"/>
        <v>0.35591666622576662</v>
      </c>
    </row>
    <row r="145" spans="1:29" x14ac:dyDescent="0.25">
      <c r="B145" s="114"/>
      <c r="C145" s="93"/>
      <c r="D145" s="93"/>
      <c r="E145" s="135"/>
      <c r="F145" s="160"/>
      <c r="G145" s="135"/>
      <c r="H145" s="135"/>
      <c r="I145" s="128"/>
      <c r="J145" s="135"/>
      <c r="K145" s="160"/>
      <c r="L145" s="93"/>
      <c r="M145" s="93"/>
      <c r="N145" s="128"/>
      <c r="O145" s="128"/>
      <c r="P145" s="93"/>
      <c r="Q145" s="93"/>
      <c r="R145" s="93"/>
      <c r="S145" s="69"/>
      <c r="T145" s="93"/>
      <c r="U145" s="93"/>
      <c r="V145" s="93"/>
      <c r="W145" s="93"/>
      <c r="X145" s="93"/>
    </row>
    <row r="146" spans="1:29" x14ac:dyDescent="0.25">
      <c r="B146" s="38" t="s">
        <v>24</v>
      </c>
      <c r="C146" s="95">
        <v>-304.93799999999999</v>
      </c>
      <c r="D146" s="95">
        <v>-265.32099999999997</v>
      </c>
      <c r="E146" s="150">
        <v>-204.67099999999999</v>
      </c>
      <c r="F146" s="161">
        <v>-54.091999999999999</v>
      </c>
      <c r="G146" s="150">
        <v>-67.521000000000001</v>
      </c>
      <c r="H146" s="150">
        <v>-75.415999999999997</v>
      </c>
      <c r="I146" s="131">
        <v>-71.980999999999995</v>
      </c>
      <c r="J146" s="150">
        <f>SUM(F146:I146)</f>
        <v>-269.01</v>
      </c>
      <c r="K146" s="161">
        <v>-69.900000000000006</v>
      </c>
      <c r="L146" s="95">
        <v>-75.400000000000006</v>
      </c>
      <c r="M146" s="95">
        <v>-76.099999999999994</v>
      </c>
      <c r="N146" s="131">
        <v>-77.191000000000003</v>
      </c>
      <c r="O146" s="131">
        <v>-299.10300000000001</v>
      </c>
      <c r="P146" s="95">
        <v>-78.400000000000006</v>
      </c>
      <c r="Q146" s="95">
        <f>-83.396+2.515</f>
        <v>-80.881</v>
      </c>
      <c r="R146" s="95">
        <f>-89.1+2.37</f>
        <v>-86.72999999999999</v>
      </c>
      <c r="S146" s="131">
        <f>R146</f>
        <v>-86.72999999999999</v>
      </c>
      <c r="T146" s="95">
        <f t="shared" ref="T146" si="119">SUM(P146:S146)</f>
        <v>-332.74099999999999</v>
      </c>
      <c r="U146" s="95">
        <f>T146-50</f>
        <v>-382.74099999999999</v>
      </c>
      <c r="V146" s="95">
        <f>U146-50</f>
        <v>-432.74099999999999</v>
      </c>
      <c r="W146" s="95">
        <f>V146-50</f>
        <v>-482.74099999999999</v>
      </c>
      <c r="X146" s="95">
        <f>W146-50</f>
        <v>-532.74099999999999</v>
      </c>
      <c r="Y146" s="95"/>
    </row>
    <row r="147" spans="1:29" s="110" customFormat="1" x14ac:dyDescent="0.25">
      <c r="B147" s="110" t="s">
        <v>4</v>
      </c>
      <c r="C147" s="111">
        <v>177.72300000000061</v>
      </c>
      <c r="D147" s="111">
        <v>192.6720000000002</v>
      </c>
      <c r="E147" s="151">
        <v>436.38400000000036</v>
      </c>
      <c r="F147" s="162">
        <f t="shared" ref="F147:M147" si="120">F140+F146</f>
        <v>212.423</v>
      </c>
      <c r="G147" s="151">
        <f t="shared" si="120"/>
        <v>235.71199999999993</v>
      </c>
      <c r="H147" s="151">
        <f t="shared" si="120"/>
        <v>241.28500000000014</v>
      </c>
      <c r="I147" s="130">
        <f t="shared" si="120"/>
        <v>242.92300000000012</v>
      </c>
      <c r="J147" s="151">
        <f t="shared" si="120"/>
        <v>850.66000000000008</v>
      </c>
      <c r="K147" s="162">
        <f t="shared" si="120"/>
        <v>329.32700000000011</v>
      </c>
      <c r="L147" s="111">
        <f t="shared" si="120"/>
        <v>211.08700000000007</v>
      </c>
      <c r="M147" s="111">
        <f t="shared" si="120"/>
        <v>275.51700000000017</v>
      </c>
      <c r="N147" s="130">
        <v>219.98</v>
      </c>
      <c r="O147" s="130">
        <v>891.96400000000006</v>
      </c>
      <c r="P147" s="111">
        <f>P140+P146+10.848</f>
        <v>280.86200000000002</v>
      </c>
      <c r="Q147" s="111">
        <f t="shared" ref="Q147:S147" si="121">Q140+Q146</f>
        <v>281.27400000000023</v>
      </c>
      <c r="R147" s="111">
        <f t="shared" si="121"/>
        <v>305.47800000000018</v>
      </c>
      <c r="S147" s="130">
        <f t="shared" si="121"/>
        <v>291.01695172499967</v>
      </c>
      <c r="T147" s="111">
        <f>T140+T146</f>
        <v>1147.7829517250002</v>
      </c>
      <c r="U147" s="111">
        <f>U140+U146</f>
        <v>1261.0454346484394</v>
      </c>
      <c r="V147" s="111">
        <f>V140+V146</f>
        <v>1308.7705881945267</v>
      </c>
      <c r="W147" s="111">
        <f>W140+W146</f>
        <v>1304.7780516838156</v>
      </c>
      <c r="X147" s="111">
        <f>X140+X146</f>
        <v>1266.0913165230686</v>
      </c>
    </row>
    <row r="148" spans="1:29" x14ac:dyDescent="0.25">
      <c r="B148" s="38" t="s">
        <v>199</v>
      </c>
      <c r="C148" s="95">
        <v>0</v>
      </c>
      <c r="D148" s="95">
        <v>0</v>
      </c>
      <c r="E148" s="150">
        <v>0</v>
      </c>
      <c r="F148" s="161"/>
      <c r="G148" s="150"/>
      <c r="H148" s="150"/>
      <c r="I148" s="131"/>
      <c r="J148" s="150">
        <v>0</v>
      </c>
      <c r="K148" s="161"/>
      <c r="L148" s="95"/>
      <c r="M148" s="95"/>
      <c r="N148" s="131"/>
      <c r="O148" s="69"/>
      <c r="P148" s="95">
        <v>0</v>
      </c>
      <c r="Q148" s="95"/>
      <c r="S148" s="131"/>
      <c r="T148" s="95">
        <f t="shared" ref="T148:T149" si="122">SUM(P148:S148)</f>
        <v>0</v>
      </c>
      <c r="U148" s="95">
        <v>0</v>
      </c>
      <c r="V148" s="95">
        <v>0</v>
      </c>
      <c r="W148" s="95">
        <f>W147*0.4</f>
        <v>521.91122067352626</v>
      </c>
      <c r="X148" s="95">
        <f>X147*0.4</f>
        <v>506.43652660922749</v>
      </c>
      <c r="Y148" s="95"/>
      <c r="AA148" s="95"/>
      <c r="AB148" s="95"/>
    </row>
    <row r="149" spans="1:29" x14ac:dyDescent="0.25">
      <c r="B149" s="38" t="s">
        <v>200</v>
      </c>
      <c r="C149" s="95">
        <v>-14.234000000000002</v>
      </c>
      <c r="D149" s="95">
        <v>-2998.2339999999999</v>
      </c>
      <c r="E149" s="150">
        <v>-259.87700000000001</v>
      </c>
      <c r="F149" s="161"/>
      <c r="G149" s="150"/>
      <c r="H149" s="150"/>
      <c r="I149" s="131"/>
      <c r="J149" s="150">
        <v>-345</v>
      </c>
      <c r="K149" s="161">
        <v>-138.9</v>
      </c>
      <c r="L149" s="95">
        <v>-45.4</v>
      </c>
      <c r="M149" s="95">
        <v>-97.6</v>
      </c>
      <c r="N149" s="131">
        <v>-85.346999999999994</v>
      </c>
      <c r="O149" s="131">
        <v>-382.24</v>
      </c>
      <c r="P149" s="95">
        <v>-109.343</v>
      </c>
      <c r="Q149" s="95">
        <f t="shared" ref="Q149:S149" si="123">-Q205</f>
        <v>-112.50960000000009</v>
      </c>
      <c r="R149" s="95">
        <f>-111.556</f>
        <v>-111.556</v>
      </c>
      <c r="S149" s="131">
        <f t="shared" si="123"/>
        <v>-116.40678068999988</v>
      </c>
      <c r="T149" s="95">
        <f t="shared" si="122"/>
        <v>-449.81538068999998</v>
      </c>
      <c r="U149" s="95">
        <f>-U205</f>
        <v>-504.41817385937577</v>
      </c>
      <c r="V149" s="95">
        <f>-V205</f>
        <v>-523.50823527781074</v>
      </c>
      <c r="W149" s="95">
        <f>W205</f>
        <v>521.91122067352626</v>
      </c>
      <c r="X149" s="95">
        <f>X205</f>
        <v>506.43652660922749</v>
      </c>
      <c r="Y149" s="95"/>
      <c r="AA149" s="95"/>
      <c r="AB149" s="95"/>
    </row>
    <row r="150" spans="1:29" x14ac:dyDescent="0.25">
      <c r="E150" s="68"/>
      <c r="F150" s="66"/>
      <c r="G150" s="68"/>
      <c r="H150" s="68"/>
      <c r="I150" s="69"/>
      <c r="J150" s="68"/>
      <c r="K150" s="66"/>
      <c r="O150" s="69"/>
      <c r="S150" s="69"/>
    </row>
    <row r="151" spans="1:29" x14ac:dyDescent="0.25">
      <c r="B151" s="38" t="s">
        <v>17</v>
      </c>
      <c r="C151" s="95">
        <v>426.9</v>
      </c>
      <c r="D151" s="95">
        <v>3472.7</v>
      </c>
      <c r="E151" s="150">
        <v>65.2</v>
      </c>
      <c r="F151" s="161">
        <v>94</v>
      </c>
      <c r="G151" s="150">
        <v>120</v>
      </c>
      <c r="H151" s="150">
        <v>136.1</v>
      </c>
      <c r="I151" s="131">
        <v>143.1</v>
      </c>
      <c r="J151" s="150">
        <v>493.2</v>
      </c>
      <c r="K151" s="161">
        <v>105.7</v>
      </c>
      <c r="L151" s="95">
        <v>102.8</v>
      </c>
      <c r="M151" s="95">
        <v>166.55</v>
      </c>
      <c r="N151" s="131">
        <v>134.63300000000001</v>
      </c>
      <c r="O151" s="131">
        <f>SUM(K151:N151)</f>
        <v>509.68299999999999</v>
      </c>
      <c r="P151" s="95">
        <f>P147-P148+P149</f>
        <v>171.51900000000001</v>
      </c>
      <c r="Q151" s="95">
        <v>173.01499999999999</v>
      </c>
      <c r="R151" s="95">
        <f t="shared" ref="R151:S151" si="124">R147-R148+R149</f>
        <v>193.9220000000002</v>
      </c>
      <c r="S151" s="131">
        <f t="shared" si="124"/>
        <v>174.61017103499978</v>
      </c>
      <c r="T151" s="95">
        <f t="shared" ref="T151" si="125">SUM(P151:S151)</f>
        <v>713.06617103499991</v>
      </c>
      <c r="U151" s="95">
        <f>U147-U148+U149</f>
        <v>756.6272607890636</v>
      </c>
      <c r="V151" s="95">
        <f>V147-V148+V149</f>
        <v>785.26235291671594</v>
      </c>
      <c r="W151" s="95">
        <f>W147-W148+W149</f>
        <v>1304.7780516838156</v>
      </c>
      <c r="X151" s="95">
        <f>X147-X148+X149</f>
        <v>1266.0913165230686</v>
      </c>
      <c r="Y151" s="95"/>
      <c r="AA151" s="95"/>
    </row>
    <row r="152" spans="1:29" x14ac:dyDescent="0.25">
      <c r="E152" s="68"/>
      <c r="F152" s="66"/>
      <c r="G152" s="68"/>
      <c r="H152" s="68"/>
      <c r="I152" s="69"/>
      <c r="J152" s="68"/>
      <c r="K152" s="66"/>
      <c r="O152" s="69"/>
      <c r="S152" s="69"/>
    </row>
    <row r="153" spans="1:29" x14ac:dyDescent="0.25">
      <c r="B153" s="38" t="s">
        <v>231</v>
      </c>
      <c r="C153" s="95">
        <v>6573.5162499999997</v>
      </c>
      <c r="D153" s="95">
        <v>6564.1129999999994</v>
      </c>
      <c r="E153" s="150">
        <v>6387.551752604395</v>
      </c>
      <c r="F153" s="161">
        <v>6173.848</v>
      </c>
      <c r="G153" s="150">
        <v>6210.0780000000004</v>
      </c>
      <c r="H153" s="150">
        <v>5974.0469999999996</v>
      </c>
      <c r="I153" s="131">
        <v>5643.8389999999999</v>
      </c>
      <c r="J153" s="150">
        <f>I153</f>
        <v>5643.8389999999999</v>
      </c>
      <c r="K153" s="161">
        <v>5639.8379999999997</v>
      </c>
      <c r="L153" s="95">
        <v>5470</v>
      </c>
      <c r="M153" s="95">
        <v>5370</v>
      </c>
      <c r="N153" s="131">
        <v>5247.5140000000001</v>
      </c>
      <c r="O153" s="131">
        <v>5435.1660000000002</v>
      </c>
      <c r="P153" s="396">
        <v>5110.6180000000004</v>
      </c>
      <c r="Q153" s="396">
        <v>4988.2470000000003</v>
      </c>
      <c r="R153" s="396">
        <v>4919.8289999999997</v>
      </c>
      <c r="S153" s="436">
        <f>R153+(S185/Summary!$G$7)</f>
        <v>4801.9044716981125</v>
      </c>
      <c r="T153" s="203">
        <f>AVERAGE(P153:S153)</f>
        <v>4955.1496179245287</v>
      </c>
      <c r="U153" s="203">
        <f>Drivers!F56</f>
        <v>4400</v>
      </c>
      <c r="V153" s="203">
        <f>Drivers!G56</f>
        <v>3900</v>
      </c>
      <c r="W153" s="203">
        <f>Drivers!H56</f>
        <v>3400</v>
      </c>
      <c r="X153" s="203">
        <f>Drivers!I56</f>
        <v>2900</v>
      </c>
    </row>
    <row r="154" spans="1:29" hidden="1" outlineLevel="2" x14ac:dyDescent="0.25">
      <c r="B154" s="38" t="s">
        <v>57</v>
      </c>
      <c r="C154" s="195">
        <v>2.487085964075933E-2</v>
      </c>
      <c r="D154" s="195">
        <v>0.48611381309249252</v>
      </c>
      <c r="E154" s="196">
        <v>2.7632965936915218E-2</v>
      </c>
      <c r="F154" s="197">
        <v>1.522356883421813E-2</v>
      </c>
      <c r="G154" s="196">
        <v>1.9317148673494933E-2</v>
      </c>
      <c r="H154" s="196">
        <v>2.2793593689503955E-2</v>
      </c>
      <c r="I154" s="198">
        <v>2.53589799425533E-2</v>
      </c>
      <c r="J154" s="196">
        <f>SUM(F154:I154)</f>
        <v>8.2693291139770322E-2</v>
      </c>
      <c r="K154" s="197">
        <v>1.8740254595965362E-2</v>
      </c>
      <c r="L154" s="195">
        <f>L151/L153</f>
        <v>1.8793418647166361E-2</v>
      </c>
      <c r="M154" s="195"/>
      <c r="N154" s="198"/>
      <c r="O154" s="129">
        <f t="shared" ref="O154:X154" si="126">O151/O153</f>
        <v>9.377505673239786E-2</v>
      </c>
      <c r="P154" s="108">
        <f t="shared" ref="P154" si="127">P151/P153</f>
        <v>3.3561303153552074E-2</v>
      </c>
      <c r="Q154" s="108"/>
      <c r="R154" s="108"/>
      <c r="S154" s="69"/>
      <c r="T154" s="108">
        <f t="shared" si="126"/>
        <v>0.14390406466347402</v>
      </c>
      <c r="U154" s="108">
        <f t="shared" si="126"/>
        <v>0.17196074108842355</v>
      </c>
      <c r="V154" s="108">
        <f t="shared" si="126"/>
        <v>0.20134932126069641</v>
      </c>
      <c r="W154" s="108">
        <f t="shared" si="126"/>
        <v>0.38375825049523987</v>
      </c>
      <c r="X154" s="108">
        <f t="shared" si="126"/>
        <v>0.43658321259416161</v>
      </c>
    </row>
    <row r="155" spans="1:29" s="108" customFormat="1" hidden="1" outlineLevel="1" collapsed="1" x14ac:dyDescent="0.25">
      <c r="B155" s="136" t="s">
        <v>216</v>
      </c>
      <c r="C155" s="108">
        <v>-1.0019599479958691E-2</v>
      </c>
      <c r="D155" s="108">
        <v>-0.46675497512002001</v>
      </c>
      <c r="E155" s="107">
        <v>1.6094867639715422E-2</v>
      </c>
      <c r="F155" s="157">
        <v>0</v>
      </c>
      <c r="G155" s="107">
        <v>0</v>
      </c>
      <c r="H155" s="107">
        <v>0</v>
      </c>
      <c r="I155" s="129">
        <v>0</v>
      </c>
      <c r="J155" s="107">
        <v>0</v>
      </c>
      <c r="K155" s="157">
        <v>2.4505313805112842E-2</v>
      </c>
      <c r="L155" s="108">
        <v>0</v>
      </c>
      <c r="M155" s="108">
        <v>0</v>
      </c>
      <c r="N155" s="129">
        <v>0</v>
      </c>
      <c r="O155" s="129">
        <v>0</v>
      </c>
      <c r="P155" s="108">
        <v>0</v>
      </c>
      <c r="S155" s="129"/>
      <c r="T155" s="108">
        <v>0</v>
      </c>
      <c r="U155" s="108">
        <v>0</v>
      </c>
      <c r="V155" s="108">
        <v>0</v>
      </c>
      <c r="W155" s="108">
        <v>0</v>
      </c>
      <c r="X155" s="108">
        <v>0</v>
      </c>
    </row>
    <row r="156" spans="1:29" s="108" customFormat="1" collapsed="1" x14ac:dyDescent="0.25">
      <c r="B156" s="100" t="s">
        <v>93</v>
      </c>
      <c r="C156" s="108">
        <v>1.4851260160800638E-2</v>
      </c>
      <c r="D156" s="108">
        <v>1.9358837972472509E-2</v>
      </c>
      <c r="E156" s="107">
        <v>4.372783357663064E-2</v>
      </c>
      <c r="F156" s="157">
        <v>1.6526775521522385E-2</v>
      </c>
      <c r="G156" s="107">
        <v>1.9423878411833163E-2</v>
      </c>
      <c r="H156" s="107">
        <v>2.1209608829659363E-2</v>
      </c>
      <c r="I156" s="129">
        <v>2.370623967125924E-2</v>
      </c>
      <c r="J156" s="107">
        <f>SUM(F156:I156)</f>
        <v>8.0866502434274151E-2</v>
      </c>
      <c r="K156" s="157">
        <f>K151/K153</f>
        <v>1.8741673076425245E-2</v>
      </c>
      <c r="L156" s="108">
        <f>L151/L153</f>
        <v>1.8793418647166361E-2</v>
      </c>
      <c r="M156" s="108">
        <f>M151/M153</f>
        <v>3.1014897579143393E-2</v>
      </c>
      <c r="N156" s="129">
        <f>N151/N153</f>
        <v>2.5656529930172652E-2</v>
      </c>
      <c r="O156" s="129">
        <f t="shared" ref="O156:X156" si="128">SUM(K156:N156)</f>
        <v>9.4206519232907654E-2</v>
      </c>
      <c r="P156" s="107">
        <f t="shared" ref="P156:S156" si="129">P151/P153</f>
        <v>3.3561303153552074E-2</v>
      </c>
      <c r="Q156" s="107">
        <f t="shared" si="129"/>
        <v>3.4684529454936767E-2</v>
      </c>
      <c r="R156" s="107">
        <f t="shared" si="129"/>
        <v>3.9416410611019248E-2</v>
      </c>
      <c r="S156" s="129">
        <f t="shared" si="129"/>
        <v>3.6362691524609157E-2</v>
      </c>
      <c r="T156" s="108">
        <f>SUM(L156:O156)</f>
        <v>0.16967136538939007</v>
      </c>
      <c r="U156" s="108">
        <f>SUM(M156:T156)</f>
        <v>0.46457424687573101</v>
      </c>
      <c r="V156" s="108">
        <f>SUM(N156:U156)</f>
        <v>0.89813359617231858</v>
      </c>
      <c r="W156" s="108">
        <f>SUM(O156:V156)</f>
        <v>1.7706106624144646</v>
      </c>
      <c r="X156" s="108">
        <f t="shared" si="128"/>
        <v>3.3029898708519045</v>
      </c>
    </row>
    <row r="157" spans="1:29" x14ac:dyDescent="0.25">
      <c r="E157" s="68"/>
      <c r="F157" s="66"/>
      <c r="G157" s="68"/>
      <c r="H157" s="68"/>
      <c r="I157" s="69"/>
      <c r="J157" s="68"/>
      <c r="K157" s="66"/>
      <c r="O157" s="131"/>
      <c r="R157" s="95"/>
      <c r="S157" s="69"/>
    </row>
    <row r="158" spans="1:29" x14ac:dyDescent="0.25">
      <c r="E158" s="68"/>
      <c r="F158" s="72"/>
      <c r="G158" s="73"/>
      <c r="H158" s="73"/>
      <c r="I158" s="74"/>
      <c r="J158" s="68"/>
      <c r="K158" s="72"/>
      <c r="O158" s="69"/>
      <c r="S158" s="69"/>
    </row>
    <row r="159" spans="1:29" x14ac:dyDescent="0.25">
      <c r="A159" s="38" t="s">
        <v>226</v>
      </c>
      <c r="B159" s="117" t="s">
        <v>227</v>
      </c>
      <c r="C159" s="118"/>
      <c r="D159" s="118"/>
      <c r="E159" s="118"/>
      <c r="F159" s="118"/>
      <c r="G159" s="118"/>
      <c r="H159" s="118"/>
      <c r="I159" s="118"/>
      <c r="J159" s="118"/>
      <c r="K159" s="315"/>
      <c r="L159" s="118"/>
      <c r="M159" s="118"/>
      <c r="N159" s="118"/>
      <c r="O159" s="417"/>
      <c r="P159" s="118"/>
      <c r="Q159" s="118"/>
      <c r="R159" s="118"/>
      <c r="S159" s="118"/>
      <c r="T159" s="118"/>
      <c r="U159" s="119"/>
      <c r="V159" s="119"/>
      <c r="W159" s="119"/>
      <c r="X159" s="119"/>
    </row>
    <row r="160" spans="1:29" s="124" customFormat="1" x14ac:dyDescent="0.25">
      <c r="B160" s="125"/>
      <c r="C160" s="126"/>
      <c r="D160" s="126"/>
      <c r="E160" s="126"/>
      <c r="F160" s="126"/>
      <c r="G160" s="126"/>
      <c r="H160" s="126"/>
      <c r="I160" s="126"/>
      <c r="J160" s="126"/>
      <c r="K160" s="316"/>
      <c r="L160" s="126"/>
      <c r="M160" s="126"/>
      <c r="N160" s="126"/>
      <c r="O160" s="419"/>
      <c r="P160" s="126"/>
      <c r="Q160" s="126"/>
      <c r="R160" s="126"/>
      <c r="S160" s="434"/>
      <c r="T160" s="126"/>
      <c r="U160" s="126"/>
      <c r="V160" s="126"/>
      <c r="W160" s="126"/>
      <c r="X160" s="126"/>
      <c r="Y160" s="139"/>
      <c r="AA160" s="139"/>
      <c r="AB160" s="139"/>
      <c r="AC160" s="139"/>
    </row>
    <row r="161" spans="1:29" x14ac:dyDescent="0.25">
      <c r="A161" s="5"/>
      <c r="B161" s="174" t="s">
        <v>10</v>
      </c>
      <c r="C161" s="5"/>
      <c r="D161" s="184">
        <v>3472.7020000000002</v>
      </c>
      <c r="E161" s="184">
        <v>377.10599999999982</v>
      </c>
      <c r="F161" s="95">
        <f>F151</f>
        <v>94</v>
      </c>
      <c r="G161" s="95">
        <f>G151</f>
        <v>120</v>
      </c>
      <c r="H161" s="95">
        <f>H151</f>
        <v>136.1</v>
      </c>
      <c r="I161" s="95">
        <f>I151</f>
        <v>143.1</v>
      </c>
      <c r="J161" s="184">
        <v>493.24100000000033</v>
      </c>
      <c r="K161" s="161">
        <f>K151</f>
        <v>105.7</v>
      </c>
      <c r="L161" s="95">
        <f>L151</f>
        <v>102.8</v>
      </c>
      <c r="M161" s="95">
        <f>M151</f>
        <v>166.55</v>
      </c>
      <c r="N161" s="95">
        <f>N151</f>
        <v>134.63300000000001</v>
      </c>
      <c r="O161" s="420">
        <f>SUM(K161:N161)</f>
        <v>509.68299999999999</v>
      </c>
      <c r="P161" s="189">
        <f>P151</f>
        <v>171.51900000000001</v>
      </c>
      <c r="Q161" s="189">
        <f>344.354-P161</f>
        <v>172.83499999999998</v>
      </c>
      <c r="R161" s="189">
        <f>541.306-Q161-P161</f>
        <v>196.95200000000006</v>
      </c>
      <c r="S161" s="420">
        <f t="shared" ref="S161" si="130">S151</f>
        <v>174.61017103499978</v>
      </c>
      <c r="T161" s="189">
        <f>SUM(P161:S161)</f>
        <v>715.91617103499982</v>
      </c>
      <c r="U161" s="189">
        <f>U151</f>
        <v>756.6272607890636</v>
      </c>
      <c r="V161" s="189">
        <f>V151</f>
        <v>785.26235291671594</v>
      </c>
      <c r="W161" s="189">
        <f>W151</f>
        <v>1304.7780516838156</v>
      </c>
      <c r="X161" s="189">
        <f>X151</f>
        <v>1266.0913165230686</v>
      </c>
      <c r="Y161" s="174"/>
      <c r="AA161" s="174"/>
      <c r="AB161" s="174"/>
      <c r="AC161" s="5"/>
    </row>
    <row r="162" spans="1:29" x14ac:dyDescent="0.25">
      <c r="A162" s="6"/>
      <c r="B162" s="175" t="s">
        <v>330</v>
      </c>
      <c r="C162" s="6"/>
      <c r="D162" s="184">
        <v>212.67500000000001</v>
      </c>
      <c r="E162" s="184">
        <v>205.98400000000001</v>
      </c>
      <c r="J162" s="184">
        <v>211.40699999999998</v>
      </c>
      <c r="K162" s="161">
        <v>65</v>
      </c>
      <c r="L162" s="95">
        <v>67.099999999999994</v>
      </c>
      <c r="M162" s="95">
        <v>58.6</v>
      </c>
      <c r="N162" s="95">
        <v>58.4</v>
      </c>
      <c r="O162" s="420">
        <v>272.214</v>
      </c>
      <c r="P162" s="190">
        <f>P136</f>
        <v>67.626999999999995</v>
      </c>
      <c r="Q162" s="190">
        <f>134.335-P162</f>
        <v>66.708000000000013</v>
      </c>
      <c r="R162" s="190">
        <f>202.215-Q162-P162</f>
        <v>67.88000000000001</v>
      </c>
      <c r="S162" s="423">
        <f t="shared" ref="S162" si="131">S136</f>
        <v>71.332716124999976</v>
      </c>
      <c r="T162" s="189">
        <f t="shared" ref="T162:T170" si="132">SUM(P162:S162)</f>
        <v>273.54771612500002</v>
      </c>
      <c r="U162" s="190">
        <f>U136</f>
        <v>322.67144339866883</v>
      </c>
      <c r="V162" s="190">
        <f>V136</f>
        <v>339.01342402330999</v>
      </c>
      <c r="W162" s="190">
        <f>W136</f>
        <v>352.61193797685235</v>
      </c>
      <c r="X162" s="190">
        <f>X136</f>
        <v>364.73085604796603</v>
      </c>
      <c r="Y162" s="175"/>
      <c r="AA162" s="175"/>
      <c r="AB162" s="175"/>
      <c r="AC162" s="6"/>
    </row>
    <row r="163" spans="1:29" x14ac:dyDescent="0.25">
      <c r="A163" s="6"/>
      <c r="B163" s="175" t="s">
        <v>7</v>
      </c>
      <c r="C163" s="6"/>
      <c r="D163" s="184">
        <v>53.619999999999976</v>
      </c>
      <c r="E163" s="184">
        <v>47.33</v>
      </c>
      <c r="J163" s="184">
        <v>55.015999999999998</v>
      </c>
      <c r="K163" s="161">
        <v>15</v>
      </c>
      <c r="L163" s="95">
        <f>K163</f>
        <v>15</v>
      </c>
      <c r="M163" s="95">
        <f>L163</f>
        <v>15</v>
      </c>
      <c r="N163" s="95">
        <f>M163</f>
        <v>15</v>
      </c>
      <c r="O163" s="420">
        <v>0</v>
      </c>
      <c r="P163" s="190">
        <v>0</v>
      </c>
      <c r="Q163" s="190">
        <v>0</v>
      </c>
      <c r="R163" s="189">
        <v>0</v>
      </c>
      <c r="S163" s="420">
        <v>0</v>
      </c>
      <c r="T163" s="189">
        <f t="shared" si="132"/>
        <v>0</v>
      </c>
      <c r="U163" s="190">
        <v>0</v>
      </c>
      <c r="V163" s="190">
        <v>0</v>
      </c>
      <c r="W163" s="190">
        <v>0</v>
      </c>
      <c r="X163" s="190">
        <v>0</v>
      </c>
      <c r="Y163" s="175"/>
      <c r="AA163" s="175"/>
      <c r="AB163" s="175"/>
      <c r="AC163" s="6"/>
    </row>
    <row r="164" spans="1:29" x14ac:dyDescent="0.25">
      <c r="A164" s="7"/>
      <c r="B164" s="176" t="s">
        <v>53</v>
      </c>
      <c r="C164" s="7"/>
      <c r="D164" s="184">
        <v>35.923999999999999</v>
      </c>
      <c r="E164" s="184">
        <v>21.698</v>
      </c>
      <c r="J164" s="184">
        <v>21.039000000000001</v>
      </c>
      <c r="K164" s="161">
        <v>1.9</v>
      </c>
      <c r="L164" s="95">
        <v>2</v>
      </c>
      <c r="M164" s="95">
        <v>2.7</v>
      </c>
      <c r="N164" s="95">
        <v>2.7</v>
      </c>
      <c r="O164" s="420">
        <f>SUM(K164:N164)</f>
        <v>9.3000000000000007</v>
      </c>
      <c r="P164" s="190">
        <v>2.0539999999999998</v>
      </c>
      <c r="Q164" s="190">
        <f>4.23-P164</f>
        <v>2.1760000000000006</v>
      </c>
      <c r="R164" s="189">
        <v>0</v>
      </c>
      <c r="S164" s="420">
        <v>0</v>
      </c>
      <c r="T164" s="189">
        <f t="shared" si="132"/>
        <v>4.2300000000000004</v>
      </c>
      <c r="U164" s="190">
        <f>T164+2</f>
        <v>6.23</v>
      </c>
      <c r="V164" s="190">
        <f>U164+2</f>
        <v>8.23</v>
      </c>
      <c r="W164" s="190">
        <f>V164+2</f>
        <v>10.23</v>
      </c>
      <c r="X164" s="190">
        <f>W164+2</f>
        <v>12.23</v>
      </c>
      <c r="Y164" s="176"/>
      <c r="AA164" s="176"/>
      <c r="AB164" s="176"/>
      <c r="AC164" s="7"/>
    </row>
    <row r="165" spans="1:29" x14ac:dyDescent="0.25">
      <c r="A165" s="6"/>
      <c r="B165" s="175" t="s">
        <v>340</v>
      </c>
      <c r="C165" s="6"/>
      <c r="D165" s="184">
        <v>0.42</v>
      </c>
      <c r="E165" s="184">
        <v>-5.8650000000000002</v>
      </c>
      <c r="J165" s="184">
        <v>-5.5469999999999997</v>
      </c>
      <c r="K165" s="161">
        <v>10.9</v>
      </c>
      <c r="L165" s="95">
        <v>11</v>
      </c>
      <c r="M165" s="95">
        <v>0</v>
      </c>
      <c r="N165" s="95">
        <v>0</v>
      </c>
      <c r="O165" s="420">
        <v>7.3840000000000003</v>
      </c>
      <c r="P165" s="190">
        <f>13.055</f>
        <v>13.055</v>
      </c>
      <c r="Q165" s="190">
        <f>25.7-P165</f>
        <v>12.645</v>
      </c>
      <c r="R165" s="189">
        <f>39.629-Q165-P165</f>
        <v>13.928999999999998</v>
      </c>
      <c r="S165" s="420">
        <v>0</v>
      </c>
      <c r="T165" s="189">
        <f t="shared" si="132"/>
        <v>39.628999999999998</v>
      </c>
      <c r="U165" s="190">
        <v>47</v>
      </c>
      <c r="V165" s="190">
        <v>47</v>
      </c>
      <c r="W165" s="190">
        <v>47</v>
      </c>
      <c r="X165" s="190">
        <v>47</v>
      </c>
      <c r="Y165" s="175"/>
      <c r="AA165" s="175"/>
      <c r="AB165" s="175"/>
      <c r="AC165" s="6"/>
    </row>
    <row r="166" spans="1:29" x14ac:dyDescent="0.25">
      <c r="A166" s="7"/>
      <c r="B166" s="176" t="s">
        <v>99</v>
      </c>
      <c r="C166" s="7"/>
      <c r="D166" s="184">
        <v>132.726</v>
      </c>
      <c r="E166" s="184">
        <v>190.577</v>
      </c>
      <c r="J166" s="184">
        <v>0</v>
      </c>
      <c r="K166" s="161"/>
      <c r="L166" s="95"/>
      <c r="M166" s="95"/>
      <c r="N166" s="95"/>
      <c r="O166" s="420">
        <f>SUM(K166:N166)</f>
        <v>0</v>
      </c>
      <c r="P166" s="190">
        <f>-6.274</f>
        <v>-6.274</v>
      </c>
      <c r="Q166" s="190">
        <f>-8.45-P166</f>
        <v>-2.1759999999999993</v>
      </c>
      <c r="R166" s="189">
        <v>0</v>
      </c>
      <c r="S166" s="420">
        <v>0</v>
      </c>
      <c r="T166" s="189">
        <f t="shared" si="132"/>
        <v>-8.4499999999999993</v>
      </c>
      <c r="U166" s="190">
        <v>0</v>
      </c>
      <c r="V166" s="190">
        <v>0</v>
      </c>
      <c r="W166" s="190">
        <v>0</v>
      </c>
      <c r="X166" s="190">
        <v>0</v>
      </c>
      <c r="Y166" s="176"/>
      <c r="AA166" s="176"/>
      <c r="AB166" s="176"/>
      <c r="AC166" s="7"/>
    </row>
    <row r="167" spans="1:29" x14ac:dyDescent="0.25">
      <c r="A167" s="7"/>
      <c r="B167" s="176" t="s">
        <v>81</v>
      </c>
      <c r="C167" s="7"/>
      <c r="D167" s="184">
        <v>63.822000000000003</v>
      </c>
      <c r="E167" s="184">
        <v>68.876000000000005</v>
      </c>
      <c r="J167" s="184">
        <v>78.212000000000003</v>
      </c>
      <c r="K167" s="161">
        <v>19.399999999999999</v>
      </c>
      <c r="L167" s="95">
        <v>19.5</v>
      </c>
      <c r="M167" s="95">
        <v>23.5</v>
      </c>
      <c r="N167" s="95">
        <v>21.8</v>
      </c>
      <c r="O167" s="420">
        <v>84.31</v>
      </c>
      <c r="P167" s="388">
        <v>23.693000000000001</v>
      </c>
      <c r="Q167" s="388">
        <f>47.87-P167</f>
        <v>24.176999999999996</v>
      </c>
      <c r="R167" s="388">
        <f>77.89-Q167-P167</f>
        <v>30.020000000000007</v>
      </c>
      <c r="S167" s="437">
        <v>21</v>
      </c>
      <c r="T167" s="189">
        <f t="shared" si="132"/>
        <v>98.89</v>
      </c>
      <c r="U167" s="190">
        <f>T167*1.05</f>
        <v>103.83450000000001</v>
      </c>
      <c r="V167" s="190">
        <f>U167*1.05</f>
        <v>109.02622500000001</v>
      </c>
      <c r="W167" s="190">
        <f>V167*1.05</f>
        <v>114.47753625000001</v>
      </c>
      <c r="X167" s="190">
        <f>W167*1.05</f>
        <v>120.20141306250002</v>
      </c>
      <c r="Y167" s="176"/>
      <c r="AA167" s="176"/>
      <c r="AB167" s="176"/>
      <c r="AC167" s="7"/>
    </row>
    <row r="168" spans="1:29" x14ac:dyDescent="0.25">
      <c r="A168" s="7"/>
      <c r="B168" s="176" t="s">
        <v>380</v>
      </c>
      <c r="C168" s="7"/>
      <c r="D168" s="184">
        <v>0</v>
      </c>
      <c r="E168" s="184">
        <v>0</v>
      </c>
      <c r="J168" s="184">
        <v>0</v>
      </c>
      <c r="K168" s="161"/>
      <c r="L168" s="95"/>
      <c r="M168" s="95"/>
      <c r="N168" s="95"/>
      <c r="O168" s="420">
        <v>-1.3939999999999999</v>
      </c>
      <c r="P168" s="190">
        <f>P171-P169-P170-P167-P166-P165-P164-P162-P161</f>
        <v>2.5829999999999131</v>
      </c>
      <c r="Q168" s="190">
        <f>Q171-Q170-Q169-Q167-Q162-Q161-Q165-Q166-Q164</f>
        <v>16.099000000000025</v>
      </c>
      <c r="R168" s="190">
        <f>R171-R170-R169-R167-R162-R161-R165-R166-R164</f>
        <v>0.38499999999996604</v>
      </c>
      <c r="S168" s="176">
        <v>0</v>
      </c>
      <c r="T168" s="507">
        <f>SUM(P168:S168)</f>
        <v>19.066999999999904</v>
      </c>
      <c r="U168" s="190">
        <v>0</v>
      </c>
      <c r="V168" s="190">
        <v>0</v>
      </c>
      <c r="W168" s="190">
        <v>0</v>
      </c>
      <c r="X168" s="190">
        <v>0</v>
      </c>
      <c r="Y168" s="176"/>
      <c r="AA168" s="176"/>
      <c r="AB168" s="176"/>
      <c r="AC168" s="7"/>
    </row>
    <row r="169" spans="1:29" x14ac:dyDescent="0.25">
      <c r="A169" s="7"/>
      <c r="B169" s="176" t="s">
        <v>79</v>
      </c>
      <c r="C169" s="7"/>
      <c r="D169" s="184">
        <v>-3001.8180000000002</v>
      </c>
      <c r="E169" s="184">
        <v>259.78699999999998</v>
      </c>
      <c r="J169" s="184">
        <v>327.46100000000001</v>
      </c>
      <c r="K169" s="161">
        <v>136.30000000000001</v>
      </c>
      <c r="L169" s="95">
        <v>41.4</v>
      </c>
      <c r="M169" s="95">
        <v>89.8</v>
      </c>
      <c r="N169" s="95">
        <f>-N149</f>
        <v>85.346999999999994</v>
      </c>
      <c r="O169" s="420">
        <v>365.49900000000002</v>
      </c>
      <c r="P169" s="190">
        <v>103.081</v>
      </c>
      <c r="Q169" s="190">
        <f>205.221-P169</f>
        <v>102.14</v>
      </c>
      <c r="R169" s="190">
        <f>308.613-Q169-P169</f>
        <v>103.39200000000001</v>
      </c>
      <c r="S169" s="423">
        <f t="shared" ref="S169" si="133">S205</f>
        <v>116.40678068999988</v>
      </c>
      <c r="T169" s="189">
        <f t="shared" si="132"/>
        <v>425.01978068999989</v>
      </c>
      <c r="U169" s="190">
        <f>U205</f>
        <v>504.41817385937577</v>
      </c>
      <c r="V169" s="190">
        <f>V205</f>
        <v>523.50823527781074</v>
      </c>
      <c r="W169" s="190">
        <f>W205</f>
        <v>521.91122067352626</v>
      </c>
      <c r="X169" s="190">
        <f>X205</f>
        <v>506.43652660922749</v>
      </c>
      <c r="Y169" s="176"/>
      <c r="AA169" s="176"/>
      <c r="AB169" s="176"/>
      <c r="AC169" s="7"/>
    </row>
    <row r="170" spans="1:29" x14ac:dyDescent="0.25">
      <c r="A170" s="7"/>
      <c r="B170" s="176" t="s">
        <v>29</v>
      </c>
      <c r="C170" s="7"/>
      <c r="D170" s="185">
        <v>-163.30599999999998</v>
      </c>
      <c r="E170" s="187">
        <v>-62.770000000000039</v>
      </c>
      <c r="F170" s="73"/>
      <c r="G170" s="73"/>
      <c r="H170" s="73"/>
      <c r="I170" s="73"/>
      <c r="J170" s="187">
        <v>72.414999999999992</v>
      </c>
      <c r="K170" s="317">
        <v>-29.2</v>
      </c>
      <c r="L170" s="188">
        <v>158.5</v>
      </c>
      <c r="M170" s="188">
        <v>-342.6</v>
      </c>
      <c r="N170" s="188">
        <f>O170-M170-L170-K170</f>
        <v>152.40600000000001</v>
      </c>
      <c r="O170" s="421">
        <f>-61.44-2.898-14.953-67.2-130.741+52.696+11.2+145.242+7.2</f>
        <v>-60.893999999999991</v>
      </c>
      <c r="P170" s="191">
        <f>-6.44+0.5-3.3-18.545-1-18.239-1.773+30.473+3.172</f>
        <v>-15.152000000000005</v>
      </c>
      <c r="Q170" s="191">
        <f>(-16.3-3.98-2.19-14.05+15.08-12.869+5.448+49.288+1.919)-P170</f>
        <v>37.497999999999998</v>
      </c>
      <c r="R170" s="191">
        <f>(-38.266-5.735-2.373-15.985+26.668-1.841+16.715+52.421)-Q170-P170</f>
        <v>9.2580000000000098</v>
      </c>
      <c r="S170" s="424">
        <f>((R220+R221+R222)-(S220+S221+S222))-((S236-S237-S238)-(R236-R237-R238))</f>
        <v>4.4099689358499745</v>
      </c>
      <c r="T170" s="189">
        <f t="shared" si="132"/>
        <v>36.013968935849974</v>
      </c>
      <c r="U170" s="191">
        <f>U260</f>
        <v>16.932543510146843</v>
      </c>
      <c r="V170" s="191">
        <f>V260</f>
        <v>-104.48238981913937</v>
      </c>
      <c r="W170" s="191">
        <f>W260</f>
        <v>-28.173389955457878</v>
      </c>
      <c r="X170" s="191">
        <f>X260</f>
        <v>-14.673960055673888</v>
      </c>
      <c r="Y170" s="176"/>
      <c r="AA170" s="176"/>
      <c r="AB170" s="176"/>
      <c r="AC170" s="7"/>
    </row>
    <row r="171" spans="1:29" x14ac:dyDescent="0.25">
      <c r="A171" s="4"/>
      <c r="B171" s="177" t="s">
        <v>208</v>
      </c>
      <c r="C171" s="150"/>
      <c r="D171" s="182">
        <v>806.76500000000033</v>
      </c>
      <c r="E171" s="182">
        <v>1102.7229999999997</v>
      </c>
      <c r="F171" s="164">
        <v>251.39</v>
      </c>
      <c r="G171" s="150">
        <v>340.68</v>
      </c>
      <c r="H171" s="150">
        <v>296</v>
      </c>
      <c r="I171" s="150">
        <v>365.1</v>
      </c>
      <c r="J171" s="150">
        <v>1253</v>
      </c>
      <c r="K171" s="318">
        <v>310.029</v>
      </c>
      <c r="L171" s="164">
        <v>402.31200000000001</v>
      </c>
      <c r="M171" s="95">
        <v>188.6</v>
      </c>
      <c r="N171" s="95">
        <f>SUM(N161:N170)</f>
        <v>470.286</v>
      </c>
      <c r="O171" s="420">
        <v>1244.0509999999999</v>
      </c>
      <c r="P171" s="502">
        <v>362.18599999999998</v>
      </c>
      <c r="Q171" s="502">
        <f>794.288-P171</f>
        <v>432.10200000000003</v>
      </c>
      <c r="R171" s="502">
        <f>1216.104-Q171-P171</f>
        <v>421.81599999999997</v>
      </c>
      <c r="S171" s="420">
        <f t="shared" ref="S171" si="134">SUM(S161:S170)</f>
        <v>387.75963678584964</v>
      </c>
      <c r="T171" s="192">
        <f>SUM(T161:T170)</f>
        <v>1603.8636367858496</v>
      </c>
      <c r="U171" s="192">
        <f>SUM(U161:U170)</f>
        <v>1757.7139215572552</v>
      </c>
      <c r="V171" s="192">
        <f>SUM(V161:V170)</f>
        <v>1707.5578473986975</v>
      </c>
      <c r="W171" s="192">
        <f>SUM(W161:W170)</f>
        <v>2322.8353566287365</v>
      </c>
      <c r="X171" s="192">
        <f>SUM(X161:X170)</f>
        <v>2302.0161521870882</v>
      </c>
      <c r="Y171" s="68"/>
      <c r="AA171" s="177"/>
      <c r="AB171" s="177"/>
      <c r="AC171" s="4"/>
    </row>
    <row r="172" spans="1:29" x14ac:dyDescent="0.25">
      <c r="A172" s="3"/>
      <c r="B172" s="178"/>
      <c r="C172" s="3"/>
      <c r="D172" s="170"/>
      <c r="E172" s="170"/>
      <c r="J172" s="67"/>
      <c r="K172" s="161"/>
      <c r="L172" s="95"/>
      <c r="M172" s="95"/>
      <c r="N172" s="95"/>
      <c r="O172" s="422"/>
      <c r="P172" s="193"/>
      <c r="Q172" s="193"/>
      <c r="R172" s="193"/>
      <c r="S172" s="439"/>
      <c r="T172" s="193"/>
      <c r="U172" s="193"/>
      <c r="V172" s="193"/>
      <c r="W172" s="193"/>
      <c r="X172" s="193"/>
      <c r="Y172" s="178"/>
      <c r="AA172" s="178"/>
      <c r="AB172" s="178"/>
      <c r="AC172" s="3"/>
    </row>
    <row r="173" spans="1:29" x14ac:dyDescent="0.25">
      <c r="A173" s="7"/>
      <c r="B173" s="176" t="s">
        <v>27</v>
      </c>
      <c r="C173" s="7"/>
      <c r="D173" s="184">
        <v>-2.5999999999999999E-2</v>
      </c>
      <c r="E173" s="184">
        <v>-1.7190000000000001</v>
      </c>
      <c r="J173" s="184">
        <v>0</v>
      </c>
      <c r="K173" s="161"/>
      <c r="L173" s="95"/>
      <c r="M173" s="95"/>
      <c r="N173" s="95"/>
      <c r="O173" s="423">
        <v>0</v>
      </c>
      <c r="P173" s="189">
        <v>0</v>
      </c>
      <c r="Q173" s="189"/>
      <c r="R173" s="190"/>
      <c r="S173" s="438"/>
      <c r="T173" s="191">
        <f>SUM(P173:S173)</f>
        <v>0</v>
      </c>
      <c r="U173" s="189">
        <v>0</v>
      </c>
      <c r="V173" s="189">
        <v>0</v>
      </c>
      <c r="W173" s="189">
        <v>0</v>
      </c>
      <c r="X173" s="189">
        <v>0</v>
      </c>
      <c r="Y173" s="176"/>
      <c r="AA173" s="176"/>
      <c r="AB173" s="176"/>
      <c r="AC173" s="7"/>
    </row>
    <row r="174" spans="1:29" x14ac:dyDescent="0.25">
      <c r="A174" s="7"/>
      <c r="B174" s="176" t="s">
        <v>241</v>
      </c>
      <c r="C174" s="7"/>
      <c r="D174" s="184">
        <v>-97.293000000000006</v>
      </c>
      <c r="E174" s="184">
        <v>-173.61699999999999</v>
      </c>
      <c r="F174" s="95">
        <f>F176</f>
        <v>-27.4</v>
      </c>
      <c r="G174" s="150">
        <v>-29.81</v>
      </c>
      <c r="H174" s="95">
        <f>H176</f>
        <v>-28.8</v>
      </c>
      <c r="I174" s="95">
        <f>I176</f>
        <v>-34.4</v>
      </c>
      <c r="J174" s="184">
        <v>-121.646</v>
      </c>
      <c r="K174" s="318">
        <f>K176</f>
        <v>-33.700000000000003</v>
      </c>
      <c r="L174" s="164">
        <f>L176</f>
        <v>-31.489999999999995</v>
      </c>
      <c r="M174" s="95">
        <v>-31.2</v>
      </c>
      <c r="N174" s="95">
        <v>-30.7</v>
      </c>
      <c r="O174" s="423">
        <v>-134.892</v>
      </c>
      <c r="P174" s="388">
        <v>-30.170999999999999</v>
      </c>
      <c r="Q174" s="388">
        <f>-67.172-P174</f>
        <v>-37.000999999999998</v>
      </c>
      <c r="R174" s="388">
        <f>-132.246-Q174-P174</f>
        <v>-65.074000000000012</v>
      </c>
      <c r="S174" s="437">
        <v>-50</v>
      </c>
      <c r="T174" s="191">
        <f>SUM(P174:S174)</f>
        <v>-182.24600000000001</v>
      </c>
      <c r="U174" s="388">
        <v>-250</v>
      </c>
      <c r="V174" s="388">
        <v>-250</v>
      </c>
      <c r="W174" s="388">
        <v>-250</v>
      </c>
      <c r="X174" s="388">
        <v>-290</v>
      </c>
      <c r="Y174" s="176" t="s">
        <v>324</v>
      </c>
      <c r="AA174" s="176"/>
      <c r="AB174" s="176"/>
      <c r="AC174" s="7"/>
    </row>
    <row r="175" spans="1:29" x14ac:dyDescent="0.25">
      <c r="A175" s="7"/>
      <c r="B175" s="176" t="s">
        <v>138</v>
      </c>
      <c r="C175" s="7"/>
      <c r="D175" s="185">
        <v>0</v>
      </c>
      <c r="E175" s="187">
        <v>-525.35199999999998</v>
      </c>
      <c r="F175" s="73"/>
      <c r="G175" s="73"/>
      <c r="H175" s="73"/>
      <c r="I175" s="73"/>
      <c r="J175" s="187">
        <v>25.321999999999999</v>
      </c>
      <c r="K175" s="317"/>
      <c r="L175" s="188"/>
      <c r="M175" s="188"/>
      <c r="N175" s="188"/>
      <c r="O175" s="424">
        <v>-3.9660000000000002</v>
      </c>
      <c r="P175" s="191">
        <v>-3.798</v>
      </c>
      <c r="Q175" s="191">
        <v>-0.2</v>
      </c>
      <c r="R175" s="191">
        <f>R176-R174</f>
        <v>-0.21499999999997499</v>
      </c>
      <c r="S175" s="506"/>
      <c r="T175" s="191">
        <f>SUM(P175:S175)</f>
        <v>-4.2129999999999752</v>
      </c>
      <c r="U175" s="191">
        <v>0</v>
      </c>
      <c r="V175" s="191">
        <v>0</v>
      </c>
      <c r="W175" s="191">
        <v>0</v>
      </c>
      <c r="X175" s="191">
        <v>0</v>
      </c>
      <c r="Y175" s="176"/>
      <c r="AA175" s="176"/>
      <c r="AB175" s="176"/>
      <c r="AC175" s="7"/>
    </row>
    <row r="176" spans="1:29" x14ac:dyDescent="0.25">
      <c r="A176" s="4"/>
      <c r="B176" s="177" t="s">
        <v>209</v>
      </c>
      <c r="C176" s="4"/>
      <c r="D176" s="183">
        <v>-97.319000000000003</v>
      </c>
      <c r="E176" s="183">
        <v>-700.68799999999999</v>
      </c>
      <c r="F176" s="164">
        <v>-27.4</v>
      </c>
      <c r="G176" s="150">
        <v>-5.63</v>
      </c>
      <c r="H176" s="150">
        <v>-28.8</v>
      </c>
      <c r="I176" s="150">
        <v>-34.4</v>
      </c>
      <c r="J176" s="150">
        <v>-96.3</v>
      </c>
      <c r="K176" s="318">
        <v>-33.700000000000003</v>
      </c>
      <c r="L176" s="164">
        <v>-31.489999999999995</v>
      </c>
      <c r="M176" s="95">
        <f>M174</f>
        <v>-31.2</v>
      </c>
      <c r="N176" s="95">
        <f>N174</f>
        <v>-30.7</v>
      </c>
      <c r="O176" s="420">
        <f t="shared" ref="O176:X176" si="135">SUM(O173:O175)</f>
        <v>-138.858</v>
      </c>
      <c r="P176" s="192">
        <f t="shared" ref="P176:S176" si="136">SUM(P173:P175)</f>
        <v>-33.969000000000001</v>
      </c>
      <c r="Q176" s="192">
        <f>-71.125-P176</f>
        <v>-37.155999999999999</v>
      </c>
      <c r="R176" s="192">
        <f>-136.414-Q176-P176</f>
        <v>-65.288999999999987</v>
      </c>
      <c r="S176" s="420">
        <f t="shared" si="136"/>
        <v>-50</v>
      </c>
      <c r="T176" s="192">
        <f t="shared" si="135"/>
        <v>-186.45899999999997</v>
      </c>
      <c r="U176" s="192">
        <f t="shared" si="135"/>
        <v>-250</v>
      </c>
      <c r="V176" s="192">
        <f t="shared" si="135"/>
        <v>-250</v>
      </c>
      <c r="W176" s="192">
        <f t="shared" si="135"/>
        <v>-250</v>
      </c>
      <c r="X176" s="192">
        <f t="shared" si="135"/>
        <v>-290</v>
      </c>
      <c r="Y176" s="177"/>
      <c r="AA176" s="177"/>
      <c r="AB176" s="177"/>
      <c r="AC176" s="4"/>
    </row>
    <row r="177" spans="1:29" x14ac:dyDescent="0.25">
      <c r="A177" s="4"/>
      <c r="B177" s="177"/>
      <c r="C177" s="4"/>
      <c r="D177" s="171"/>
      <c r="E177" s="171"/>
      <c r="J177" s="171"/>
      <c r="K177" s="161"/>
      <c r="L177" s="95"/>
      <c r="M177" s="95"/>
      <c r="N177" s="95"/>
      <c r="O177" s="425"/>
      <c r="P177" s="190"/>
      <c r="Q177" s="190"/>
      <c r="R177" s="194"/>
      <c r="S177" s="440"/>
      <c r="T177" s="190"/>
      <c r="U177" s="190"/>
      <c r="V177" s="190"/>
      <c r="W177" s="190"/>
      <c r="X177" s="190"/>
      <c r="Y177" s="177"/>
      <c r="AA177" s="177"/>
      <c r="AB177" s="177"/>
      <c r="AC177" s="4"/>
    </row>
    <row r="178" spans="1:29" x14ac:dyDescent="0.25">
      <c r="A178" s="2"/>
      <c r="B178" s="179" t="s">
        <v>91</v>
      </c>
      <c r="C178" s="2"/>
      <c r="D178" s="184">
        <f>SUM(D179:D180)</f>
        <v>-658.18299999999999</v>
      </c>
      <c r="E178" s="184">
        <f>SUM(E179:E180)</f>
        <v>1173.903</v>
      </c>
      <c r="J178" s="184">
        <f>SUM(J179:J180)</f>
        <v>1389.7849999999999</v>
      </c>
      <c r="K178" s="161">
        <v>1263.7</v>
      </c>
      <c r="L178" s="95">
        <v>-4.4000000000000004</v>
      </c>
      <c r="M178" s="95">
        <v>-500</v>
      </c>
      <c r="N178" s="95"/>
      <c r="O178" s="420">
        <f>-797.117+1728.571</f>
        <v>931.45399999999995</v>
      </c>
      <c r="P178" s="189">
        <f>330-72.299</f>
        <v>257.70100000000002</v>
      </c>
      <c r="Q178" s="189">
        <f>(1387.294-744.831)-P178</f>
        <v>384.76200000000006</v>
      </c>
      <c r="R178" s="189">
        <f>1387-748-Q178-P178</f>
        <v>-3.4630000000000791</v>
      </c>
      <c r="S178" s="420">
        <v>250</v>
      </c>
      <c r="T178" s="189">
        <f>SUM(P178:S178)</f>
        <v>889</v>
      </c>
      <c r="U178" s="189">
        <v>1000</v>
      </c>
      <c r="V178" s="189">
        <v>1000</v>
      </c>
      <c r="W178" s="189">
        <v>1000</v>
      </c>
      <c r="X178" s="189">
        <v>1000</v>
      </c>
      <c r="Y178" s="179"/>
      <c r="AA178" s="179"/>
      <c r="AB178" s="179"/>
      <c r="AC178" s="2"/>
    </row>
    <row r="179" spans="1:29" x14ac:dyDescent="0.25">
      <c r="A179" s="2"/>
      <c r="B179" s="179" t="s">
        <v>76</v>
      </c>
      <c r="C179" s="2"/>
      <c r="D179" s="184">
        <v>-1041.8240000000001</v>
      </c>
      <c r="E179" s="184">
        <v>-1982.16</v>
      </c>
      <c r="J179" s="184">
        <v>-1016.42</v>
      </c>
      <c r="K179" s="161"/>
      <c r="L179" s="95"/>
      <c r="M179" s="95"/>
      <c r="N179" s="95"/>
      <c r="O179" s="420">
        <f t="shared" ref="O179:O184" si="137">SUM(K179:L179)</f>
        <v>0</v>
      </c>
      <c r="P179" s="190">
        <v>0</v>
      </c>
      <c r="Q179" s="190">
        <v>0</v>
      </c>
      <c r="R179" s="190">
        <v>0</v>
      </c>
      <c r="S179" s="423">
        <v>0</v>
      </c>
      <c r="T179" s="189">
        <f t="shared" ref="T179:T186" si="138">SUM(P179:S179)</f>
        <v>0</v>
      </c>
      <c r="U179" s="190">
        <v>0</v>
      </c>
      <c r="V179" s="190">
        <v>0</v>
      </c>
      <c r="W179" s="190">
        <v>0</v>
      </c>
      <c r="X179" s="190">
        <v>0</v>
      </c>
      <c r="Y179" s="179"/>
      <c r="AA179" s="179"/>
      <c r="AB179" s="179"/>
      <c r="AC179" s="2"/>
    </row>
    <row r="180" spans="1:29" x14ac:dyDescent="0.25">
      <c r="A180" s="2"/>
      <c r="B180" s="179" t="s">
        <v>9</v>
      </c>
      <c r="C180" s="2"/>
      <c r="D180" s="184">
        <v>383.64100000000002</v>
      </c>
      <c r="E180" s="184">
        <v>3156.0630000000001</v>
      </c>
      <c r="J180" s="184">
        <v>2406.2049999999999</v>
      </c>
      <c r="K180" s="66"/>
      <c r="M180" s="95"/>
      <c r="N180" s="95"/>
      <c r="O180" s="420">
        <f t="shared" si="137"/>
        <v>0</v>
      </c>
      <c r="P180" s="190">
        <v>0</v>
      </c>
      <c r="Q180" s="190">
        <v>0</v>
      </c>
      <c r="R180" s="190">
        <v>0</v>
      </c>
      <c r="S180" s="423">
        <v>0</v>
      </c>
      <c r="T180" s="189">
        <f t="shared" si="138"/>
        <v>0</v>
      </c>
      <c r="U180" s="190">
        <v>0</v>
      </c>
      <c r="V180" s="190">
        <v>0</v>
      </c>
      <c r="W180" s="190">
        <v>0</v>
      </c>
      <c r="X180" s="190">
        <v>0</v>
      </c>
      <c r="Y180" s="179"/>
      <c r="AA180" s="179"/>
      <c r="AB180" s="179"/>
      <c r="AC180" s="2"/>
    </row>
    <row r="181" spans="1:29" x14ac:dyDescent="0.25">
      <c r="A181" s="2"/>
      <c r="B181" s="179" t="s">
        <v>34</v>
      </c>
      <c r="C181" s="2"/>
      <c r="D181" s="184">
        <v>-327.06200000000001</v>
      </c>
      <c r="E181" s="184">
        <v>0</v>
      </c>
      <c r="J181" s="184">
        <v>0</v>
      </c>
      <c r="K181" s="161"/>
      <c r="L181" s="95"/>
      <c r="M181" s="95"/>
      <c r="N181" s="95"/>
      <c r="O181" s="420">
        <f t="shared" si="137"/>
        <v>0</v>
      </c>
      <c r="P181" s="190">
        <v>0</v>
      </c>
      <c r="Q181" s="190">
        <v>0</v>
      </c>
      <c r="R181" s="190">
        <v>0</v>
      </c>
      <c r="S181" s="423">
        <v>0</v>
      </c>
      <c r="T181" s="189">
        <f t="shared" si="138"/>
        <v>0</v>
      </c>
      <c r="U181" s="190">
        <v>0</v>
      </c>
      <c r="V181" s="190">
        <v>0</v>
      </c>
      <c r="W181" s="190">
        <v>0</v>
      </c>
      <c r="X181" s="190">
        <v>0</v>
      </c>
      <c r="Y181" s="179"/>
      <c r="AA181" s="179"/>
      <c r="AB181" s="179"/>
      <c r="AC181" s="2"/>
    </row>
    <row r="182" spans="1:29" x14ac:dyDescent="0.25">
      <c r="A182" s="8"/>
      <c r="B182" s="180" t="s">
        <v>94</v>
      </c>
      <c r="C182" s="8"/>
      <c r="D182" s="184">
        <v>123.369</v>
      </c>
      <c r="E182" s="184">
        <v>21.968</v>
      </c>
      <c r="J182" s="184">
        <v>0.33100000000000002</v>
      </c>
      <c r="K182" s="161">
        <v>108.5</v>
      </c>
      <c r="L182" s="95"/>
      <c r="M182" s="95"/>
      <c r="N182" s="95"/>
      <c r="O182" s="420"/>
      <c r="P182" s="190">
        <v>-1.3540000000000001</v>
      </c>
      <c r="Q182" s="190">
        <f>-5.379-P182</f>
        <v>-4.0249999999999995</v>
      </c>
      <c r="R182" s="190">
        <v>0</v>
      </c>
      <c r="S182" s="423">
        <v>0</v>
      </c>
      <c r="T182" s="189">
        <f t="shared" si="138"/>
        <v>-5.3789999999999996</v>
      </c>
      <c r="U182" s="190">
        <v>0</v>
      </c>
      <c r="V182" s="190">
        <v>0</v>
      </c>
      <c r="W182" s="190">
        <v>0</v>
      </c>
      <c r="X182" s="190">
        <v>0</v>
      </c>
      <c r="Y182" s="180"/>
      <c r="AA182" s="180"/>
      <c r="AB182" s="180"/>
      <c r="AC182" s="8"/>
    </row>
    <row r="183" spans="1:29" x14ac:dyDescent="0.25">
      <c r="A183" s="2"/>
      <c r="B183" s="179" t="s">
        <v>109</v>
      </c>
      <c r="C183" s="2"/>
      <c r="D183" s="184">
        <v>0</v>
      </c>
      <c r="E183" s="184">
        <v>0</v>
      </c>
      <c r="J183" s="184">
        <v>0</v>
      </c>
      <c r="K183" s="161"/>
      <c r="L183" s="95"/>
      <c r="M183" s="95"/>
      <c r="N183" s="95"/>
      <c r="O183" s="420">
        <f t="shared" si="137"/>
        <v>0</v>
      </c>
      <c r="P183" s="190">
        <v>0</v>
      </c>
      <c r="Q183" s="190">
        <v>0</v>
      </c>
      <c r="R183" s="190">
        <v>0</v>
      </c>
      <c r="S183" s="423">
        <v>0</v>
      </c>
      <c r="T183" s="189">
        <f t="shared" si="138"/>
        <v>0</v>
      </c>
      <c r="U183" s="190">
        <v>0</v>
      </c>
      <c r="V183" s="190">
        <v>0</v>
      </c>
      <c r="W183" s="190">
        <v>0</v>
      </c>
      <c r="X183" s="190">
        <v>0</v>
      </c>
      <c r="Y183" s="179"/>
      <c r="AA183" s="179"/>
      <c r="AB183" s="179"/>
      <c r="AC183" s="2"/>
    </row>
    <row r="184" spans="1:29" x14ac:dyDescent="0.25">
      <c r="A184" s="2"/>
      <c r="B184" s="179" t="s">
        <v>132</v>
      </c>
      <c r="C184" s="2"/>
      <c r="D184" s="184">
        <v>0</v>
      </c>
      <c r="E184" s="184">
        <v>0</v>
      </c>
      <c r="J184" s="184">
        <v>0</v>
      </c>
      <c r="K184" s="161"/>
      <c r="L184" s="95"/>
      <c r="M184" s="95"/>
      <c r="N184" s="95"/>
      <c r="O184" s="420">
        <f t="shared" si="137"/>
        <v>0</v>
      </c>
      <c r="P184" s="190">
        <v>0</v>
      </c>
      <c r="Q184" s="190">
        <v>0</v>
      </c>
      <c r="R184" s="190">
        <v>0</v>
      </c>
      <c r="S184" s="423">
        <v>0</v>
      </c>
      <c r="T184" s="189">
        <f t="shared" si="138"/>
        <v>0</v>
      </c>
      <c r="U184" s="190">
        <v>0</v>
      </c>
      <c r="V184" s="190">
        <v>0</v>
      </c>
      <c r="W184" s="190">
        <v>0</v>
      </c>
      <c r="X184" s="190">
        <v>0</v>
      </c>
      <c r="Y184" s="179"/>
      <c r="AA184" s="179"/>
      <c r="AB184" s="179"/>
      <c r="AC184" s="2"/>
    </row>
    <row r="185" spans="1:29" x14ac:dyDescent="0.25">
      <c r="A185" s="2"/>
      <c r="B185" s="179" t="s">
        <v>22</v>
      </c>
      <c r="C185" s="2"/>
      <c r="D185" s="184">
        <v>0</v>
      </c>
      <c r="E185" s="184">
        <v>-1762.36</v>
      </c>
      <c r="J185" s="184">
        <v>-2496.799</v>
      </c>
      <c r="K185" s="161"/>
      <c r="L185" s="95"/>
      <c r="M185" s="95"/>
      <c r="N185" s="95"/>
      <c r="O185" s="423">
        <v>-2018.2539999999999</v>
      </c>
      <c r="P185" s="388">
        <v>-594.45000000000005</v>
      </c>
      <c r="Q185" s="388">
        <f>-995.632-P185</f>
        <v>-401.1819999999999</v>
      </c>
      <c r="R185" s="388">
        <f>-1225.28-Q185-P185</f>
        <v>-229.64800000000002</v>
      </c>
      <c r="S185" s="437">
        <v>-500</v>
      </c>
      <c r="T185" s="189">
        <f t="shared" si="138"/>
        <v>-1725.28</v>
      </c>
      <c r="U185" s="388">
        <f>-(T153-U153)*Summary!$G$7</f>
        <v>-2353.8343800000016</v>
      </c>
      <c r="V185" s="388">
        <f>-(U153-V153)*Summary!$G$7</f>
        <v>-2120</v>
      </c>
      <c r="W185" s="388">
        <f>-(V153-W153)*Summary!$G$7</f>
        <v>-2120</v>
      </c>
      <c r="X185" s="388">
        <f>-(W153-X153)*Summary!$G$7</f>
        <v>-2120</v>
      </c>
      <c r="Y185" s="179"/>
      <c r="AA185" s="179"/>
      <c r="AB185" s="179"/>
      <c r="AC185" s="2"/>
    </row>
    <row r="186" spans="1:29" s="77" customFormat="1" x14ac:dyDescent="0.25">
      <c r="A186" s="485"/>
      <c r="B186" s="486" t="s">
        <v>113</v>
      </c>
      <c r="C186" s="485"/>
      <c r="D186" s="487">
        <v>-100.61499999999999</v>
      </c>
      <c r="E186" s="487">
        <v>-221.79500000000002</v>
      </c>
      <c r="F186" s="477"/>
      <c r="G186" s="477"/>
      <c r="H186" s="477"/>
      <c r="I186" s="477"/>
      <c r="J186" s="487">
        <v>-37.317999999999998</v>
      </c>
      <c r="K186" s="488">
        <v>-12.7</v>
      </c>
      <c r="L186" s="489">
        <v>-2.7</v>
      </c>
      <c r="M186" s="489"/>
      <c r="N186" s="489"/>
      <c r="O186" s="490">
        <v>-54.539000000000001</v>
      </c>
      <c r="P186" s="491">
        <v>0</v>
      </c>
      <c r="Q186" s="491"/>
      <c r="R186" s="491"/>
      <c r="S186" s="505"/>
      <c r="T186" s="508">
        <f t="shared" si="138"/>
        <v>0</v>
      </c>
      <c r="U186" s="491">
        <v>0</v>
      </c>
      <c r="V186" s="491">
        <v>0</v>
      </c>
      <c r="W186" s="491">
        <v>0</v>
      </c>
      <c r="X186" s="491">
        <v>0</v>
      </c>
      <c r="Y186" s="486"/>
      <c r="Z186" s="492"/>
      <c r="AA186" s="486"/>
      <c r="AB186" s="486"/>
      <c r="AC186" s="485"/>
    </row>
    <row r="187" spans="1:29" x14ac:dyDescent="0.25">
      <c r="A187" s="4"/>
      <c r="B187" s="177" t="s">
        <v>210</v>
      </c>
      <c r="C187" s="150"/>
      <c r="D187" s="183">
        <v>-962.49099999999999</v>
      </c>
      <c r="E187" s="183">
        <v>-788.28399999999988</v>
      </c>
      <c r="F187" s="164">
        <v>-237.4</v>
      </c>
      <c r="G187" s="150">
        <v>-286.35000000000002</v>
      </c>
      <c r="H187" s="150">
        <v>-333.7</v>
      </c>
      <c r="I187" s="150">
        <v>-286.5</v>
      </c>
      <c r="J187" s="150">
        <v>-1144</v>
      </c>
      <c r="K187" s="318">
        <v>58.08</v>
      </c>
      <c r="L187" s="164">
        <v>-558.08000000000004</v>
      </c>
      <c r="M187" s="95">
        <v>-12.6</v>
      </c>
      <c r="N187" s="95">
        <v>-236.4</v>
      </c>
      <c r="O187" s="420">
        <f t="shared" ref="O187:X187" si="139">SUM(O178:O186)</f>
        <v>-1141.3389999999999</v>
      </c>
      <c r="P187" s="192">
        <f t="shared" ref="P187:S187" si="140">SUM(P178:P186)</f>
        <v>-338.10300000000001</v>
      </c>
      <c r="Q187" s="192">
        <f>-358.548-P187</f>
        <v>-20.444999999999993</v>
      </c>
      <c r="R187" s="192">
        <f>-619.146-Q187-P187</f>
        <v>-260.59800000000001</v>
      </c>
      <c r="S187" s="420">
        <f t="shared" si="140"/>
        <v>-250</v>
      </c>
      <c r="T187" s="192">
        <f t="shared" si="139"/>
        <v>-841.65899999999999</v>
      </c>
      <c r="U187" s="192">
        <f t="shared" si="139"/>
        <v>-1353.8343800000016</v>
      </c>
      <c r="V187" s="192">
        <f t="shared" si="139"/>
        <v>-1120</v>
      </c>
      <c r="W187" s="192">
        <f t="shared" si="139"/>
        <v>-1120</v>
      </c>
      <c r="X187" s="192">
        <f t="shared" si="139"/>
        <v>-1120</v>
      </c>
      <c r="Y187" s="68"/>
      <c r="AA187" s="177"/>
      <c r="AB187" s="177"/>
      <c r="AC187" s="4"/>
    </row>
    <row r="188" spans="1:29" x14ac:dyDescent="0.25">
      <c r="A188" s="4"/>
      <c r="B188" s="177"/>
      <c r="C188" s="4"/>
      <c r="D188" s="181"/>
      <c r="E188" s="181"/>
      <c r="J188" s="182"/>
      <c r="K188" s="161"/>
      <c r="L188" s="95"/>
      <c r="M188" s="95"/>
      <c r="N188" s="95"/>
      <c r="O188" s="420"/>
      <c r="P188" s="189"/>
      <c r="Q188" s="189"/>
      <c r="R188" s="189"/>
      <c r="S188" s="440"/>
      <c r="T188" s="189"/>
      <c r="U188" s="189"/>
      <c r="V188" s="189"/>
      <c r="W188" s="189"/>
      <c r="X188" s="189"/>
      <c r="Y188" s="177"/>
      <c r="AA188" s="177"/>
      <c r="AB188" s="177"/>
      <c r="AC188" s="4"/>
    </row>
    <row r="189" spans="1:29" x14ac:dyDescent="0.25">
      <c r="A189" s="3"/>
      <c r="B189" s="178" t="s">
        <v>73</v>
      </c>
      <c r="C189" s="3"/>
      <c r="D189" s="184">
        <v>773.99</v>
      </c>
      <c r="E189" s="184">
        <v>520.94500000000005</v>
      </c>
      <c r="F189" s="164">
        <v>134.80000000000001</v>
      </c>
      <c r="G189" s="150">
        <f>F191</f>
        <v>290.59000000000003</v>
      </c>
      <c r="J189" s="184">
        <v>134.80500000000001</v>
      </c>
      <c r="K189" s="318">
        <v>147.72</v>
      </c>
      <c r="L189" s="164">
        <v>-188</v>
      </c>
      <c r="M189" s="95">
        <v>100</v>
      </c>
      <c r="N189" s="95">
        <v>100</v>
      </c>
      <c r="O189" s="420">
        <f>J191</f>
        <v>147.72399999999988</v>
      </c>
      <c r="P189" s="189">
        <f>O191</f>
        <v>111.57799999999992</v>
      </c>
      <c r="Q189" s="189">
        <f t="shared" ref="Q189:S189" si="141">P191</f>
        <v>101.952</v>
      </c>
      <c r="R189" s="189">
        <f t="shared" si="141"/>
        <v>476.45300000000003</v>
      </c>
      <c r="S189" s="420">
        <f t="shared" si="141"/>
        <v>572.38200000000006</v>
      </c>
      <c r="T189" s="189">
        <f>O191</f>
        <v>111.57799999999992</v>
      </c>
      <c r="U189" s="189">
        <f>T191</f>
        <v>687.32363678584966</v>
      </c>
      <c r="V189" s="189">
        <f>U191</f>
        <v>841.20317834310322</v>
      </c>
      <c r="W189" s="189">
        <f>V191</f>
        <v>1178.7610257418007</v>
      </c>
      <c r="X189" s="189">
        <f>W191</f>
        <v>2131.596382370537</v>
      </c>
      <c r="Y189" s="178"/>
      <c r="AA189" s="178"/>
      <c r="AB189" s="178"/>
      <c r="AC189" s="3"/>
    </row>
    <row r="190" spans="1:29" x14ac:dyDescent="0.25">
      <c r="A190" s="1"/>
      <c r="B190" s="166" t="s">
        <v>74</v>
      </c>
      <c r="C190" s="1"/>
      <c r="D190" s="184">
        <v>-253.04499999999962</v>
      </c>
      <c r="E190" s="184">
        <v>-386.24900000000014</v>
      </c>
      <c r="F190" s="164">
        <f>SUM(F161:F186)</f>
        <v>290.59000000000003</v>
      </c>
      <c r="G190" s="150">
        <f>SUM(G161:G186)</f>
        <v>425.24</v>
      </c>
      <c r="J190" s="184">
        <v>12.918999999999869</v>
      </c>
      <c r="K190" s="318">
        <v>334.3</v>
      </c>
      <c r="L190" s="164">
        <v>482</v>
      </c>
      <c r="M190" s="95">
        <v>294</v>
      </c>
      <c r="N190" s="95">
        <f>M191</f>
        <v>394</v>
      </c>
      <c r="O190" s="423">
        <f t="shared" ref="O190:X190" si="142">O187+O176+O171</f>
        <v>-36.145999999999958</v>
      </c>
      <c r="P190" s="190">
        <f t="shared" ref="P190:S190" si="143">P187+P176+P171</f>
        <v>-9.8860000000000241</v>
      </c>
      <c r="Q190" s="190">
        <f t="shared" si="143"/>
        <v>374.50100000000003</v>
      </c>
      <c r="R190" s="190">
        <f t="shared" si="143"/>
        <v>95.928999999999974</v>
      </c>
      <c r="S190" s="423">
        <f t="shared" si="143"/>
        <v>87.759636785849636</v>
      </c>
      <c r="T190" s="190">
        <f t="shared" si="142"/>
        <v>575.74563678584968</v>
      </c>
      <c r="U190" s="190">
        <f t="shared" si="142"/>
        <v>153.87954155725356</v>
      </c>
      <c r="V190" s="190">
        <f t="shared" si="142"/>
        <v>337.5578473986975</v>
      </c>
      <c r="W190" s="190">
        <f t="shared" si="142"/>
        <v>952.83535662873646</v>
      </c>
      <c r="X190" s="190">
        <f t="shared" si="142"/>
        <v>892.01615218708821</v>
      </c>
      <c r="Y190" s="166"/>
      <c r="AA190" s="166"/>
      <c r="AB190" s="166"/>
      <c r="AC190" s="1"/>
    </row>
    <row r="191" spans="1:29" s="68" customFormat="1" x14ac:dyDescent="0.25">
      <c r="A191" s="1"/>
      <c r="B191" s="166" t="s">
        <v>39</v>
      </c>
      <c r="C191" s="1"/>
      <c r="D191" s="184">
        <v>520.94500000000039</v>
      </c>
      <c r="E191" s="184">
        <v>134.69599999999991</v>
      </c>
      <c r="F191" s="164">
        <f>SUM(F190:F190)</f>
        <v>290.59000000000003</v>
      </c>
      <c r="G191" s="150">
        <f>G190+G189</f>
        <v>715.83</v>
      </c>
      <c r="J191" s="184">
        <v>147.72399999999988</v>
      </c>
      <c r="K191" s="318">
        <f>K190+K189</f>
        <v>482.02</v>
      </c>
      <c r="L191" s="164">
        <f>L190+L189</f>
        <v>294</v>
      </c>
      <c r="M191" s="150">
        <v>394</v>
      </c>
      <c r="N191" s="150">
        <v>494</v>
      </c>
      <c r="O191" s="420">
        <f t="shared" ref="O191:X191" si="144">SUM(O189:O190)</f>
        <v>111.57799999999992</v>
      </c>
      <c r="P191" s="192">
        <v>101.952</v>
      </c>
      <c r="Q191" s="192">
        <f t="shared" ref="Q191:S191" si="145">SUM(Q189:Q190)</f>
        <v>476.45300000000003</v>
      </c>
      <c r="R191" s="192">
        <f t="shared" si="145"/>
        <v>572.38200000000006</v>
      </c>
      <c r="S191" s="420">
        <f t="shared" si="145"/>
        <v>660.14163678584964</v>
      </c>
      <c r="T191" s="192">
        <f t="shared" si="144"/>
        <v>687.32363678584966</v>
      </c>
      <c r="U191" s="192">
        <f t="shared" si="144"/>
        <v>841.20317834310322</v>
      </c>
      <c r="V191" s="192">
        <f t="shared" si="144"/>
        <v>1178.7610257418007</v>
      </c>
      <c r="W191" s="192">
        <f t="shared" si="144"/>
        <v>2131.596382370537</v>
      </c>
      <c r="X191" s="192">
        <f t="shared" si="144"/>
        <v>3023.6125345576252</v>
      </c>
      <c r="Y191" s="166"/>
      <c r="AA191" s="166"/>
      <c r="AB191" s="166"/>
      <c r="AC191" s="1"/>
    </row>
    <row r="192" spans="1:29" x14ac:dyDescent="0.25">
      <c r="B192" s="68"/>
      <c r="C192" s="68"/>
      <c r="D192" s="68"/>
      <c r="E192" s="68"/>
      <c r="J192" s="68"/>
      <c r="K192" s="66"/>
      <c r="N192" s="38"/>
      <c r="O192" s="69"/>
      <c r="P192" s="68"/>
      <c r="Q192" s="68"/>
      <c r="R192" s="68"/>
      <c r="S192" s="69"/>
      <c r="T192" s="68"/>
      <c r="U192" s="68"/>
      <c r="V192" s="68"/>
      <c r="W192" s="68"/>
      <c r="X192" s="68"/>
      <c r="Y192" s="68"/>
      <c r="AA192" s="68"/>
      <c r="AB192" s="68"/>
      <c r="AC192" s="68"/>
    </row>
    <row r="193" spans="2:29" x14ac:dyDescent="0.25">
      <c r="B193" s="117" t="s">
        <v>338</v>
      </c>
      <c r="C193" s="118"/>
      <c r="D193" s="118"/>
      <c r="E193" s="118"/>
      <c r="F193" s="118"/>
      <c r="G193" s="118"/>
      <c r="H193" s="118"/>
      <c r="I193" s="118"/>
      <c r="J193" s="118"/>
      <c r="K193" s="315"/>
      <c r="L193" s="118"/>
      <c r="M193" s="118"/>
      <c r="N193" s="118"/>
      <c r="O193" s="417"/>
      <c r="P193" s="118"/>
      <c r="Q193" s="118"/>
      <c r="R193" s="118"/>
      <c r="S193" s="417"/>
      <c r="T193" s="118"/>
      <c r="U193" s="119"/>
      <c r="V193" s="119"/>
      <c r="W193" s="119"/>
      <c r="X193" s="119"/>
      <c r="Y193" s="68"/>
      <c r="AA193" s="68"/>
      <c r="AB193" s="68"/>
      <c r="AC193" s="68"/>
    </row>
    <row r="194" spans="2:29" s="110" customFormat="1" x14ac:dyDescent="0.25">
      <c r="B194" s="375" t="s">
        <v>339</v>
      </c>
      <c r="C194" s="151"/>
      <c r="D194" s="151"/>
      <c r="E194" s="151">
        <v>929</v>
      </c>
      <c r="F194" s="151">
        <f>557.83-G194</f>
        <v>222.78600000000006</v>
      </c>
      <c r="G194" s="151">
        <v>335.04399999999998</v>
      </c>
      <c r="H194" s="151"/>
      <c r="I194" s="151"/>
      <c r="J194" s="151">
        <v>1132</v>
      </c>
      <c r="K194" s="162">
        <f>647.1-L194</f>
        <v>276.18600000000004</v>
      </c>
      <c r="L194" s="151">
        <v>370.91399999999999</v>
      </c>
      <c r="M194" s="151">
        <v>342.3</v>
      </c>
      <c r="N194" s="151">
        <v>299.14800000000002</v>
      </c>
      <c r="O194" s="130">
        <v>1315.193</v>
      </c>
      <c r="P194" s="151">
        <f>P171+P174+P175</f>
        <v>328.21699999999998</v>
      </c>
      <c r="Q194" s="151">
        <v>394.94</v>
      </c>
      <c r="R194" s="151">
        <v>356.52699999999999</v>
      </c>
      <c r="S194" s="130">
        <f t="shared" ref="S194" si="146">S171+S174</f>
        <v>337.75963678584964</v>
      </c>
      <c r="T194" s="151">
        <f>T171+T174</f>
        <v>1421.6176367858495</v>
      </c>
      <c r="U194" s="151">
        <f>U171+U174</f>
        <v>1507.7139215572552</v>
      </c>
      <c r="V194" s="151">
        <f>V171+V174</f>
        <v>1457.5578473986975</v>
      </c>
      <c r="W194" s="151">
        <f>W171+W174</f>
        <v>2072.8353566287365</v>
      </c>
      <c r="X194" s="151">
        <f>X171+X174</f>
        <v>2012.0161521870882</v>
      </c>
      <c r="Y194" s="375"/>
      <c r="AA194" s="375"/>
      <c r="AB194" s="375"/>
      <c r="AC194" s="375"/>
    </row>
    <row r="195" spans="2:29" x14ac:dyDescent="0.25">
      <c r="B195" s="165" t="s">
        <v>185</v>
      </c>
      <c r="C195" s="107"/>
      <c r="D195" s="107"/>
      <c r="E195" s="107">
        <f t="shared" ref="E195:L195" si="147">E194/E153</f>
        <v>0.14543913473909922</v>
      </c>
      <c r="F195" s="107">
        <f t="shared" si="147"/>
        <v>3.6085436505725453E-2</v>
      </c>
      <c r="G195" s="107">
        <f t="shared" si="147"/>
        <v>5.3951657289972837E-2</v>
      </c>
      <c r="H195" s="107">
        <f t="shared" si="147"/>
        <v>0</v>
      </c>
      <c r="I195" s="107">
        <f t="shared" si="147"/>
        <v>0</v>
      </c>
      <c r="J195" s="107">
        <f t="shared" si="147"/>
        <v>0.20057269528772881</v>
      </c>
      <c r="K195" s="157">
        <f t="shared" si="147"/>
        <v>4.8970555537233527E-2</v>
      </c>
      <c r="L195" s="107">
        <f t="shared" si="147"/>
        <v>6.7808775137111518E-2</v>
      </c>
      <c r="M195" s="68"/>
      <c r="N195" s="68"/>
      <c r="O195" s="129">
        <f t="shared" ref="O195:X195" si="148">O194/O153</f>
        <v>0.24197844187279652</v>
      </c>
      <c r="P195" s="107">
        <f t="shared" ref="P195:S195" si="149">P194/P153</f>
        <v>6.4222565646659555E-2</v>
      </c>
      <c r="Q195" s="107">
        <f t="shared" si="149"/>
        <v>7.9174106655103479E-2</v>
      </c>
      <c r="R195" s="107">
        <f t="shared" si="149"/>
        <v>7.2467356080871917E-2</v>
      </c>
      <c r="S195" s="129">
        <f t="shared" si="149"/>
        <v>7.0338683073886021E-2</v>
      </c>
      <c r="T195" s="107">
        <f t="shared" si="148"/>
        <v>0.2868970155095531</v>
      </c>
      <c r="U195" s="107">
        <f t="shared" si="148"/>
        <v>0.34266225489937618</v>
      </c>
      <c r="V195" s="107">
        <f t="shared" si="148"/>
        <v>0.3737327813842814</v>
      </c>
      <c r="W195" s="107">
        <f t="shared" si="148"/>
        <v>0.60965745783198133</v>
      </c>
      <c r="X195" s="107">
        <f t="shared" si="148"/>
        <v>0.6937986731679614</v>
      </c>
      <c r="Y195" s="68"/>
      <c r="AA195" s="68"/>
      <c r="AB195" s="68"/>
      <c r="AC195" s="68"/>
    </row>
    <row r="196" spans="2:29" x14ac:dyDescent="0.25">
      <c r="B196" s="165" t="s">
        <v>217</v>
      </c>
      <c r="C196" s="135"/>
      <c r="D196" s="135"/>
      <c r="E196" s="135">
        <f t="shared" ref="E196:X196" si="150">E194/E143</f>
        <v>0.79664329331822903</v>
      </c>
      <c r="F196" s="135">
        <f t="shared" si="150"/>
        <v>0.66546389750973034</v>
      </c>
      <c r="G196" s="135">
        <f t="shared" si="150"/>
        <v>0.90445608834970581</v>
      </c>
      <c r="H196" s="135">
        <f t="shared" si="150"/>
        <v>0</v>
      </c>
      <c r="I196" s="135">
        <f t="shared" si="150"/>
        <v>0</v>
      </c>
      <c r="J196" s="135">
        <f t="shared" si="150"/>
        <v>0.77123432238003453</v>
      </c>
      <c r="K196" s="160">
        <f t="shared" si="150"/>
        <v>0.69181750321879287</v>
      </c>
      <c r="L196" s="135">
        <f t="shared" si="150"/>
        <v>0.89385052125254838</v>
      </c>
      <c r="M196" s="135">
        <f t="shared" si="150"/>
        <v>0.76577181208053691</v>
      </c>
      <c r="N196" s="135">
        <f t="shared" si="150"/>
        <v>0.75497621361060985</v>
      </c>
      <c r="O196" s="128">
        <f t="shared" si="150"/>
        <v>0.79342393327288507</v>
      </c>
      <c r="P196" s="135">
        <f t="shared" ref="P196:S196" si="151">P194/P143</f>
        <v>0.74363738113633315</v>
      </c>
      <c r="Q196" s="135">
        <f t="shared" si="151"/>
        <v>0.84388888888888891</v>
      </c>
      <c r="R196" s="135">
        <f t="shared" si="151"/>
        <v>0.72480747806429047</v>
      </c>
      <c r="S196" s="128">
        <f t="shared" si="151"/>
        <v>0.71851573230269394</v>
      </c>
      <c r="T196" s="135">
        <f t="shared" si="150"/>
        <v>0.76721373218441091</v>
      </c>
      <c r="U196" s="135">
        <f t="shared" si="150"/>
        <v>0.72826134972272405</v>
      </c>
      <c r="V196" s="135">
        <f t="shared" si="150"/>
        <v>0.70057213387929562</v>
      </c>
      <c r="W196" s="135">
        <f t="shared" si="150"/>
        <v>0.96855536723824476</v>
      </c>
      <c r="X196" s="135">
        <f t="shared" si="150"/>
        <v>0.92995489001420839</v>
      </c>
      <c r="Y196" s="68"/>
      <c r="AA196" s="68"/>
      <c r="AB196" s="68"/>
      <c r="AC196" s="68"/>
    </row>
    <row r="197" spans="2:29" x14ac:dyDescent="0.25">
      <c r="B197" s="165"/>
      <c r="C197" s="135"/>
      <c r="D197" s="135"/>
      <c r="E197" s="135"/>
      <c r="F197" s="135"/>
      <c r="G197" s="135"/>
      <c r="H197" s="135"/>
      <c r="I197" s="135"/>
      <c r="J197" s="135"/>
      <c r="K197" s="160"/>
      <c r="L197" s="135"/>
      <c r="M197" s="135"/>
      <c r="N197" s="135"/>
      <c r="O197" s="128"/>
      <c r="P197" s="135"/>
      <c r="Q197" s="135"/>
      <c r="R197" s="135"/>
      <c r="S197" s="128"/>
      <c r="T197" s="135"/>
      <c r="U197" s="135"/>
      <c r="V197" s="135"/>
      <c r="W197" s="135"/>
      <c r="X197" s="135"/>
      <c r="Y197" s="68"/>
      <c r="AA197" s="68"/>
      <c r="AB197" s="68"/>
      <c r="AC197" s="68"/>
    </row>
    <row r="198" spans="2:29" x14ac:dyDescent="0.25">
      <c r="B198" s="398" t="s">
        <v>335</v>
      </c>
      <c r="C198" s="135"/>
      <c r="D198" s="135"/>
      <c r="E198" s="399"/>
      <c r="F198" s="399"/>
      <c r="G198" s="399"/>
      <c r="H198" s="399"/>
      <c r="I198" s="399"/>
      <c r="J198" s="150">
        <v>327</v>
      </c>
      <c r="K198" s="161"/>
      <c r="L198" s="150"/>
      <c r="M198" s="150"/>
      <c r="N198" s="150"/>
      <c r="O198" s="131">
        <v>365</v>
      </c>
      <c r="P198" s="150">
        <f>P169</f>
        <v>103.081</v>
      </c>
      <c r="Q198" s="150">
        <f t="shared" ref="Q198:S198" si="152">Q169</f>
        <v>102.14</v>
      </c>
      <c r="R198" s="150">
        <f t="shared" si="152"/>
        <v>103.39200000000001</v>
      </c>
      <c r="S198" s="131">
        <f t="shared" si="152"/>
        <v>116.40678068999988</v>
      </c>
      <c r="T198" s="150">
        <f>T169</f>
        <v>425.01978068999989</v>
      </c>
      <c r="U198" s="150">
        <f>U169</f>
        <v>504.41817385937577</v>
      </c>
      <c r="V198" s="150">
        <f>V169</f>
        <v>523.50823527781074</v>
      </c>
      <c r="W198" s="150">
        <f>W169</f>
        <v>521.91122067352626</v>
      </c>
      <c r="X198" s="150">
        <f>X169</f>
        <v>506.43652660922749</v>
      </c>
      <c r="Y198" s="68"/>
      <c r="AA198" s="68"/>
      <c r="AB198" s="68"/>
      <c r="AC198" s="68"/>
    </row>
    <row r="199" spans="2:29" x14ac:dyDescent="0.25">
      <c r="B199" s="375" t="s">
        <v>336</v>
      </c>
      <c r="C199" s="135"/>
      <c r="D199" s="135"/>
      <c r="E199" s="399"/>
      <c r="F199" s="399"/>
      <c r="G199" s="399"/>
      <c r="H199" s="399"/>
      <c r="I199" s="399"/>
      <c r="J199" s="399">
        <f>J194-J198</f>
        <v>805</v>
      </c>
      <c r="K199" s="400"/>
      <c r="L199" s="399"/>
      <c r="M199" s="399"/>
      <c r="N199" s="399"/>
      <c r="O199" s="426">
        <f t="shared" ref="O199:X199" si="153">O194-O198</f>
        <v>950.19299999999998</v>
      </c>
      <c r="P199" s="399">
        <f t="shared" ref="P199:S199" si="154">P194-P198</f>
        <v>225.13599999999997</v>
      </c>
      <c r="Q199" s="399">
        <f t="shared" si="154"/>
        <v>292.8</v>
      </c>
      <c r="R199" s="399">
        <f t="shared" si="154"/>
        <v>253.13499999999999</v>
      </c>
      <c r="S199" s="426">
        <f t="shared" si="154"/>
        <v>221.35285609584975</v>
      </c>
      <c r="T199" s="399">
        <f t="shared" si="153"/>
        <v>996.59785609584969</v>
      </c>
      <c r="U199" s="399">
        <f t="shared" si="153"/>
        <v>1003.2957476978794</v>
      </c>
      <c r="V199" s="399">
        <f t="shared" si="153"/>
        <v>934.04961212088676</v>
      </c>
      <c r="W199" s="399">
        <f t="shared" si="153"/>
        <v>1550.9241359552102</v>
      </c>
      <c r="X199" s="399">
        <f t="shared" si="153"/>
        <v>1505.5796255778607</v>
      </c>
      <c r="Y199" s="68"/>
      <c r="AA199" s="68"/>
      <c r="AB199" s="68"/>
      <c r="AC199" s="68"/>
    </row>
    <row r="200" spans="2:29" x14ac:dyDescent="0.25">
      <c r="B200" s="165" t="s">
        <v>337</v>
      </c>
      <c r="C200" s="107"/>
      <c r="D200" s="107"/>
      <c r="E200" s="107">
        <f t="shared" ref="E200:X200" si="155">E199/E153</f>
        <v>0</v>
      </c>
      <c r="F200" s="107">
        <f t="shared" si="155"/>
        <v>0</v>
      </c>
      <c r="G200" s="107">
        <f t="shared" si="155"/>
        <v>0</v>
      </c>
      <c r="H200" s="107">
        <f t="shared" si="155"/>
        <v>0</v>
      </c>
      <c r="I200" s="107">
        <f t="shared" si="155"/>
        <v>0</v>
      </c>
      <c r="J200" s="107">
        <f t="shared" si="155"/>
        <v>0.14263340963482482</v>
      </c>
      <c r="K200" s="107">
        <f t="shared" si="155"/>
        <v>0</v>
      </c>
      <c r="L200" s="107">
        <f t="shared" si="155"/>
        <v>0</v>
      </c>
      <c r="M200" s="107">
        <f t="shared" si="155"/>
        <v>0</v>
      </c>
      <c r="N200" s="107">
        <f t="shared" si="155"/>
        <v>0</v>
      </c>
      <c r="O200" s="129">
        <f t="shared" si="155"/>
        <v>0.1748231792736413</v>
      </c>
      <c r="P200" s="107">
        <f t="shared" ref="P200:S200" si="156">P199/P153</f>
        <v>4.4052597944123383E-2</v>
      </c>
      <c r="Q200" s="107">
        <f t="shared" si="156"/>
        <v>5.8697975461118906E-2</v>
      </c>
      <c r="R200" s="107">
        <f t="shared" si="156"/>
        <v>5.1451991522469584E-2</v>
      </c>
      <c r="S200" s="129">
        <f t="shared" si="156"/>
        <v>4.6096888724146579E-2</v>
      </c>
      <c r="T200" s="107">
        <f t="shared" si="155"/>
        <v>0.20112366587091593</v>
      </c>
      <c r="U200" s="107">
        <f t="shared" si="155"/>
        <v>0.22802176084042713</v>
      </c>
      <c r="V200" s="107">
        <f t="shared" si="155"/>
        <v>0.23949990054381712</v>
      </c>
      <c r="W200" s="107">
        <f t="shared" si="155"/>
        <v>0.45615415763388534</v>
      </c>
      <c r="X200" s="107">
        <f t="shared" si="155"/>
        <v>0.51916538813029678</v>
      </c>
      <c r="Y200" s="68"/>
      <c r="AA200" s="68"/>
      <c r="AB200" s="68"/>
      <c r="AC200" s="68"/>
    </row>
    <row r="201" spans="2:29" x14ac:dyDescent="0.25">
      <c r="B201" s="375"/>
      <c r="C201" s="135"/>
      <c r="D201" s="135"/>
      <c r="E201" s="135"/>
      <c r="F201" s="135"/>
      <c r="G201" s="135"/>
      <c r="H201" s="135"/>
      <c r="I201" s="135"/>
      <c r="J201" s="135"/>
      <c r="K201" s="160"/>
      <c r="L201" s="135"/>
      <c r="M201" s="135"/>
      <c r="N201" s="135"/>
      <c r="O201" s="128"/>
      <c r="P201" s="135"/>
      <c r="Q201" s="135"/>
      <c r="R201" s="135"/>
      <c r="S201" s="69"/>
      <c r="T201" s="135"/>
      <c r="U201" s="135"/>
      <c r="V201" s="135"/>
      <c r="W201" s="135"/>
      <c r="X201" s="135"/>
      <c r="Y201" s="68"/>
      <c r="AA201" s="68"/>
      <c r="AB201" s="68"/>
      <c r="AC201" s="68"/>
    </row>
    <row r="202" spans="2:29" x14ac:dyDescent="0.25">
      <c r="B202" s="97" t="s">
        <v>239</v>
      </c>
      <c r="E202" s="68"/>
      <c r="F202" s="66"/>
      <c r="G202" s="68"/>
      <c r="H202" s="68"/>
      <c r="I202" s="69"/>
      <c r="J202" s="68"/>
      <c r="K202" s="66"/>
      <c r="O202" s="131"/>
      <c r="R202" s="95"/>
      <c r="S202" s="69"/>
    </row>
    <row r="203" spans="2:29" x14ac:dyDescent="0.25">
      <c r="B203" s="97"/>
      <c r="E203" s="68"/>
      <c r="F203" s="66"/>
      <c r="G203" s="68"/>
      <c r="H203" s="68"/>
      <c r="I203" s="69"/>
      <c r="J203" s="68"/>
      <c r="K203" s="66"/>
      <c r="O203" s="131"/>
      <c r="R203" s="95"/>
      <c r="S203" s="69"/>
    </row>
    <row r="204" spans="2:29" x14ac:dyDescent="0.25">
      <c r="B204" s="186" t="s">
        <v>83</v>
      </c>
      <c r="E204" s="68"/>
      <c r="F204" s="66"/>
      <c r="G204" s="68"/>
      <c r="H204" s="68"/>
      <c r="I204" s="69"/>
      <c r="J204" s="68"/>
      <c r="K204" s="66"/>
      <c r="O204" s="128"/>
      <c r="P204" s="99">
        <v>0.4</v>
      </c>
      <c r="Q204" s="99">
        <v>0.4</v>
      </c>
      <c r="R204" s="99">
        <v>0.4</v>
      </c>
      <c r="S204" s="133">
        <v>0.4</v>
      </c>
      <c r="T204" s="99">
        <v>0.4</v>
      </c>
      <c r="U204" s="99">
        <v>0.4</v>
      </c>
      <c r="V204" s="99">
        <v>0.4</v>
      </c>
      <c r="W204" s="99">
        <v>0.4</v>
      </c>
      <c r="X204" s="99">
        <v>0.4</v>
      </c>
    </row>
    <row r="205" spans="2:29" x14ac:dyDescent="0.25">
      <c r="B205" s="186" t="s">
        <v>240</v>
      </c>
      <c r="E205" s="68"/>
      <c r="F205" s="66"/>
      <c r="G205" s="68"/>
      <c r="H205" s="68"/>
      <c r="I205" s="69"/>
      <c r="J205" s="68"/>
      <c r="K205" s="66"/>
      <c r="O205" s="131"/>
      <c r="P205" s="95">
        <f>P208*P204</f>
        <v>112.34480000000002</v>
      </c>
      <c r="Q205" s="95">
        <f t="shared" ref="Q205:S205" si="157">Q208*Q204</f>
        <v>112.50960000000009</v>
      </c>
      <c r="R205" s="95">
        <f t="shared" si="157"/>
        <v>122.19120000000008</v>
      </c>
      <c r="S205" s="131">
        <f t="shared" si="157"/>
        <v>116.40678068999988</v>
      </c>
      <c r="T205" s="95">
        <f>T208*T204</f>
        <v>459.11318069000009</v>
      </c>
      <c r="U205" s="95">
        <f>U208*U204</f>
        <v>504.41817385937577</v>
      </c>
      <c r="V205" s="95">
        <f>V208*V204</f>
        <v>523.50823527781074</v>
      </c>
      <c r="W205" s="95">
        <f>W208*W204</f>
        <v>521.91122067352626</v>
      </c>
      <c r="X205" s="95">
        <f>X208*X204</f>
        <v>506.43652660922749</v>
      </c>
    </row>
    <row r="206" spans="2:29" x14ac:dyDescent="0.25">
      <c r="B206" s="186" t="s">
        <v>11</v>
      </c>
      <c r="C206" s="95"/>
      <c r="D206" s="95"/>
      <c r="E206" s="150"/>
      <c r="F206" s="161"/>
      <c r="G206" s="150"/>
      <c r="H206" s="150"/>
      <c r="I206" s="150"/>
      <c r="J206" s="150"/>
      <c r="K206" s="68"/>
      <c r="N206" s="38"/>
      <c r="O206" s="131"/>
      <c r="P206" s="95">
        <f>O209</f>
        <v>-4589.3549999999996</v>
      </c>
      <c r="Q206" s="95">
        <f t="shared" ref="Q206:S206" si="158">P209</f>
        <v>-4308.4929999999995</v>
      </c>
      <c r="R206" s="95">
        <f t="shared" si="158"/>
        <v>-4027.2189999999991</v>
      </c>
      <c r="S206" s="131">
        <f t="shared" si="158"/>
        <v>-3721.7409999999991</v>
      </c>
      <c r="T206" s="95">
        <f>O209</f>
        <v>-4589.3549999999996</v>
      </c>
      <c r="U206" s="95">
        <f>T209</f>
        <v>-3441.5720482749994</v>
      </c>
      <c r="V206" s="95">
        <f>U209</f>
        <v>-2180.52661362656</v>
      </c>
      <c r="W206" s="95">
        <f>V209</f>
        <v>-871.75602543203331</v>
      </c>
      <c r="X206" s="95">
        <f>W209</f>
        <v>0</v>
      </c>
      <c r="Y206" s="95"/>
      <c r="AA206" s="95"/>
      <c r="AB206" s="95"/>
      <c r="AC206" s="95"/>
    </row>
    <row r="207" spans="2:29" x14ac:dyDescent="0.25">
      <c r="B207" s="186" t="s">
        <v>12</v>
      </c>
      <c r="C207" s="95"/>
      <c r="D207" s="95"/>
      <c r="E207" s="150"/>
      <c r="F207" s="161"/>
      <c r="G207" s="150"/>
      <c r="H207" s="150"/>
      <c r="I207" s="150"/>
      <c r="J207" s="150"/>
      <c r="K207" s="68"/>
      <c r="N207" s="38"/>
      <c r="O207" s="131"/>
      <c r="P207" s="95">
        <v>0</v>
      </c>
      <c r="Q207" s="95">
        <v>0</v>
      </c>
      <c r="R207" s="95">
        <v>0</v>
      </c>
      <c r="S207" s="131">
        <v>0</v>
      </c>
      <c r="T207" s="95">
        <v>0</v>
      </c>
      <c r="U207" s="95">
        <v>0</v>
      </c>
      <c r="V207" s="150">
        <v>0</v>
      </c>
      <c r="W207" s="95">
        <v>0</v>
      </c>
      <c r="X207" s="95">
        <v>0</v>
      </c>
      <c r="Y207" s="95"/>
      <c r="AA207" s="95"/>
      <c r="AB207" s="95"/>
      <c r="AC207" s="95"/>
    </row>
    <row r="208" spans="2:29" x14ac:dyDescent="0.25">
      <c r="B208" s="186" t="s">
        <v>13</v>
      </c>
      <c r="C208" s="95"/>
      <c r="D208" s="95"/>
      <c r="E208" s="150"/>
      <c r="F208" s="161"/>
      <c r="G208" s="150"/>
      <c r="H208" s="150"/>
      <c r="I208" s="150"/>
      <c r="J208" s="150"/>
      <c r="K208" s="68"/>
      <c r="N208" s="38"/>
      <c r="O208" s="131"/>
      <c r="P208" s="150">
        <f>P147</f>
        <v>280.86200000000002</v>
      </c>
      <c r="Q208" s="150">
        <f t="shared" ref="Q208:S208" si="159">Q147</f>
        <v>281.27400000000023</v>
      </c>
      <c r="R208" s="150">
        <f t="shared" si="159"/>
        <v>305.47800000000018</v>
      </c>
      <c r="S208" s="131">
        <f t="shared" si="159"/>
        <v>291.01695172499967</v>
      </c>
      <c r="T208" s="150">
        <f>T147</f>
        <v>1147.7829517250002</v>
      </c>
      <c r="U208" s="150">
        <f>U147</f>
        <v>1261.0454346484394</v>
      </c>
      <c r="V208" s="150">
        <f>V147</f>
        <v>1308.7705881945267</v>
      </c>
      <c r="W208" s="150">
        <f>W147</f>
        <v>1304.7780516838156</v>
      </c>
      <c r="X208" s="150">
        <f>X147</f>
        <v>1266.0913165230686</v>
      </c>
      <c r="Y208" s="95"/>
      <c r="AA208" s="95"/>
      <c r="AB208" s="95"/>
      <c r="AC208" s="95"/>
    </row>
    <row r="209" spans="1:29" x14ac:dyDescent="0.25">
      <c r="B209" s="186" t="s">
        <v>14</v>
      </c>
      <c r="C209" s="95"/>
      <c r="D209" s="95"/>
      <c r="E209" s="150"/>
      <c r="F209" s="161"/>
      <c r="G209" s="150"/>
      <c r="H209" s="150"/>
      <c r="I209" s="150"/>
      <c r="J209" s="150"/>
      <c r="K209" s="68"/>
      <c r="N209" s="38"/>
      <c r="O209" s="131">
        <v>-4589.3549999999996</v>
      </c>
      <c r="P209" s="150">
        <f>P206+P208</f>
        <v>-4308.4929999999995</v>
      </c>
      <c r="Q209" s="150">
        <f t="shared" ref="Q209:S209" si="160">Q206+Q208</f>
        <v>-4027.2189999999991</v>
      </c>
      <c r="R209" s="150">
        <f t="shared" si="160"/>
        <v>-3721.7409999999991</v>
      </c>
      <c r="S209" s="131">
        <f t="shared" si="160"/>
        <v>-3430.7240482749994</v>
      </c>
      <c r="T209" s="150">
        <f>T206+T208</f>
        <v>-3441.5720482749994</v>
      </c>
      <c r="U209" s="150">
        <f>U206+U208</f>
        <v>-2180.52661362656</v>
      </c>
      <c r="V209" s="150">
        <f>V206+V208</f>
        <v>-871.75602543203331</v>
      </c>
      <c r="W209" s="150">
        <f>MIN((W206+W208),0)</f>
        <v>0</v>
      </c>
      <c r="X209" s="150">
        <f>MIN((X206+X208),0)</f>
        <v>0</v>
      </c>
      <c r="Y209" s="95"/>
      <c r="AA209" s="95"/>
      <c r="AB209" s="95"/>
      <c r="AC209" s="95"/>
    </row>
    <row r="210" spans="1:29" x14ac:dyDescent="0.25">
      <c r="B210" s="186"/>
      <c r="C210" s="95"/>
      <c r="D210" s="95"/>
      <c r="E210" s="150"/>
      <c r="F210" s="150"/>
      <c r="G210" s="150"/>
      <c r="H210" s="150"/>
      <c r="I210" s="150"/>
      <c r="J210" s="150"/>
      <c r="K210" s="68"/>
      <c r="N210" s="38"/>
      <c r="O210" s="131"/>
      <c r="P210" s="150"/>
      <c r="Q210" s="150"/>
      <c r="R210" s="150"/>
      <c r="S210" s="131"/>
      <c r="T210" s="150"/>
      <c r="U210" s="150"/>
      <c r="V210" s="150"/>
      <c r="W210" s="150"/>
      <c r="X210" s="150"/>
      <c r="Y210" s="95"/>
      <c r="AA210" s="95"/>
      <c r="AB210" s="95"/>
      <c r="AC210" s="95"/>
    </row>
    <row r="211" spans="1:29" x14ac:dyDescent="0.25">
      <c r="B211" s="401" t="s">
        <v>15</v>
      </c>
      <c r="C211" s="95"/>
      <c r="D211" s="95"/>
      <c r="E211" s="150"/>
      <c r="F211" s="150"/>
      <c r="G211" s="150"/>
      <c r="H211" s="150"/>
      <c r="I211" s="150"/>
      <c r="J211" s="150"/>
      <c r="K211" s="68"/>
      <c r="N211" s="38"/>
      <c r="O211" s="131"/>
      <c r="P211" s="150">
        <f>P205</f>
        <v>112.34480000000002</v>
      </c>
      <c r="Q211" s="150">
        <f t="shared" ref="Q211:S211" si="161">Q205</f>
        <v>112.50960000000009</v>
      </c>
      <c r="R211" s="150">
        <f t="shared" si="161"/>
        <v>122.19120000000008</v>
      </c>
      <c r="S211" s="131">
        <f t="shared" si="161"/>
        <v>116.40678068999988</v>
      </c>
      <c r="T211" s="150">
        <f>T205</f>
        <v>459.11318069000009</v>
      </c>
      <c r="U211" s="150">
        <f>U205</f>
        <v>504.41817385937577</v>
      </c>
      <c r="V211" s="150">
        <f>V205</f>
        <v>523.50823527781074</v>
      </c>
      <c r="W211" s="150">
        <f>W205</f>
        <v>521.91122067352626</v>
      </c>
      <c r="X211" s="150"/>
      <c r="Y211" s="95"/>
      <c r="AA211" s="95"/>
      <c r="AB211" s="95"/>
      <c r="AC211" s="95"/>
    </row>
    <row r="212" spans="1:29" x14ac:dyDescent="0.25">
      <c r="B212" s="375" t="s">
        <v>342</v>
      </c>
      <c r="C212" s="135"/>
      <c r="D212" s="135"/>
      <c r="E212" s="135"/>
      <c r="F212" s="135"/>
      <c r="G212" s="135"/>
      <c r="H212" s="135"/>
      <c r="I212" s="135"/>
      <c r="J212" s="135"/>
      <c r="K212" s="160"/>
      <c r="L212" s="135"/>
      <c r="M212" s="135"/>
      <c r="N212" s="135"/>
      <c r="O212" s="426">
        <f>NPV(10%,T211:$X$211)</f>
        <v>1584.0420144439263</v>
      </c>
      <c r="P212" s="399">
        <f>NPV(10%,Q211:$X$211)</f>
        <v>1480.8382653147451</v>
      </c>
      <c r="Q212" s="399">
        <f>NPV(10%,R211:$X$211)</f>
        <v>1516.4124918462196</v>
      </c>
      <c r="R212" s="399">
        <f>NPV(10%,S211:$X$211)</f>
        <v>1545.8625410308418</v>
      </c>
      <c r="S212" s="426">
        <f>NPV(10%,T211:$X$211)</f>
        <v>1584.0420144439263</v>
      </c>
      <c r="T212" s="399">
        <f>NPV(10%,U211:$X$211)</f>
        <v>1283.3330351983188</v>
      </c>
      <c r="U212" s="399">
        <f>NPV(10%,V211:$X$211)</f>
        <v>907.24816485877511</v>
      </c>
      <c r="V212" s="399">
        <f>NPV(10%,W211:$X$211)</f>
        <v>474.464746066842</v>
      </c>
      <c r="W212" s="399">
        <f>NPV(10%,X211:$X$211)</f>
        <v>0</v>
      </c>
      <c r="X212" s="399">
        <f>NPV(10%,$X211:Y$211)</f>
        <v>0</v>
      </c>
      <c r="Y212" s="68"/>
      <c r="AA212" s="68"/>
      <c r="AB212" s="68"/>
      <c r="AC212" s="68"/>
    </row>
    <row r="213" spans="1:29" x14ac:dyDescent="0.25">
      <c r="B213" s="407" t="s">
        <v>349</v>
      </c>
      <c r="C213" s="95"/>
      <c r="D213" s="95"/>
      <c r="E213" s="150"/>
      <c r="F213" s="150"/>
      <c r="G213" s="150"/>
      <c r="H213" s="150"/>
      <c r="I213" s="150"/>
      <c r="J213" s="150"/>
      <c r="K213" s="68"/>
      <c r="N213" s="38"/>
      <c r="O213" s="129">
        <f>O212/O153</f>
        <v>0.29144317109062101</v>
      </c>
      <c r="P213" s="107">
        <f>P212/P153</f>
        <v>0.28975718109135629</v>
      </c>
      <c r="Q213" s="107">
        <f t="shared" ref="Q213:S213" si="162">Q212/Q153</f>
        <v>0.3039970738911324</v>
      </c>
      <c r="R213" s="107">
        <f t="shared" si="162"/>
        <v>0.31421062419666251</v>
      </c>
      <c r="S213" s="129">
        <f t="shared" si="162"/>
        <v>0.32987786903718985</v>
      </c>
      <c r="T213" s="107">
        <f>T212/T153</f>
        <v>0.2589897650226442</v>
      </c>
      <c r="U213" s="107">
        <f>U212/U153</f>
        <v>0.2061927647406307</v>
      </c>
      <c r="V213" s="107">
        <f>V212/V153</f>
        <v>0.12165762719662615</v>
      </c>
      <c r="W213" s="107">
        <f>W212/W153</f>
        <v>0</v>
      </c>
      <c r="X213" s="150"/>
      <c r="Y213" s="95"/>
      <c r="AA213" s="95"/>
      <c r="AB213" s="95"/>
      <c r="AC213" s="95"/>
    </row>
    <row r="214" spans="1:29" x14ac:dyDescent="0.25">
      <c r="B214" s="401"/>
      <c r="C214" s="95"/>
      <c r="D214" s="95"/>
      <c r="E214" s="150"/>
      <c r="F214" s="150"/>
      <c r="G214" s="150"/>
      <c r="H214" s="150"/>
      <c r="I214" s="150"/>
      <c r="J214" s="150"/>
      <c r="K214" s="68"/>
      <c r="N214" s="38"/>
      <c r="O214" s="131"/>
      <c r="P214" s="150"/>
      <c r="Q214" s="150"/>
      <c r="R214" s="150"/>
      <c r="S214" s="131"/>
      <c r="T214" s="150"/>
      <c r="U214" s="150"/>
      <c r="V214" s="150"/>
      <c r="W214" s="150"/>
      <c r="X214" s="150"/>
      <c r="Y214" s="95"/>
      <c r="AA214" s="95"/>
      <c r="AB214" s="95"/>
      <c r="AC214" s="95"/>
    </row>
    <row r="215" spans="1:29" x14ac:dyDescent="0.25">
      <c r="B215" s="401"/>
      <c r="C215" s="95"/>
      <c r="D215" s="95"/>
      <c r="E215" s="150"/>
      <c r="F215" s="150"/>
      <c r="G215" s="150"/>
      <c r="H215" s="150"/>
      <c r="I215" s="150"/>
      <c r="J215" s="150"/>
      <c r="K215" s="68"/>
      <c r="N215" s="38"/>
      <c r="O215" s="131"/>
      <c r="P215" s="150"/>
      <c r="Q215" s="150"/>
      <c r="R215" s="150"/>
      <c r="S215" s="131"/>
      <c r="T215" s="150"/>
      <c r="U215" s="150"/>
      <c r="V215" s="150"/>
      <c r="W215" s="150"/>
      <c r="X215" s="150"/>
      <c r="Y215" s="95"/>
      <c r="AA215" s="95"/>
      <c r="AB215" s="95"/>
      <c r="AC215" s="95"/>
    </row>
    <row r="216" spans="1:29" x14ac:dyDescent="0.25">
      <c r="B216" s="68"/>
      <c r="C216" s="68"/>
      <c r="D216" s="68"/>
      <c r="E216" s="68"/>
      <c r="F216" s="68"/>
      <c r="G216" s="68"/>
      <c r="H216" s="68"/>
      <c r="I216" s="68"/>
      <c r="J216" s="68"/>
      <c r="K216" s="66"/>
      <c r="L216" s="68"/>
      <c r="M216" s="68"/>
      <c r="N216" s="68"/>
      <c r="O216" s="69"/>
      <c r="P216" s="68"/>
      <c r="Q216" s="68"/>
      <c r="R216" s="68"/>
      <c r="S216" s="69"/>
      <c r="T216" s="68"/>
      <c r="U216" s="68"/>
      <c r="V216" s="68"/>
      <c r="W216" s="68"/>
      <c r="X216" s="68"/>
      <c r="Y216" s="68"/>
      <c r="AA216" s="68"/>
      <c r="AB216" s="68"/>
      <c r="AC216" s="68"/>
    </row>
    <row r="217" spans="1:29" x14ac:dyDescent="0.25">
      <c r="B217" s="117" t="s">
        <v>228</v>
      </c>
      <c r="C217" s="118"/>
      <c r="D217" s="118"/>
      <c r="E217" s="118"/>
      <c r="F217" s="118"/>
      <c r="G217" s="118"/>
      <c r="H217" s="118"/>
      <c r="I217" s="118"/>
      <c r="J217" s="118"/>
      <c r="K217" s="315"/>
      <c r="L217" s="118"/>
      <c r="M217" s="118"/>
      <c r="N217" s="118"/>
      <c r="O217" s="417"/>
      <c r="P217" s="118"/>
      <c r="Q217" s="118"/>
      <c r="R217" s="118"/>
      <c r="S217" s="118"/>
      <c r="T217" s="118"/>
      <c r="U217" s="119"/>
      <c r="V217" s="119"/>
      <c r="W217" s="119"/>
      <c r="X217" s="119"/>
    </row>
    <row r="218" spans="1:29" x14ac:dyDescent="0.25">
      <c r="A218" s="68"/>
      <c r="B218" s="68"/>
      <c r="C218" s="68"/>
      <c r="D218" s="68"/>
      <c r="E218" s="68"/>
      <c r="F218" s="68"/>
      <c r="G218" s="68"/>
      <c r="H218" s="68"/>
      <c r="I218" s="68"/>
      <c r="J218" s="68"/>
      <c r="K218" s="66"/>
      <c r="L218" s="68"/>
      <c r="M218" s="68"/>
      <c r="N218" s="68"/>
      <c r="O218" s="69"/>
      <c r="P218" s="68"/>
      <c r="Q218" s="68"/>
      <c r="R218" s="68"/>
      <c r="S218" s="69"/>
      <c r="T218" s="68"/>
      <c r="U218" s="68"/>
      <c r="V218" s="68"/>
      <c r="W218" s="68"/>
      <c r="X218" s="68"/>
      <c r="Y218" s="68"/>
      <c r="AA218" s="68"/>
      <c r="AB218" s="68"/>
    </row>
    <row r="219" spans="1:29" x14ac:dyDescent="0.25">
      <c r="A219" s="68"/>
      <c r="B219" s="166" t="s">
        <v>88</v>
      </c>
      <c r="C219" s="68"/>
      <c r="D219" s="192">
        <v>520.94500000000005</v>
      </c>
      <c r="E219" s="192">
        <v>134.80500000000001</v>
      </c>
      <c r="F219" s="95"/>
      <c r="G219" s="95"/>
      <c r="H219" s="95"/>
      <c r="I219" s="95"/>
      <c r="J219" s="192">
        <v>147.72399999999999</v>
      </c>
      <c r="K219" s="161"/>
      <c r="L219" s="95"/>
      <c r="M219" s="95"/>
      <c r="N219" s="131"/>
      <c r="O219" s="420">
        <v>111.83799999999999</v>
      </c>
      <c r="P219" s="192">
        <v>101.952</v>
      </c>
      <c r="Q219" s="192">
        <v>476.45299999999997</v>
      </c>
      <c r="R219" s="192">
        <v>572.38199999999995</v>
      </c>
      <c r="S219" s="420">
        <f t="shared" ref="S219" si="163">S191</f>
        <v>660.14163678584964</v>
      </c>
      <c r="T219" s="192">
        <f>S219</f>
        <v>660.14163678584964</v>
      </c>
      <c r="U219" s="192">
        <f>U191</f>
        <v>841.20317834310322</v>
      </c>
      <c r="V219" s="192">
        <f>V191</f>
        <v>1178.7610257418007</v>
      </c>
      <c r="W219" s="192">
        <f>W191</f>
        <v>2131.596382370537</v>
      </c>
      <c r="X219" s="192">
        <f>X191</f>
        <v>3023.6125345576252</v>
      </c>
      <c r="Y219" s="68"/>
      <c r="AA219" s="68"/>
      <c r="AB219" s="68"/>
    </row>
    <row r="220" spans="1:29" x14ac:dyDescent="0.25">
      <c r="A220" s="68"/>
      <c r="B220" s="166" t="s">
        <v>110</v>
      </c>
      <c r="C220" s="68"/>
      <c r="D220" s="190">
        <v>122.157</v>
      </c>
      <c r="E220" s="190">
        <v>110.53</v>
      </c>
      <c r="F220" s="95"/>
      <c r="G220" s="95"/>
      <c r="H220" s="95"/>
      <c r="I220" s="95"/>
      <c r="J220" s="190">
        <v>116.336</v>
      </c>
      <c r="K220" s="161"/>
      <c r="L220" s="95"/>
      <c r="M220" s="95"/>
      <c r="N220" s="131"/>
      <c r="O220" s="423">
        <v>187.03299999999999</v>
      </c>
      <c r="P220" s="190">
        <v>204.84899999999999</v>
      </c>
      <c r="Q220" s="190">
        <v>200.35599999999999</v>
      </c>
      <c r="R220" s="190">
        <v>202.28899999999999</v>
      </c>
      <c r="S220" s="423">
        <f t="shared" ref="S220" si="164">R220*(1.01)</f>
        <v>204.31188999999998</v>
      </c>
      <c r="T220" s="190">
        <f t="shared" ref="T220:T223" si="165">S220</f>
        <v>204.31188999999998</v>
      </c>
      <c r="U220" s="190">
        <f>T220*(1+U116)</f>
        <v>219.26179514790462</v>
      </c>
      <c r="V220" s="190">
        <f>U220*(1+V116)</f>
        <v>230.36650268040228</v>
      </c>
      <c r="W220" s="190">
        <f>V220*(1+W116)</f>
        <v>239.6069689249272</v>
      </c>
      <c r="X220" s="190">
        <f>W220*(1+X116)</f>
        <v>247.84201973554298</v>
      </c>
      <c r="Y220" s="68"/>
      <c r="AA220" s="68"/>
      <c r="AB220" s="68"/>
    </row>
    <row r="221" spans="1:29" x14ac:dyDescent="0.25">
      <c r="A221" s="68"/>
      <c r="B221" s="166" t="s">
        <v>40</v>
      </c>
      <c r="C221" s="68"/>
      <c r="D221" s="190">
        <v>210.56700000000001</v>
      </c>
      <c r="E221" s="190">
        <v>192.91199999999998</v>
      </c>
      <c r="F221" s="95"/>
      <c r="G221" s="95"/>
      <c r="H221" s="95"/>
      <c r="I221" s="95"/>
      <c r="J221" s="190">
        <v>220.57900000000001</v>
      </c>
      <c r="K221" s="161"/>
      <c r="L221" s="95"/>
      <c r="M221" s="95"/>
      <c r="N221" s="131"/>
      <c r="O221" s="423">
        <v>234.78200000000001</v>
      </c>
      <c r="P221" s="190">
        <v>228.17</v>
      </c>
      <c r="Q221" s="190">
        <v>225.38</v>
      </c>
      <c r="R221" s="190">
        <v>233.41900000000001</v>
      </c>
      <c r="S221" s="423">
        <f t="shared" ref="S221" si="166">R221*(1.01)</f>
        <v>235.75319000000002</v>
      </c>
      <c r="T221" s="190">
        <f t="shared" si="165"/>
        <v>235.75319000000002</v>
      </c>
      <c r="U221" s="190">
        <f>T221*(1+U116)</f>
        <v>253.00371726405666</v>
      </c>
      <c r="V221" s="190">
        <f>U221*(1+V116)</f>
        <v>265.81731428380596</v>
      </c>
      <c r="W221" s="190">
        <f>V221*(1+W116)</f>
        <v>276.47978426650775</v>
      </c>
      <c r="X221" s="190">
        <f>W221*(1+X116)</f>
        <v>285.98211669764896</v>
      </c>
      <c r="Y221" s="68"/>
      <c r="AA221" s="68"/>
      <c r="AB221" s="68"/>
    </row>
    <row r="222" spans="1:29" x14ac:dyDescent="0.25">
      <c r="A222" s="68"/>
      <c r="B222" s="166" t="s">
        <v>6</v>
      </c>
      <c r="C222" s="68"/>
      <c r="D222" s="191">
        <v>974.51300000000003</v>
      </c>
      <c r="E222" s="191">
        <v>980.76599999999996</v>
      </c>
      <c r="F222" s="95"/>
      <c r="G222" s="95"/>
      <c r="H222" s="95"/>
      <c r="I222" s="95"/>
      <c r="J222" s="191">
        <v>1065.107</v>
      </c>
      <c r="K222" s="161"/>
      <c r="L222" s="95"/>
      <c r="M222" s="95"/>
      <c r="N222" s="131"/>
      <c r="O222" s="424">
        <f>O223-O220-O219-O221</f>
        <v>28.236000000000018</v>
      </c>
      <c r="P222" s="191">
        <f>P223-P221-P220-P219</f>
        <v>27.182000000000073</v>
      </c>
      <c r="Q222" s="191">
        <f>Q223-Q221-Q220-Q219</f>
        <v>31.187999999999988</v>
      </c>
      <c r="R222" s="191">
        <f>R223-R221-R220-R219</f>
        <v>33.278999999999996</v>
      </c>
      <c r="S222" s="424">
        <f t="shared" ref="S222" si="167">R222*(1+S118)</f>
        <v>33.278999999999996</v>
      </c>
      <c r="T222" s="191">
        <f t="shared" si="165"/>
        <v>33.278999999999996</v>
      </c>
      <c r="U222" s="191">
        <f>T222*(1+U116)</f>
        <v>35.71409026037162</v>
      </c>
      <c r="V222" s="191">
        <f>U222*(1+V116)</f>
        <v>37.522861947491684</v>
      </c>
      <c r="W222" s="191">
        <f>V222*(1+W116)</f>
        <v>39.027979814844116</v>
      </c>
      <c r="X222" s="191">
        <f>W222*(1+X116)</f>
        <v>40.369332273217843</v>
      </c>
      <c r="Y222" s="68"/>
      <c r="AA222" s="68"/>
      <c r="AB222" s="68"/>
    </row>
    <row r="223" spans="1:29" x14ac:dyDescent="0.25">
      <c r="A223" s="68"/>
      <c r="B223" s="166" t="s">
        <v>1</v>
      </c>
      <c r="C223" s="68"/>
      <c r="D223" s="192">
        <v>1828.1820000000002</v>
      </c>
      <c r="E223" s="192">
        <v>1419.0129999999999</v>
      </c>
      <c r="F223" s="95"/>
      <c r="G223" s="95"/>
      <c r="H223" s="95"/>
      <c r="I223" s="95"/>
      <c r="J223" s="192">
        <v>1549.7460000000001</v>
      </c>
      <c r="K223" s="161"/>
      <c r="L223" s="95"/>
      <c r="M223" s="95"/>
      <c r="N223" s="131"/>
      <c r="O223" s="420">
        <v>561.88900000000001</v>
      </c>
      <c r="P223" s="192">
        <v>562.15300000000002</v>
      </c>
      <c r="Q223" s="192">
        <v>933.37699999999995</v>
      </c>
      <c r="R223" s="192">
        <v>1041.3689999999999</v>
      </c>
      <c r="S223" s="420">
        <f t="shared" ref="S223" si="168">SUM(S219:S222)</f>
        <v>1133.4857167858495</v>
      </c>
      <c r="T223" s="192">
        <f t="shared" si="165"/>
        <v>1133.4857167858495</v>
      </c>
      <c r="U223" s="192">
        <f>SUM(U219:U222)</f>
        <v>1349.1827810154361</v>
      </c>
      <c r="V223" s="192">
        <f>SUM(V219:V222)</f>
        <v>1712.4677046535005</v>
      </c>
      <c r="W223" s="192">
        <f>SUM(W219:W222)</f>
        <v>2686.7111153768155</v>
      </c>
      <c r="X223" s="192">
        <f>SUM(X219:X222)</f>
        <v>3597.8060032640351</v>
      </c>
      <c r="Y223" s="68"/>
      <c r="AA223" s="68"/>
      <c r="AB223" s="68"/>
    </row>
    <row r="224" spans="1:29" x14ac:dyDescent="0.25">
      <c r="A224" s="68"/>
      <c r="B224" s="167"/>
      <c r="C224" s="68"/>
      <c r="D224" s="190"/>
      <c r="E224" s="190"/>
      <c r="F224" s="95"/>
      <c r="G224" s="95"/>
      <c r="H224" s="95"/>
      <c r="I224" s="95"/>
      <c r="J224" s="190"/>
      <c r="K224" s="161"/>
      <c r="L224" s="95"/>
      <c r="M224" s="95"/>
      <c r="N224" s="131"/>
      <c r="O224" s="423"/>
      <c r="P224" s="190"/>
      <c r="Q224" s="190"/>
      <c r="R224" s="190"/>
      <c r="S224" s="423"/>
      <c r="T224" s="190"/>
      <c r="U224" s="190"/>
      <c r="V224" s="190"/>
      <c r="W224" s="190"/>
      <c r="X224" s="190"/>
      <c r="Y224" s="68"/>
      <c r="AA224" s="68"/>
      <c r="AB224" s="68"/>
    </row>
    <row r="225" spans="1:28" x14ac:dyDescent="0.25">
      <c r="A225" s="68"/>
      <c r="B225" s="166" t="s">
        <v>130</v>
      </c>
      <c r="C225" s="68"/>
      <c r="D225" s="192">
        <v>1571.922</v>
      </c>
      <c r="E225" s="192">
        <v>1594.5740000000001</v>
      </c>
      <c r="F225" s="95"/>
      <c r="G225" s="95"/>
      <c r="H225" s="95"/>
      <c r="I225" s="95"/>
      <c r="J225" s="192">
        <v>1510.1120000000001</v>
      </c>
      <c r="K225" s="161"/>
      <c r="L225" s="95"/>
      <c r="M225" s="95"/>
      <c r="N225" s="131"/>
      <c r="O225" s="420">
        <v>1415.4010000000001</v>
      </c>
      <c r="P225" s="192">
        <v>1400.75</v>
      </c>
      <c r="Q225" s="192">
        <v>1373.874</v>
      </c>
      <c r="R225" s="192">
        <v>1381.114</v>
      </c>
      <c r="S225" s="420">
        <f t="shared" ref="S225" si="169">R225-S174-S162</f>
        <v>1359.7812838750001</v>
      </c>
      <c r="T225" s="192">
        <f>S225</f>
        <v>1359.7812838750001</v>
      </c>
      <c r="U225" s="192">
        <f>T225-U174-U162</f>
        <v>1287.1098404763313</v>
      </c>
      <c r="V225" s="192">
        <f>U225-V174-V162</f>
        <v>1198.0964164530214</v>
      </c>
      <c r="W225" s="192">
        <f>V225-W174-W162</f>
        <v>1095.484478476169</v>
      </c>
      <c r="X225" s="192">
        <f>W225-X174-X162</f>
        <v>1020.753622428203</v>
      </c>
      <c r="Y225" s="68"/>
      <c r="AA225" s="68"/>
      <c r="AB225" s="68"/>
    </row>
    <row r="226" spans="1:28" x14ac:dyDescent="0.25">
      <c r="A226" s="68"/>
      <c r="B226" s="166" t="s">
        <v>45</v>
      </c>
      <c r="C226" s="68"/>
      <c r="D226" s="204">
        <v>3.9990000000000001</v>
      </c>
      <c r="E226" s="204">
        <v>5.718</v>
      </c>
      <c r="F226" s="95"/>
      <c r="G226" s="95"/>
      <c r="H226" s="95"/>
      <c r="I226" s="95"/>
      <c r="J226" s="204">
        <v>5.9219999999999997</v>
      </c>
      <c r="K226" s="161"/>
      <c r="L226" s="95"/>
      <c r="M226" s="95"/>
      <c r="N226" s="95"/>
      <c r="O226" s="427">
        <v>9.8879999999999999</v>
      </c>
      <c r="P226" s="389">
        <v>6.6950000000000003</v>
      </c>
      <c r="Q226" s="389">
        <v>4.9000000000000004</v>
      </c>
      <c r="R226" s="389">
        <v>6.1630000000000003</v>
      </c>
      <c r="S226" s="427">
        <f t="shared" ref="S226:T226" si="170">R226</f>
        <v>6.1630000000000003</v>
      </c>
      <c r="T226" s="389">
        <f t="shared" si="170"/>
        <v>6.1630000000000003</v>
      </c>
      <c r="U226" s="204">
        <v>0</v>
      </c>
      <c r="V226" s="204">
        <v>0</v>
      </c>
      <c r="W226" s="204">
        <v>0</v>
      </c>
      <c r="X226" s="204">
        <v>0</v>
      </c>
      <c r="Y226" s="68"/>
      <c r="AA226" s="68"/>
      <c r="AB226" s="68"/>
    </row>
    <row r="227" spans="1:28" x14ac:dyDescent="0.25">
      <c r="A227" s="68"/>
      <c r="B227" s="167" t="s">
        <v>82</v>
      </c>
      <c r="C227" s="68"/>
      <c r="D227" s="390">
        <v>1815.365</v>
      </c>
      <c r="E227" s="390">
        <v>2204.5529999999999</v>
      </c>
      <c r="F227" s="95"/>
      <c r="G227" s="95"/>
      <c r="H227" s="95"/>
      <c r="I227" s="95"/>
      <c r="J227" s="204">
        <v>2205.107</v>
      </c>
      <c r="K227" s="161"/>
      <c r="L227" s="95"/>
      <c r="M227" s="95"/>
      <c r="N227" s="95"/>
      <c r="O227" s="427">
        <v>2205</v>
      </c>
      <c r="P227" s="391">
        <v>2205.107</v>
      </c>
      <c r="Q227" s="391">
        <v>2205.107</v>
      </c>
      <c r="R227" s="391">
        <v>2205.107</v>
      </c>
      <c r="S227" s="427">
        <f t="shared" ref="S227:T227" si="171">R227</f>
        <v>2205.107</v>
      </c>
      <c r="T227" s="391">
        <f t="shared" si="171"/>
        <v>2205.107</v>
      </c>
      <c r="U227" s="390">
        <v>2205.107</v>
      </c>
      <c r="V227" s="390">
        <v>2205.107</v>
      </c>
      <c r="W227" s="390">
        <v>2205.107</v>
      </c>
      <c r="X227" s="390">
        <v>2205.107</v>
      </c>
      <c r="Y227" s="68"/>
      <c r="AA227" s="68"/>
      <c r="AB227" s="68"/>
    </row>
    <row r="228" spans="1:28" x14ac:dyDescent="0.25">
      <c r="A228" s="68"/>
      <c r="B228" s="167" t="s">
        <v>19</v>
      </c>
      <c r="C228" s="68"/>
      <c r="D228" s="390">
        <v>431.10399999999993</v>
      </c>
      <c r="E228" s="390">
        <v>383.77399999999994</v>
      </c>
      <c r="F228" s="95"/>
      <c r="G228" s="95"/>
      <c r="H228" s="95"/>
      <c r="I228" s="95"/>
      <c r="J228" s="204">
        <v>328.75799999999992</v>
      </c>
      <c r="K228" s="161"/>
      <c r="L228" s="95"/>
      <c r="M228" s="95"/>
      <c r="N228" s="95"/>
      <c r="O228" s="427">
        <v>2593.346</v>
      </c>
      <c r="P228" s="391">
        <v>2580.9059999999999</v>
      </c>
      <c r="Q228" s="391">
        <v>2568.6480000000001</v>
      </c>
      <c r="R228" s="391">
        <v>2556.5680000000002</v>
      </c>
      <c r="S228" s="427">
        <f t="shared" ref="S228:T228" si="172">R228</f>
        <v>2556.5680000000002</v>
      </c>
      <c r="T228" s="391">
        <f t="shared" si="172"/>
        <v>2556.5680000000002</v>
      </c>
      <c r="U228" s="390">
        <f>T228-25</f>
        <v>2531.5680000000002</v>
      </c>
      <c r="V228" s="390">
        <f>U228-25</f>
        <v>2506.5680000000002</v>
      </c>
      <c r="W228" s="390">
        <f>V228-25</f>
        <v>2481.5680000000002</v>
      </c>
      <c r="X228" s="390">
        <f>W228-25</f>
        <v>2456.5680000000002</v>
      </c>
      <c r="Y228" s="68"/>
      <c r="AA228" s="68"/>
      <c r="AB228" s="68"/>
    </row>
    <row r="229" spans="1:28" hidden="1" outlineLevel="1" x14ac:dyDescent="0.25">
      <c r="A229" s="68"/>
      <c r="B229" s="168" t="s">
        <v>85</v>
      </c>
      <c r="C229" s="68"/>
      <c r="D229" s="204">
        <v>2088.5060000000003</v>
      </c>
      <c r="E229" s="204">
        <v>2316.288</v>
      </c>
      <c r="F229" s="95"/>
      <c r="G229" s="95"/>
      <c r="H229" s="95"/>
      <c r="I229" s="95"/>
      <c r="J229" s="204">
        <v>2316.288</v>
      </c>
      <c r="K229" s="161"/>
      <c r="L229" s="95"/>
      <c r="M229" s="95"/>
      <c r="N229" s="131"/>
      <c r="O229" s="427">
        <v>0</v>
      </c>
      <c r="P229" s="389">
        <f>K229</f>
        <v>0</v>
      </c>
      <c r="Q229" s="389">
        <f t="shared" ref="Q229:S229" si="173">L229</f>
        <v>0</v>
      </c>
      <c r="R229" s="389">
        <f t="shared" si="173"/>
        <v>0</v>
      </c>
      <c r="S229" s="427">
        <f t="shared" si="173"/>
        <v>0</v>
      </c>
      <c r="T229" s="389">
        <f t="shared" ref="T229:T233" si="174">S229</f>
        <v>0</v>
      </c>
      <c r="U229" s="204">
        <v>2316.288</v>
      </c>
      <c r="V229" s="204">
        <v>2316.288</v>
      </c>
      <c r="W229" s="204">
        <v>2316.288</v>
      </c>
      <c r="X229" s="204">
        <v>2316.288</v>
      </c>
      <c r="Y229" s="68"/>
      <c r="AA229" s="68"/>
      <c r="AB229" s="68"/>
    </row>
    <row r="230" spans="1:28" hidden="1" outlineLevel="1" x14ac:dyDescent="0.25">
      <c r="A230" s="68"/>
      <c r="B230" s="168" t="s">
        <v>78</v>
      </c>
      <c r="C230" s="68"/>
      <c r="D230" s="204">
        <v>38.677</v>
      </c>
      <c r="E230" s="204">
        <v>12.603999999999999</v>
      </c>
      <c r="F230" s="95"/>
      <c r="G230" s="95"/>
      <c r="H230" s="95"/>
      <c r="I230" s="95"/>
      <c r="J230" s="204">
        <v>12.021000000000001</v>
      </c>
      <c r="K230" s="161"/>
      <c r="L230" s="95"/>
      <c r="M230" s="95"/>
      <c r="N230" s="131"/>
      <c r="O230" s="427">
        <v>0</v>
      </c>
      <c r="P230" s="389">
        <v>0</v>
      </c>
      <c r="Q230" s="389">
        <v>0</v>
      </c>
      <c r="R230" s="389">
        <v>0</v>
      </c>
      <c r="S230" s="427">
        <v>0</v>
      </c>
      <c r="T230" s="389">
        <f t="shared" si="174"/>
        <v>0</v>
      </c>
      <c r="U230" s="389">
        <v>0</v>
      </c>
      <c r="V230" s="389">
        <v>0</v>
      </c>
      <c r="W230" s="389">
        <v>0</v>
      </c>
      <c r="X230" s="389">
        <v>0</v>
      </c>
      <c r="Y230" s="68"/>
      <c r="AA230" s="68"/>
      <c r="AB230" s="68"/>
    </row>
    <row r="231" spans="1:28" collapsed="1" x14ac:dyDescent="0.25">
      <c r="A231" s="68"/>
      <c r="B231" s="168" t="s">
        <v>95</v>
      </c>
      <c r="C231" s="68"/>
      <c r="D231" s="204">
        <v>1219.2560000000001</v>
      </c>
      <c r="E231" s="204">
        <v>868.05700000000002</v>
      </c>
      <c r="F231" s="95"/>
      <c r="G231" s="95"/>
      <c r="H231" s="95"/>
      <c r="I231" s="95"/>
      <c r="J231" s="204">
        <v>437.73599999999999</v>
      </c>
      <c r="K231" s="161"/>
      <c r="L231" s="95"/>
      <c r="M231" s="95"/>
      <c r="N231" s="131"/>
      <c r="O231" s="427">
        <v>1115.731</v>
      </c>
      <c r="P231" s="389">
        <v>1012.649</v>
      </c>
      <c r="Q231" s="389">
        <v>910.51</v>
      </c>
      <c r="R231" s="389">
        <v>1101.0139999999999</v>
      </c>
      <c r="S231" s="427">
        <f t="shared" ref="S231" si="175">R231</f>
        <v>1101.0139999999999</v>
      </c>
      <c r="T231" s="389">
        <f t="shared" si="174"/>
        <v>1101.0139999999999</v>
      </c>
      <c r="U231" s="204">
        <v>0</v>
      </c>
      <c r="V231" s="204">
        <v>0</v>
      </c>
      <c r="W231" s="204">
        <v>0</v>
      </c>
      <c r="X231" s="204">
        <v>0</v>
      </c>
      <c r="Y231" s="68"/>
      <c r="AA231" s="68"/>
      <c r="AB231" s="68"/>
    </row>
    <row r="232" spans="1:28" x14ac:dyDescent="0.25">
      <c r="A232" s="68"/>
      <c r="B232" s="166" t="s">
        <v>329</v>
      </c>
      <c r="C232" s="68"/>
      <c r="D232" s="204">
        <v>57.832000000000001</v>
      </c>
      <c r="E232" s="204">
        <v>40.198999999999998</v>
      </c>
      <c r="F232" s="95"/>
      <c r="G232" s="95"/>
      <c r="H232" s="95"/>
      <c r="I232" s="95"/>
      <c r="J232" s="204">
        <v>9.8189999999999991</v>
      </c>
      <c r="K232" s="161"/>
      <c r="L232" s="95"/>
      <c r="M232" s="95"/>
      <c r="N232" s="131"/>
      <c r="O232" s="427">
        <v>59</v>
      </c>
      <c r="P232" s="389">
        <f>P233-P231-P230-P229-P228-P227-P226-P225-P223</f>
        <v>159.98199999999974</v>
      </c>
      <c r="Q232" s="389">
        <f>Q233-Q231-Q228-Q227-Q226-Q225-Q223</f>
        <v>143.42899999999986</v>
      </c>
      <c r="R232" s="389">
        <f>R233-R231-R228-R227-R226-R225-R223</f>
        <v>131.49199999999905</v>
      </c>
      <c r="S232" s="427">
        <f t="shared" ref="S232" si="176">S256-S231-S230-S228-S229-S227-S226-S225-S223</f>
        <v>-4.6735826899998756</v>
      </c>
      <c r="T232" s="389">
        <f t="shared" si="174"/>
        <v>-4.6735826899998756</v>
      </c>
      <c r="U232" s="204">
        <f ca="1">U256-U231-U230-U228-U229-U227-U226-U225-U223</f>
        <v>464.08466320746857</v>
      </c>
      <c r="V232" s="204">
        <f ca="1">V256-V231-V230-V228-V229-V227-V226-V225-V223</f>
        <v>547.64642976072105</v>
      </c>
      <c r="W232" s="204">
        <f ca="1">W256-W231-W230-W228-W229-W227-W226-W225-W223</f>
        <v>4.9065831946481921</v>
      </c>
      <c r="X232" s="204">
        <f ca="1">X256-X231-X230-X228-X229-X227-X226-X225-X223</f>
        <v>-554.29217534711461</v>
      </c>
      <c r="Y232" s="68"/>
      <c r="AA232" s="68"/>
      <c r="AB232" s="68"/>
    </row>
    <row r="233" spans="1:28" ht="15.75" thickBot="1" x14ac:dyDescent="0.3">
      <c r="A233" s="68"/>
      <c r="B233" s="169" t="s">
        <v>36</v>
      </c>
      <c r="C233" s="68"/>
      <c r="D233" s="392">
        <v>9054.8430000000008</v>
      </c>
      <c r="E233" s="392">
        <v>8844.7799999999988</v>
      </c>
      <c r="F233" s="95"/>
      <c r="G233" s="95"/>
      <c r="H233" s="95"/>
      <c r="I233" s="95"/>
      <c r="J233" s="392">
        <v>8375.509</v>
      </c>
      <c r="K233" s="161"/>
      <c r="L233" s="95"/>
      <c r="M233" s="95"/>
      <c r="N233" s="131"/>
      <c r="O233" s="428">
        <v>8046.6620000000003</v>
      </c>
      <c r="P233" s="392">
        <v>7928.2420000000002</v>
      </c>
      <c r="Q233" s="392">
        <v>8139.8450000000003</v>
      </c>
      <c r="R233" s="392">
        <v>8422.8269999999993</v>
      </c>
      <c r="S233" s="428">
        <f t="shared" ref="S233" si="177">SUM(S226:S232)+S223+S225</f>
        <v>8357.44541797085</v>
      </c>
      <c r="T233" s="392">
        <f t="shared" si="174"/>
        <v>8357.44541797085</v>
      </c>
      <c r="U233" s="392">
        <f ca="1">SUM(U226:U232)+U223+U225</f>
        <v>10153.340284699234</v>
      </c>
      <c r="V233" s="392">
        <f ca="1">SUM(V226:V232)+V223+V225</f>
        <v>10486.173550867243</v>
      </c>
      <c r="W233" s="392">
        <f ca="1">SUM(W226:W232)+W223+W225</f>
        <v>10790.065177047632</v>
      </c>
      <c r="X233" s="392">
        <f ca="1">SUM(X226:X232)+X223+X225</f>
        <v>11042.230450345123</v>
      </c>
      <c r="Y233" s="68"/>
      <c r="AA233" s="68"/>
      <c r="AB233" s="68"/>
    </row>
    <row r="234" spans="1:28" ht="15.75" thickTop="1" x14ac:dyDescent="0.25">
      <c r="A234" s="68"/>
      <c r="B234" s="167"/>
      <c r="C234" s="68"/>
      <c r="D234" s="193"/>
      <c r="E234" s="193"/>
      <c r="F234" s="95"/>
      <c r="G234" s="95"/>
      <c r="H234" s="95"/>
      <c r="I234" s="95"/>
      <c r="J234" s="193"/>
      <c r="K234" s="161"/>
      <c r="L234" s="95"/>
      <c r="M234" s="95"/>
      <c r="N234" s="131"/>
      <c r="O234" s="422"/>
      <c r="P234" s="193"/>
      <c r="Q234" s="193"/>
      <c r="R234" s="193"/>
      <c r="S234" s="422"/>
      <c r="T234" s="193"/>
      <c r="U234" s="193"/>
      <c r="V234" s="193"/>
      <c r="W234" s="193"/>
      <c r="X234" s="193"/>
      <c r="Y234" s="68"/>
      <c r="AA234" s="68"/>
      <c r="AB234" s="68"/>
    </row>
    <row r="235" spans="1:28" x14ac:dyDescent="0.25">
      <c r="A235" s="68"/>
      <c r="B235" s="166" t="s">
        <v>106</v>
      </c>
      <c r="C235" s="68"/>
      <c r="D235" s="189">
        <v>4.234</v>
      </c>
      <c r="E235" s="189">
        <v>507.774</v>
      </c>
      <c r="F235" s="95"/>
      <c r="G235" s="95"/>
      <c r="H235" s="95"/>
      <c r="I235" s="95"/>
      <c r="J235" s="192">
        <v>7.4820000000000002</v>
      </c>
      <c r="K235" s="161"/>
      <c r="L235" s="95"/>
      <c r="M235" s="95"/>
      <c r="N235" s="131"/>
      <c r="O235" s="420">
        <v>4.7640000000000002</v>
      </c>
      <c r="P235" s="189">
        <v>5.5010000000000003</v>
      </c>
      <c r="Q235" s="189">
        <v>5.6109999999999998</v>
      </c>
      <c r="R235" s="189">
        <v>358.70100000000002</v>
      </c>
      <c r="S235" s="420">
        <f t="shared" ref="S235" si="178">R235</f>
        <v>358.70100000000002</v>
      </c>
      <c r="T235" s="189">
        <f>S235</f>
        <v>358.70100000000002</v>
      </c>
      <c r="U235" s="189">
        <f>T235*(1+U116)</f>
        <v>384.94786172918543</v>
      </c>
      <c r="V235" s="189">
        <f>U235*(1+V116)</f>
        <v>404.44388663803653</v>
      </c>
      <c r="W235" s="189">
        <f>V235*(1+W116)</f>
        <v>420.66694875340011</v>
      </c>
      <c r="X235" s="189">
        <f>W235*(1+X116)</f>
        <v>435.12484917622271</v>
      </c>
      <c r="Y235" s="68"/>
      <c r="AA235" s="68"/>
      <c r="AB235" s="68"/>
    </row>
    <row r="236" spans="1:28" x14ac:dyDescent="0.25">
      <c r="A236" s="68"/>
      <c r="B236" s="166" t="s">
        <v>115</v>
      </c>
      <c r="C236" s="68"/>
      <c r="D236" s="204">
        <v>587.65200000000004</v>
      </c>
      <c r="E236" s="204">
        <v>578.33299999999997</v>
      </c>
      <c r="F236" s="95"/>
      <c r="G236" s="95"/>
      <c r="H236" s="95"/>
      <c r="I236" s="95"/>
      <c r="J236" s="204">
        <v>587.755</v>
      </c>
      <c r="K236" s="161"/>
      <c r="L236" s="95"/>
      <c r="M236" s="95"/>
      <c r="N236" s="131"/>
      <c r="O236" s="427">
        <v>625.31299999999999</v>
      </c>
      <c r="P236" s="389">
        <v>606.74400000000003</v>
      </c>
      <c r="Q236" s="389">
        <v>617.84799999999996</v>
      </c>
      <c r="R236" s="389">
        <v>620.59900000000005</v>
      </c>
      <c r="S236" s="427">
        <f t="shared" ref="S236" si="179">R236*1.001</f>
        <v>621.21959900000002</v>
      </c>
      <c r="T236" s="389">
        <f t="shared" ref="T236:T239" si="180">S236</f>
        <v>621.21959900000002</v>
      </c>
      <c r="U236" s="204">
        <f>T236*(1+U116)</f>
        <v>666.67546591537803</v>
      </c>
      <c r="V236" s="204">
        <f>U236*(1+V116)</f>
        <v>700.43983450083078</v>
      </c>
      <c r="W236" s="204">
        <f>V236*(1+W116)</f>
        <v>728.53589261569039</v>
      </c>
      <c r="X236" s="204">
        <f>W236*(1+X116)</f>
        <v>753.57493935112677</v>
      </c>
      <c r="Y236" s="68"/>
      <c r="AA236" s="68"/>
      <c r="AB236" s="68"/>
    </row>
    <row r="237" spans="1:28" x14ac:dyDescent="0.25">
      <c r="A237" s="68"/>
      <c r="B237" s="167" t="s">
        <v>37</v>
      </c>
      <c r="C237" s="68"/>
      <c r="D237" s="204">
        <v>1681.992</v>
      </c>
      <c r="E237" s="204">
        <v>1590.3920000000001</v>
      </c>
      <c r="F237" s="95"/>
      <c r="G237" s="95"/>
      <c r="H237" s="95"/>
      <c r="I237" s="95"/>
      <c r="J237" s="204">
        <v>1633.7750000000001</v>
      </c>
      <c r="K237" s="161"/>
      <c r="L237" s="95"/>
      <c r="M237" s="95"/>
      <c r="N237" s="131"/>
      <c r="O237" s="427">
        <v>1771.915</v>
      </c>
      <c r="P237" s="389">
        <v>1799.49</v>
      </c>
      <c r="Q237" s="389">
        <v>1815.4259999999999</v>
      </c>
      <c r="R237" s="389">
        <v>1811.2829999999999</v>
      </c>
      <c r="S237" s="427">
        <f t="shared" ref="S237" si="181">R237</f>
        <v>1811.2829999999999</v>
      </c>
      <c r="T237" s="389">
        <f t="shared" si="180"/>
        <v>1811.2829999999999</v>
      </c>
      <c r="U237" s="204">
        <f>U266*U115</f>
        <v>1774.6929386926786</v>
      </c>
      <c r="V237" s="204">
        <f>V266*V115</f>
        <v>1864.5738321282049</v>
      </c>
      <c r="W237" s="204">
        <f>W266*W115</f>
        <v>1880.5970025432125</v>
      </c>
      <c r="X237" s="204">
        <f>X266*X115</f>
        <v>1884.4427562478245</v>
      </c>
      <c r="Y237" s="68"/>
      <c r="AA237" s="68"/>
      <c r="AB237" s="68"/>
    </row>
    <row r="238" spans="1:28" x14ac:dyDescent="0.25">
      <c r="A238" s="68"/>
      <c r="B238" s="167" t="s">
        <v>5</v>
      </c>
      <c r="C238" s="68"/>
      <c r="D238" s="393">
        <v>33.954000000000001</v>
      </c>
      <c r="E238" s="393">
        <v>62.405000000000001</v>
      </c>
      <c r="F238" s="95"/>
      <c r="G238" s="95"/>
      <c r="H238" s="95"/>
      <c r="I238" s="95"/>
      <c r="J238" s="393">
        <v>84.78</v>
      </c>
      <c r="K238" s="161"/>
      <c r="L238" s="95"/>
      <c r="M238" s="95"/>
      <c r="N238" s="131"/>
      <c r="O238" s="429">
        <v>91.655000000000001</v>
      </c>
      <c r="P238" s="394">
        <f>P239-P237-P236-P235</f>
        <v>92.723000000000042</v>
      </c>
      <c r="Q238" s="394">
        <f>Q239-Q237-Q236-Q235</f>
        <v>99.943000000000083</v>
      </c>
      <c r="R238" s="394">
        <f>R239-R237-R236-R235</f>
        <v>111.38499999999988</v>
      </c>
      <c r="S238" s="429">
        <f t="shared" ref="S238" si="182">R238*(1+S116)</f>
        <v>120.77264793584962</v>
      </c>
      <c r="T238" s="394">
        <f t="shared" si="180"/>
        <v>120.77264793584962</v>
      </c>
      <c r="U238" s="393">
        <f>T238*(1+U116)</f>
        <v>129.6098214899792</v>
      </c>
      <c r="V238" s="393">
        <f>U238*(1+V116)</f>
        <v>136.1740255275069</v>
      </c>
      <c r="W238" s="393">
        <f>V238*(1+W116)</f>
        <v>141.63624104767615</v>
      </c>
      <c r="X238" s="393">
        <f>W238*(1+X116)</f>
        <v>146.50413636343251</v>
      </c>
      <c r="Y238" s="68"/>
      <c r="AA238" s="68"/>
      <c r="AB238" s="68"/>
    </row>
    <row r="239" spans="1:28" x14ac:dyDescent="0.25">
      <c r="A239" s="68"/>
      <c r="B239" s="167" t="s">
        <v>116</v>
      </c>
      <c r="C239" s="68"/>
      <c r="D239" s="192">
        <v>2307.8320000000003</v>
      </c>
      <c r="E239" s="192">
        <v>2738.904</v>
      </c>
      <c r="F239" s="95"/>
      <c r="G239" s="95"/>
      <c r="H239" s="95"/>
      <c r="I239" s="95"/>
      <c r="J239" s="192">
        <v>2313.7920000000004</v>
      </c>
      <c r="K239" s="161"/>
      <c r="L239" s="95"/>
      <c r="M239" s="95"/>
      <c r="N239" s="131"/>
      <c r="O239" s="420">
        <v>2496.4870000000001</v>
      </c>
      <c r="P239" s="192">
        <v>2504.4580000000001</v>
      </c>
      <c r="Q239" s="192">
        <v>2538.828</v>
      </c>
      <c r="R239" s="192">
        <v>2901.9679999999998</v>
      </c>
      <c r="S239" s="420">
        <f t="shared" ref="S239" si="183">SUM(S235:S238)</f>
        <v>2911.9762469358498</v>
      </c>
      <c r="T239" s="192">
        <f t="shared" si="180"/>
        <v>2911.9762469358498</v>
      </c>
      <c r="U239" s="192">
        <f>SUM(U235:U238)</f>
        <v>2955.9260878272216</v>
      </c>
      <c r="V239" s="192">
        <f>SUM(V235:V238)</f>
        <v>3105.6315787945791</v>
      </c>
      <c r="W239" s="192">
        <f>SUM(W235:W238)</f>
        <v>3171.4360849599793</v>
      </c>
      <c r="X239" s="192">
        <f>SUM(X235:X238)</f>
        <v>3219.6466811386063</v>
      </c>
      <c r="Y239" s="68"/>
      <c r="AA239" s="68"/>
      <c r="AB239" s="68"/>
    </row>
    <row r="240" spans="1:28" x14ac:dyDescent="0.25">
      <c r="A240" s="68"/>
      <c r="B240" s="167"/>
      <c r="C240" s="68"/>
      <c r="D240" s="190"/>
      <c r="E240" s="190"/>
      <c r="F240" s="95"/>
      <c r="G240" s="95"/>
      <c r="H240" s="95"/>
      <c r="I240" s="95"/>
      <c r="J240" s="190"/>
      <c r="K240" s="161"/>
      <c r="L240" s="95"/>
      <c r="M240" s="95"/>
      <c r="N240" s="131"/>
      <c r="O240" s="423"/>
      <c r="P240" s="190"/>
      <c r="Q240" s="190"/>
      <c r="R240" s="190"/>
      <c r="S240" s="423"/>
      <c r="T240" s="190"/>
      <c r="U240" s="190"/>
      <c r="V240" s="190"/>
      <c r="W240" s="190"/>
      <c r="X240" s="190"/>
      <c r="Y240" s="68"/>
      <c r="AA240" s="68"/>
      <c r="AB240" s="68"/>
    </row>
    <row r="241" spans="1:28" x14ac:dyDescent="0.25">
      <c r="A241" s="68"/>
      <c r="B241" s="166" t="s">
        <v>54</v>
      </c>
      <c r="C241" s="68"/>
      <c r="D241" s="193">
        <v>2430.9859999999999</v>
      </c>
      <c r="E241" s="193">
        <v>3093.8209999999999</v>
      </c>
      <c r="F241" s="95"/>
      <c r="G241" s="95"/>
      <c r="H241" s="95"/>
      <c r="I241" s="95"/>
      <c r="J241" s="193">
        <v>4493.8630000000003</v>
      </c>
      <c r="K241" s="161"/>
      <c r="L241" s="95"/>
      <c r="M241" s="95"/>
      <c r="N241" s="131"/>
      <c r="O241" s="422">
        <v>5443.6139999999996</v>
      </c>
      <c r="P241" s="193">
        <v>5709.3190000000004</v>
      </c>
      <c r="Q241" s="193">
        <v>6096.808</v>
      </c>
      <c r="R241" s="193">
        <v>5743.3890000000001</v>
      </c>
      <c r="S241" s="422">
        <f t="shared" ref="S241" si="184">R241+S178</f>
        <v>5993.3890000000001</v>
      </c>
      <c r="T241" s="193">
        <f>S241</f>
        <v>5993.3890000000001</v>
      </c>
      <c r="U241" s="193">
        <f>T241+U178</f>
        <v>6993.3890000000001</v>
      </c>
      <c r="V241" s="193">
        <f>U241+V178</f>
        <v>7993.3890000000001</v>
      </c>
      <c r="W241" s="193">
        <f>V241+W178</f>
        <v>8993.3889999999992</v>
      </c>
      <c r="X241" s="193">
        <f>W241+X178</f>
        <v>9993.3889999999992</v>
      </c>
      <c r="Y241" s="68"/>
      <c r="AA241" s="68"/>
      <c r="AB241" s="68"/>
    </row>
    <row r="242" spans="1:28" x14ac:dyDescent="0.25">
      <c r="A242" s="68"/>
      <c r="B242" s="166" t="s">
        <v>37</v>
      </c>
      <c r="C242" s="68"/>
      <c r="D242" s="390">
        <v>164.67600000000002</v>
      </c>
      <c r="E242" s="390">
        <v>150.42000000000002</v>
      </c>
      <c r="F242" s="95"/>
      <c r="G242" s="95"/>
      <c r="H242" s="95"/>
      <c r="I242" s="95"/>
      <c r="J242" s="204">
        <v>151.90100000000001</v>
      </c>
      <c r="K242" s="161"/>
      <c r="L242" s="95"/>
      <c r="M242" s="95"/>
      <c r="N242" s="131"/>
      <c r="O242" s="427">
        <v>157.60900000000001</v>
      </c>
      <c r="P242" s="391">
        <v>160.506</v>
      </c>
      <c r="Q242" s="391">
        <v>163.386</v>
      </c>
      <c r="R242" s="391">
        <v>170.66200000000001</v>
      </c>
      <c r="S242" s="427">
        <f t="shared" ref="S242:T242" si="185">R242</f>
        <v>170.66200000000001</v>
      </c>
      <c r="T242" s="391">
        <f t="shared" si="185"/>
        <v>170.66200000000001</v>
      </c>
      <c r="U242" s="390">
        <f>T242</f>
        <v>170.66200000000001</v>
      </c>
      <c r="V242" s="390">
        <f>U242</f>
        <v>170.66200000000001</v>
      </c>
      <c r="W242" s="390">
        <f>V242</f>
        <v>170.66200000000001</v>
      </c>
      <c r="X242" s="390">
        <f>W242</f>
        <v>170.66200000000001</v>
      </c>
      <c r="Y242" s="68"/>
      <c r="AA242" s="68"/>
      <c r="AB242" s="68"/>
    </row>
    <row r="243" spans="1:28" x14ac:dyDescent="0.25">
      <c r="A243" s="68"/>
      <c r="B243" s="166" t="s">
        <v>112</v>
      </c>
      <c r="C243" s="68"/>
      <c r="D243" s="390">
        <v>6.9000000000000006E-2</v>
      </c>
      <c r="E243" s="390">
        <v>0</v>
      </c>
      <c r="F243" s="95"/>
      <c r="G243" s="95"/>
      <c r="H243" s="95"/>
      <c r="I243" s="95"/>
      <c r="J243" s="204">
        <v>0</v>
      </c>
      <c r="K243" s="161"/>
      <c r="L243" s="95"/>
      <c r="M243" s="95"/>
      <c r="N243" s="131"/>
      <c r="O243" s="427">
        <v>10.795</v>
      </c>
      <c r="P243" s="391">
        <v>10.085000000000001</v>
      </c>
      <c r="Q243" s="391">
        <v>6.681</v>
      </c>
      <c r="R243" s="391">
        <f t="shared" ref="R243:S244" si="186">Q243</f>
        <v>6.681</v>
      </c>
      <c r="S243" s="427">
        <f t="shared" si="186"/>
        <v>6.681</v>
      </c>
      <c r="T243" s="391">
        <f t="shared" ref="T243:T245" si="187">S243</f>
        <v>6.681</v>
      </c>
      <c r="U243" s="390">
        <f>T243+U169</f>
        <v>511.09917385937575</v>
      </c>
      <c r="V243" s="390">
        <f>U243+V169</f>
        <v>1034.6074091371866</v>
      </c>
      <c r="W243" s="390">
        <f>V243+W169</f>
        <v>1556.5186298107128</v>
      </c>
      <c r="X243" s="390">
        <f>W243+X169</f>
        <v>2062.9551564199401</v>
      </c>
      <c r="Y243" s="68"/>
      <c r="AA243" s="68"/>
      <c r="AB243" s="68"/>
    </row>
    <row r="244" spans="1:28" x14ac:dyDescent="0.25">
      <c r="A244" s="68"/>
      <c r="B244" s="166" t="s">
        <v>328</v>
      </c>
      <c r="C244" s="68"/>
      <c r="D244" s="393">
        <v>111.715</v>
      </c>
      <c r="E244" s="393">
        <v>115.893</v>
      </c>
      <c r="F244" s="95"/>
      <c r="G244" s="95"/>
      <c r="H244" s="95"/>
      <c r="I244" s="95"/>
      <c r="J244" s="393">
        <v>106.116</v>
      </c>
      <c r="K244" s="161"/>
      <c r="L244" s="95"/>
      <c r="M244" s="95"/>
      <c r="N244" s="131"/>
      <c r="O244" s="429">
        <f t="shared" ref="O244:X244" si="188">O245-O243-O242-O241-O239</f>
        <v>104.64800000000014</v>
      </c>
      <c r="P244" s="394">
        <f>P245-P243-P242-P241-P239</f>
        <v>107.81800000000067</v>
      </c>
      <c r="Q244" s="394">
        <f>Q245-Q243-Q242-Q241-Q239</f>
        <v>109.26099999999906</v>
      </c>
      <c r="R244" s="394">
        <f>R245-R243-R242-R241-R239</f>
        <v>106.64099999999962</v>
      </c>
      <c r="S244" s="429">
        <f t="shared" si="186"/>
        <v>106.64099999999962</v>
      </c>
      <c r="T244" s="394">
        <f t="shared" si="187"/>
        <v>106.64099999999962</v>
      </c>
      <c r="U244" s="394">
        <f t="shared" ca="1" si="188"/>
        <v>1951.3749711885748</v>
      </c>
      <c r="V244" s="394">
        <f t="shared" ca="1" si="188"/>
        <v>1945.7321581946985</v>
      </c>
      <c r="W244" s="394">
        <f t="shared" ca="1" si="188"/>
        <v>1477.130005852347</v>
      </c>
      <c r="X244" s="394">
        <f t="shared" ca="1" si="188"/>
        <v>1028.5568398389178</v>
      </c>
      <c r="Y244" s="68"/>
      <c r="AA244" s="68"/>
      <c r="AB244" s="68"/>
    </row>
    <row r="245" spans="1:28" x14ac:dyDescent="0.25">
      <c r="A245" s="68"/>
      <c r="B245" s="62" t="s">
        <v>236</v>
      </c>
      <c r="C245" s="68"/>
      <c r="D245" s="193">
        <v>5015.2780000000012</v>
      </c>
      <c r="E245" s="193">
        <v>6099.0380000000005</v>
      </c>
      <c r="F245" s="95"/>
      <c r="G245" s="95"/>
      <c r="H245" s="95"/>
      <c r="I245" s="95"/>
      <c r="J245" s="193">
        <v>7065.6720000000005</v>
      </c>
      <c r="K245" s="161"/>
      <c r="L245" s="95"/>
      <c r="M245" s="95"/>
      <c r="N245" s="131"/>
      <c r="O245" s="422">
        <v>8213.1530000000002</v>
      </c>
      <c r="P245" s="193">
        <v>8492.1859999999997</v>
      </c>
      <c r="Q245" s="193">
        <v>8914.9639999999999</v>
      </c>
      <c r="R245" s="193">
        <v>8929.3410000000003</v>
      </c>
      <c r="S245" s="422">
        <f t="shared" ref="S245" si="189">SUM(S241:S244)+S239</f>
        <v>9189.3492469358498</v>
      </c>
      <c r="T245" s="193">
        <f t="shared" si="187"/>
        <v>9189.3492469358498</v>
      </c>
      <c r="U245" s="193">
        <f ca="1">SUM(U241:U244)+U239</f>
        <v>12582.451232875173</v>
      </c>
      <c r="V245" s="193">
        <f ca="1">SUM(V241:V244)+V239</f>
        <v>14250.022146126465</v>
      </c>
      <c r="W245" s="193">
        <f ca="1">SUM(W241:W244)+W239</f>
        <v>15369.135720623039</v>
      </c>
      <c r="X245" s="193">
        <f ca="1">SUM(X241:X244)+X239</f>
        <v>16475.209677397463</v>
      </c>
      <c r="Y245" s="68"/>
      <c r="AA245" s="68"/>
      <c r="AB245" s="68"/>
    </row>
    <row r="246" spans="1:28" x14ac:dyDescent="0.25">
      <c r="A246" s="68"/>
      <c r="B246" s="67"/>
      <c r="C246" s="68"/>
      <c r="D246" s="204"/>
      <c r="E246" s="204"/>
      <c r="F246" s="95"/>
      <c r="G246" s="95"/>
      <c r="H246" s="95"/>
      <c r="I246" s="95"/>
      <c r="J246" s="193"/>
      <c r="K246" s="161"/>
      <c r="L246" s="95"/>
      <c r="M246" s="95"/>
      <c r="N246" s="131"/>
      <c r="O246" s="422"/>
      <c r="P246" s="193"/>
      <c r="Q246" s="193"/>
      <c r="R246" s="193"/>
      <c r="S246" s="422"/>
      <c r="T246" s="193"/>
      <c r="U246" s="193"/>
      <c r="V246" s="193"/>
      <c r="W246" s="193"/>
      <c r="X246" s="193"/>
      <c r="Y246" s="68"/>
      <c r="AA246" s="68"/>
      <c r="AB246" s="68"/>
    </row>
    <row r="247" spans="1:28" hidden="1" outlineLevel="1" x14ac:dyDescent="0.25">
      <c r="A247" s="68"/>
      <c r="B247" s="166" t="s">
        <v>127</v>
      </c>
      <c r="C247" s="68"/>
      <c r="D247" s="204">
        <v>6.0000000000000001E-3</v>
      </c>
      <c r="E247" s="204">
        <v>0</v>
      </c>
      <c r="F247" s="95"/>
      <c r="G247" s="95"/>
      <c r="H247" s="95"/>
      <c r="I247" s="95"/>
      <c r="J247" s="204">
        <v>0</v>
      </c>
      <c r="K247" s="161"/>
      <c r="L247" s="95"/>
      <c r="M247" s="95"/>
      <c r="N247" s="131"/>
      <c r="O247" s="430">
        <v>0</v>
      </c>
      <c r="P247" s="204">
        <v>0</v>
      </c>
      <c r="Q247" s="204"/>
      <c r="R247" s="204"/>
      <c r="S247" s="430"/>
      <c r="T247" s="204">
        <v>0</v>
      </c>
      <c r="U247" s="204">
        <v>0</v>
      </c>
      <c r="V247" s="204">
        <v>0</v>
      </c>
      <c r="W247" s="204">
        <v>0</v>
      </c>
      <c r="X247" s="204">
        <v>0</v>
      </c>
      <c r="Y247" s="68"/>
      <c r="AA247" s="68"/>
      <c r="AB247" s="68"/>
    </row>
    <row r="248" spans="1:28" hidden="1" outlineLevel="1" x14ac:dyDescent="0.25">
      <c r="A248" s="68"/>
      <c r="B248" s="166" t="s">
        <v>128</v>
      </c>
      <c r="C248" s="68"/>
      <c r="D248" s="204">
        <v>5.2629999999999999</v>
      </c>
      <c r="E248" s="204">
        <v>6.0960000000000001</v>
      </c>
      <c r="F248" s="95"/>
      <c r="G248" s="95"/>
      <c r="H248" s="95"/>
      <c r="I248" s="95"/>
      <c r="J248" s="204">
        <v>5.6529999999999996</v>
      </c>
      <c r="K248" s="161"/>
      <c r="L248" s="95"/>
      <c r="M248" s="95"/>
      <c r="N248" s="131"/>
      <c r="O248" s="430">
        <v>5.6529999999999996</v>
      </c>
      <c r="P248" s="204">
        <v>5.6529999999999996</v>
      </c>
      <c r="Q248" s="204"/>
      <c r="R248" s="204"/>
      <c r="S248" s="430"/>
      <c r="T248" s="204">
        <v>5.6529999999999996</v>
      </c>
      <c r="U248" s="204">
        <v>5.6529999999999996</v>
      </c>
      <c r="V248" s="204">
        <v>5.6529999999999996</v>
      </c>
      <c r="W248" s="204">
        <v>5.6529999999999996</v>
      </c>
      <c r="X248" s="204">
        <v>5.6529999999999996</v>
      </c>
      <c r="Y248" s="68"/>
      <c r="AA248" s="68"/>
      <c r="AB248" s="68"/>
    </row>
    <row r="249" spans="1:28" hidden="1" outlineLevel="1" x14ac:dyDescent="0.25">
      <c r="A249" s="68"/>
      <c r="B249" s="166" t="s">
        <v>59</v>
      </c>
      <c r="C249" s="68"/>
      <c r="D249" s="204">
        <v>10345.566000000001</v>
      </c>
      <c r="E249" s="204">
        <v>8674.1290000000008</v>
      </c>
      <c r="F249" s="95"/>
      <c r="G249" s="95"/>
      <c r="H249" s="95"/>
      <c r="I249" s="95"/>
      <c r="J249" s="204">
        <v>6771.5540000000001</v>
      </c>
      <c r="K249" s="161"/>
      <c r="L249" s="95"/>
      <c r="M249" s="95"/>
      <c r="N249" s="131"/>
      <c r="O249" s="427">
        <v>6963.3244050000003</v>
      </c>
      <c r="P249" s="389">
        <v>7175.7298364153385</v>
      </c>
      <c r="Q249" s="389"/>
      <c r="R249" s="389"/>
      <c r="S249" s="427"/>
      <c r="T249" s="389">
        <v>7175.7298364153385</v>
      </c>
      <c r="U249" s="204">
        <v>7411.8189806056089</v>
      </c>
      <c r="V249" s="204">
        <v>7662.5523406496395</v>
      </c>
      <c r="W249" s="204">
        <v>7909.4154181671147</v>
      </c>
      <c r="X249" s="204">
        <v>8151.6868788584916</v>
      </c>
      <c r="Y249" s="68"/>
      <c r="AA249" s="68"/>
      <c r="AB249" s="68"/>
    </row>
    <row r="250" spans="1:28" hidden="1" outlineLevel="1" x14ac:dyDescent="0.25">
      <c r="A250" s="68"/>
      <c r="B250" s="166" t="s">
        <v>23</v>
      </c>
      <c r="C250" s="68"/>
      <c r="D250" s="204">
        <v>-6311.39</v>
      </c>
      <c r="E250" s="204">
        <v>-5934.1750000000002</v>
      </c>
      <c r="F250" s="95"/>
      <c r="G250" s="95"/>
      <c r="H250" s="95"/>
      <c r="I250" s="95"/>
      <c r="J250" s="204">
        <v>-5440.9340000000002</v>
      </c>
      <c r="K250" s="161"/>
      <c r="L250" s="95"/>
      <c r="M250" s="95"/>
      <c r="N250" s="131"/>
      <c r="O250" s="430">
        <v>-4991.9522719044198</v>
      </c>
      <c r="P250" s="204">
        <v>-4415.6372912714578</v>
      </c>
      <c r="Q250" s="204"/>
      <c r="R250" s="204"/>
      <c r="S250" s="430"/>
      <c r="T250" s="204">
        <v>-4415.6372912714578</v>
      </c>
      <c r="U250" s="204">
        <v>-3747.1249224831217</v>
      </c>
      <c r="V250" s="204">
        <v>-3016.7508232515211</v>
      </c>
      <c r="W250" s="204">
        <v>-2217.2543681187217</v>
      </c>
      <c r="X250" s="204">
        <v>-1347.8950041651024</v>
      </c>
      <c r="Y250" s="68"/>
      <c r="AA250" s="68"/>
      <c r="AB250" s="68"/>
    </row>
    <row r="251" spans="1:28" hidden="1" outlineLevel="1" x14ac:dyDescent="0.25">
      <c r="A251" s="68"/>
      <c r="B251" s="166" t="s">
        <v>26</v>
      </c>
      <c r="C251" s="68"/>
      <c r="D251" s="204">
        <v>0</v>
      </c>
      <c r="E251" s="204">
        <v>0</v>
      </c>
      <c r="F251" s="95"/>
      <c r="G251" s="95"/>
      <c r="H251" s="95"/>
      <c r="I251" s="95"/>
      <c r="J251" s="204">
        <v>-26.033999999999999</v>
      </c>
      <c r="K251" s="161"/>
      <c r="L251" s="95"/>
      <c r="M251" s="95"/>
      <c r="N251" s="131"/>
      <c r="O251" s="430">
        <f>J251-2500</f>
        <v>-2526.0340000000001</v>
      </c>
      <c r="P251" s="204">
        <f>K251+P185</f>
        <v>-594.45000000000005</v>
      </c>
      <c r="Q251" s="204"/>
      <c r="R251" s="204"/>
      <c r="S251" s="430"/>
      <c r="T251" s="204">
        <f>O251+T185</f>
        <v>-4251.3140000000003</v>
      </c>
      <c r="U251" s="204">
        <f>T251+U185</f>
        <v>-6605.1483800000024</v>
      </c>
      <c r="V251" s="204">
        <f>U251+V185</f>
        <v>-8725.1483800000024</v>
      </c>
      <c r="W251" s="204">
        <f>V251+W185</f>
        <v>-10845.148380000002</v>
      </c>
      <c r="X251" s="204">
        <f>W251+X185</f>
        <v>-12965.148380000002</v>
      </c>
      <c r="Y251" s="68"/>
      <c r="AA251" s="68"/>
      <c r="AB251" s="68"/>
    </row>
    <row r="252" spans="1:28" hidden="1" outlineLevel="1" x14ac:dyDescent="0.25">
      <c r="A252" s="68"/>
      <c r="B252" s="166" t="s">
        <v>68</v>
      </c>
      <c r="C252" s="68"/>
      <c r="D252" s="204">
        <v>0</v>
      </c>
      <c r="E252" s="204">
        <v>0</v>
      </c>
      <c r="F252" s="95"/>
      <c r="G252" s="95"/>
      <c r="H252" s="95"/>
      <c r="I252" s="95"/>
      <c r="J252" s="204">
        <v>0</v>
      </c>
      <c r="K252" s="161"/>
      <c r="L252" s="95"/>
      <c r="M252" s="95"/>
      <c r="N252" s="131"/>
      <c r="O252" s="430">
        <v>0</v>
      </c>
      <c r="P252" s="204">
        <v>0</v>
      </c>
      <c r="Q252" s="204"/>
      <c r="R252" s="204"/>
      <c r="S252" s="430"/>
      <c r="T252" s="204">
        <v>0</v>
      </c>
      <c r="U252" s="204">
        <v>0</v>
      </c>
      <c r="V252" s="204">
        <v>0</v>
      </c>
      <c r="W252" s="204">
        <v>0</v>
      </c>
      <c r="X252" s="204">
        <v>0</v>
      </c>
      <c r="Y252" s="68"/>
      <c r="AA252" s="68"/>
      <c r="AB252" s="68"/>
    </row>
    <row r="253" spans="1:28" hidden="1" outlineLevel="1" x14ac:dyDescent="0.25">
      <c r="A253" s="68"/>
      <c r="B253" s="166" t="s">
        <v>31</v>
      </c>
      <c r="C253" s="68"/>
      <c r="D253" s="393">
        <v>0.12</v>
      </c>
      <c r="E253" s="393">
        <v>-0.308</v>
      </c>
      <c r="F253" s="95"/>
      <c r="G253" s="95"/>
      <c r="H253" s="95"/>
      <c r="I253" s="95"/>
      <c r="J253" s="393">
        <v>-0.40200000000000002</v>
      </c>
      <c r="K253" s="161"/>
      <c r="L253" s="95"/>
      <c r="M253" s="95"/>
      <c r="N253" s="131"/>
      <c r="O253" s="431">
        <v>-0.40200000000000002</v>
      </c>
      <c r="P253" s="393">
        <v>-0.40200000000000002</v>
      </c>
      <c r="Q253" s="393"/>
      <c r="R253" s="393"/>
      <c r="S253" s="431"/>
      <c r="T253" s="393">
        <v>-0.40200000000000002</v>
      </c>
      <c r="U253" s="393">
        <v>-0.40200000000000002</v>
      </c>
      <c r="V253" s="393">
        <v>-0.40200000000000002</v>
      </c>
      <c r="W253" s="393">
        <v>-0.40200000000000002</v>
      </c>
      <c r="X253" s="393">
        <v>-0.40200000000000002</v>
      </c>
      <c r="Y253" s="68"/>
      <c r="AA253" s="68"/>
      <c r="AB253" s="68"/>
    </row>
    <row r="254" spans="1:28" collapsed="1" x14ac:dyDescent="0.25">
      <c r="A254" s="68"/>
      <c r="B254" s="169" t="s">
        <v>237</v>
      </c>
      <c r="C254" s="68"/>
      <c r="D254" s="193">
        <v>4039.5650000000005</v>
      </c>
      <c r="E254" s="193">
        <v>2745.7420000000002</v>
      </c>
      <c r="F254" s="95"/>
      <c r="G254" s="95"/>
      <c r="H254" s="95"/>
      <c r="I254" s="95"/>
      <c r="J254" s="193">
        <v>1309.837</v>
      </c>
      <c r="K254" s="161"/>
      <c r="L254" s="95"/>
      <c r="M254" s="95"/>
      <c r="N254" s="131"/>
      <c r="O254" s="422">
        <v>-166.49100000000001</v>
      </c>
      <c r="P254" s="193">
        <v>-563.94399999999996</v>
      </c>
      <c r="Q254" s="193">
        <v>-775.11900000000003</v>
      </c>
      <c r="R254" s="193">
        <f>-506.514</f>
        <v>-506.51400000000001</v>
      </c>
      <c r="S254" s="422">
        <f t="shared" ref="S254" si="190">R254+S161+S185</f>
        <v>-831.90382896500023</v>
      </c>
      <c r="T254" s="193">
        <f>S254</f>
        <v>-831.90382896500023</v>
      </c>
      <c r="U254" s="193">
        <f>T254+U161+U185</f>
        <v>-2429.1109481759381</v>
      </c>
      <c r="V254" s="193">
        <f>U254+V161+V185</f>
        <v>-3763.8485952592223</v>
      </c>
      <c r="W254" s="193">
        <f>V254+W161+W185</f>
        <v>-4579.0705435754062</v>
      </c>
      <c r="X254" s="193">
        <f>W254+X161+X185</f>
        <v>-5432.9792270523376</v>
      </c>
      <c r="Y254" s="68"/>
      <c r="AA254" s="68"/>
      <c r="AB254" s="68"/>
    </row>
    <row r="255" spans="1:28" x14ac:dyDescent="0.25">
      <c r="A255" s="68"/>
      <c r="B255" s="167"/>
      <c r="C255" s="68"/>
      <c r="D255" s="204"/>
      <c r="E255" s="204"/>
      <c r="F255" s="95"/>
      <c r="G255" s="95"/>
      <c r="H255" s="95"/>
      <c r="I255" s="95"/>
      <c r="J255" s="193"/>
      <c r="K255" s="161"/>
      <c r="L255" s="95"/>
      <c r="M255" s="95"/>
      <c r="N255" s="131"/>
      <c r="O255" s="422"/>
      <c r="P255" s="193"/>
      <c r="Q255" s="193"/>
      <c r="R255" s="193"/>
      <c r="S255" s="422"/>
      <c r="T255" s="193"/>
      <c r="U255" s="193"/>
      <c r="V255" s="193"/>
      <c r="W255" s="193"/>
      <c r="X255" s="193"/>
      <c r="Y255" s="68"/>
      <c r="AA255" s="68"/>
      <c r="AB255" s="68"/>
    </row>
    <row r="256" spans="1:28" ht="15.75" thickBot="1" x14ac:dyDescent="0.3">
      <c r="A256" s="68"/>
      <c r="B256" s="169" t="s">
        <v>107</v>
      </c>
      <c r="C256" s="68"/>
      <c r="D256" s="392">
        <f>D254+D245</f>
        <v>9054.8430000000008</v>
      </c>
      <c r="E256" s="392">
        <f t="shared" ref="E256:X256" si="191">E254+E245</f>
        <v>8844.7800000000007</v>
      </c>
      <c r="F256" s="392">
        <f t="shared" si="191"/>
        <v>0</v>
      </c>
      <c r="G256" s="392">
        <f t="shared" si="191"/>
        <v>0</v>
      </c>
      <c r="H256" s="392">
        <f t="shared" si="191"/>
        <v>0</v>
      </c>
      <c r="I256" s="392">
        <f t="shared" si="191"/>
        <v>0</v>
      </c>
      <c r="J256" s="392">
        <f t="shared" si="191"/>
        <v>8375.509</v>
      </c>
      <c r="K256" s="392">
        <f t="shared" si="191"/>
        <v>0</v>
      </c>
      <c r="L256" s="392">
        <f t="shared" si="191"/>
        <v>0</v>
      </c>
      <c r="M256" s="392">
        <f t="shared" si="191"/>
        <v>0</v>
      </c>
      <c r="N256" s="392">
        <f t="shared" si="191"/>
        <v>0</v>
      </c>
      <c r="O256" s="428">
        <f t="shared" si="191"/>
        <v>8046.6620000000003</v>
      </c>
      <c r="P256" s="392">
        <f t="shared" ref="P256:S256" si="192">P254+P245</f>
        <v>7928.2420000000002</v>
      </c>
      <c r="Q256" s="392">
        <f t="shared" si="192"/>
        <v>8139.8450000000003</v>
      </c>
      <c r="R256" s="392">
        <f t="shared" si="192"/>
        <v>8422.8270000000011</v>
      </c>
      <c r="S256" s="428">
        <f t="shared" si="192"/>
        <v>8357.44541797085</v>
      </c>
      <c r="T256" s="392">
        <f t="shared" si="191"/>
        <v>8357.44541797085</v>
      </c>
      <c r="U256" s="392">
        <f t="shared" ca="1" si="191"/>
        <v>10153.340284699236</v>
      </c>
      <c r="V256" s="392">
        <f t="shared" ca="1" si="191"/>
        <v>10486.173550867243</v>
      </c>
      <c r="W256" s="392">
        <f t="shared" ca="1" si="191"/>
        <v>10790.065177047632</v>
      </c>
      <c r="X256" s="392">
        <f t="shared" ca="1" si="191"/>
        <v>11042.230450345125</v>
      </c>
      <c r="Y256" s="68"/>
      <c r="AA256" s="68"/>
      <c r="AB256" s="68"/>
    </row>
    <row r="257" spans="1:28" ht="15.75" thickTop="1" x14ac:dyDescent="0.25">
      <c r="A257" s="68"/>
      <c r="B257" s="172" t="s">
        <v>33</v>
      </c>
      <c r="C257" s="68"/>
      <c r="D257" s="173">
        <f>D233-D256</f>
        <v>0</v>
      </c>
      <c r="E257" s="173">
        <f t="shared" ref="E257:X257" si="193">E233-E256</f>
        <v>0</v>
      </c>
      <c r="F257" s="173">
        <f t="shared" si="193"/>
        <v>0</v>
      </c>
      <c r="G257" s="173">
        <f t="shared" si="193"/>
        <v>0</v>
      </c>
      <c r="H257" s="173">
        <f t="shared" si="193"/>
        <v>0</v>
      </c>
      <c r="I257" s="173">
        <f t="shared" si="193"/>
        <v>0</v>
      </c>
      <c r="J257" s="173">
        <f t="shared" si="193"/>
        <v>0</v>
      </c>
      <c r="K257" s="173">
        <f t="shared" si="193"/>
        <v>0</v>
      </c>
      <c r="L257" s="173">
        <f t="shared" si="193"/>
        <v>0</v>
      </c>
      <c r="M257" s="173">
        <f t="shared" si="193"/>
        <v>0</v>
      </c>
      <c r="N257" s="173">
        <f t="shared" si="193"/>
        <v>0</v>
      </c>
      <c r="O257" s="432">
        <f t="shared" si="193"/>
        <v>0</v>
      </c>
      <c r="P257" s="173">
        <f t="shared" ref="P257:S257" si="194">P233-P256</f>
        <v>0</v>
      </c>
      <c r="Q257" s="173">
        <f t="shared" si="194"/>
        <v>0</v>
      </c>
      <c r="R257" s="173">
        <f t="shared" si="194"/>
        <v>0</v>
      </c>
      <c r="S257" s="432">
        <f t="shared" si="194"/>
        <v>0</v>
      </c>
      <c r="T257" s="173">
        <f t="shared" si="193"/>
        <v>0</v>
      </c>
      <c r="U257" s="173">
        <f t="shared" ca="1" si="193"/>
        <v>0</v>
      </c>
      <c r="V257" s="173">
        <f t="shared" ca="1" si="193"/>
        <v>0</v>
      </c>
      <c r="W257" s="173">
        <f t="shared" ca="1" si="193"/>
        <v>0</v>
      </c>
      <c r="X257" s="173">
        <f t="shared" ca="1" si="193"/>
        <v>0</v>
      </c>
      <c r="Y257" s="68"/>
      <c r="AA257" s="68"/>
      <c r="AB257" s="68"/>
    </row>
    <row r="258" spans="1:28" x14ac:dyDescent="0.25">
      <c r="A258" s="68"/>
      <c r="B258" s="68"/>
      <c r="C258" s="68"/>
      <c r="D258" s="68"/>
      <c r="E258" s="68"/>
      <c r="F258" s="68"/>
      <c r="G258" s="68"/>
      <c r="H258" s="68"/>
      <c r="I258" s="68"/>
      <c r="J258" s="68"/>
      <c r="K258" s="66"/>
      <c r="L258" s="68"/>
      <c r="M258" s="68"/>
      <c r="N258" s="68"/>
      <c r="O258" s="69"/>
      <c r="P258" s="68"/>
      <c r="Q258" s="68"/>
      <c r="R258" s="68"/>
      <c r="S258" s="69"/>
      <c r="T258" s="68"/>
      <c r="U258" s="68"/>
      <c r="V258" s="68"/>
      <c r="W258" s="68"/>
      <c r="X258" s="68"/>
      <c r="Y258" s="68"/>
      <c r="AA258" s="68"/>
      <c r="AB258" s="68"/>
    </row>
    <row r="259" spans="1:28" x14ac:dyDescent="0.25">
      <c r="A259" s="68"/>
      <c r="B259" s="68" t="s">
        <v>325</v>
      </c>
      <c r="C259" s="68"/>
      <c r="D259" s="150">
        <f t="shared" ref="D259:X259" si="195">D220+D221+D222-D236-D237-D238</f>
        <v>-996.36099999999988</v>
      </c>
      <c r="E259" s="150">
        <f t="shared" si="195"/>
        <v>-946.92199999999991</v>
      </c>
      <c r="F259" s="150">
        <f t="shared" si="195"/>
        <v>0</v>
      </c>
      <c r="G259" s="150">
        <f t="shared" si="195"/>
        <v>0</v>
      </c>
      <c r="H259" s="150">
        <f t="shared" si="195"/>
        <v>0</v>
      </c>
      <c r="I259" s="150">
        <f t="shared" si="195"/>
        <v>0</v>
      </c>
      <c r="J259" s="150">
        <f t="shared" si="195"/>
        <v>-904.28800000000012</v>
      </c>
      <c r="K259" s="150">
        <f t="shared" si="195"/>
        <v>0</v>
      </c>
      <c r="L259" s="150">
        <f t="shared" si="195"/>
        <v>0</v>
      </c>
      <c r="M259" s="150">
        <f t="shared" si="195"/>
        <v>0</v>
      </c>
      <c r="N259" s="150">
        <f t="shared" si="195"/>
        <v>0</v>
      </c>
      <c r="O259" s="131">
        <f t="shared" si="195"/>
        <v>-2038.8319999999999</v>
      </c>
      <c r="P259" s="150">
        <f t="shared" ref="P259:S259" si="196">P220+P221+P222-P236-P237-P238</f>
        <v>-2038.7559999999999</v>
      </c>
      <c r="Q259" s="150">
        <f t="shared" si="196"/>
        <v>-2076.2930000000001</v>
      </c>
      <c r="R259" s="150">
        <f t="shared" si="196"/>
        <v>-2074.2799999999997</v>
      </c>
      <c r="S259" s="131">
        <f t="shared" si="196"/>
        <v>-2079.9311669358499</v>
      </c>
      <c r="T259" s="150">
        <f t="shared" si="195"/>
        <v>-2079.9311669358499</v>
      </c>
      <c r="U259" s="150">
        <f t="shared" si="195"/>
        <v>-2062.998623425703</v>
      </c>
      <c r="V259" s="150">
        <f t="shared" si="195"/>
        <v>-2167.4810132448424</v>
      </c>
      <c r="W259" s="150">
        <f t="shared" si="195"/>
        <v>-2195.6544032003003</v>
      </c>
      <c r="X259" s="150">
        <f t="shared" si="195"/>
        <v>-2210.3283632559742</v>
      </c>
      <c r="Y259" s="68"/>
      <c r="AA259" s="68"/>
      <c r="AB259" s="68"/>
    </row>
    <row r="260" spans="1:28" x14ac:dyDescent="0.25">
      <c r="A260" s="68"/>
      <c r="B260" s="68" t="s">
        <v>326</v>
      </c>
      <c r="C260" s="68"/>
      <c r="D260" s="68"/>
      <c r="E260" s="150">
        <f>E259-D259</f>
        <v>49.438999999999965</v>
      </c>
      <c r="F260" s="150">
        <f t="shared" ref="F260:N260" si="197">F259-E259</f>
        <v>946.92199999999991</v>
      </c>
      <c r="G260" s="150">
        <f t="shared" si="197"/>
        <v>0</v>
      </c>
      <c r="H260" s="150">
        <f t="shared" si="197"/>
        <v>0</v>
      </c>
      <c r="I260" s="150">
        <f t="shared" si="197"/>
        <v>0</v>
      </c>
      <c r="J260" s="150">
        <f>J259-E259</f>
        <v>42.633999999999787</v>
      </c>
      <c r="K260" s="150">
        <f t="shared" si="197"/>
        <v>904.28800000000012</v>
      </c>
      <c r="L260" s="150">
        <f t="shared" si="197"/>
        <v>0</v>
      </c>
      <c r="M260" s="150">
        <f t="shared" si="197"/>
        <v>0</v>
      </c>
      <c r="N260" s="150">
        <f t="shared" si="197"/>
        <v>0</v>
      </c>
      <c r="O260" s="131">
        <f>O259-J259</f>
        <v>-1134.5439999999999</v>
      </c>
      <c r="P260" s="150">
        <f>P259-K259</f>
        <v>-2038.7559999999999</v>
      </c>
      <c r="Q260" s="150">
        <f t="shared" ref="Q260:S260" si="198">Q259-L259</f>
        <v>-2076.2930000000001</v>
      </c>
      <c r="R260" s="150">
        <f t="shared" si="198"/>
        <v>-2074.2799999999997</v>
      </c>
      <c r="S260" s="131">
        <f t="shared" si="198"/>
        <v>-2079.9311669358499</v>
      </c>
      <c r="T260" s="150">
        <f>T259-O259</f>
        <v>-41.099166935850008</v>
      </c>
      <c r="U260" s="150">
        <f>U259-T259</f>
        <v>16.932543510146843</v>
      </c>
      <c r="V260" s="150">
        <f>V259-U259</f>
        <v>-104.48238981913937</v>
      </c>
      <c r="W260" s="150">
        <f>W259-V259</f>
        <v>-28.173389955457878</v>
      </c>
      <c r="X260" s="150">
        <f>X259-W259</f>
        <v>-14.673960055673888</v>
      </c>
      <c r="Y260" s="68"/>
      <c r="AA260" s="68"/>
      <c r="AB260" s="68"/>
    </row>
    <row r="261" spans="1:28" x14ac:dyDescent="0.25">
      <c r="A261" s="68"/>
      <c r="B261" s="68"/>
      <c r="C261" s="68"/>
      <c r="D261" s="68"/>
      <c r="E261" s="68"/>
      <c r="F261" s="68"/>
      <c r="G261" s="68"/>
      <c r="H261" s="68"/>
      <c r="I261" s="68"/>
      <c r="J261" s="68"/>
      <c r="K261" s="66"/>
      <c r="L261" s="68"/>
      <c r="M261" s="68"/>
      <c r="N261" s="68"/>
      <c r="O261" s="69"/>
      <c r="P261" s="68"/>
      <c r="Q261" s="68"/>
      <c r="R261" s="68"/>
      <c r="S261" s="69"/>
      <c r="T261" s="68"/>
      <c r="U261" s="68"/>
      <c r="V261" s="68"/>
      <c r="W261" s="68"/>
      <c r="X261" s="68"/>
      <c r="Y261" s="68"/>
      <c r="AA261" s="68"/>
      <c r="AB261" s="68"/>
    </row>
    <row r="262" spans="1:28" x14ac:dyDescent="0.25">
      <c r="A262" s="68"/>
      <c r="B262" s="68" t="s">
        <v>108</v>
      </c>
      <c r="C262" s="68"/>
      <c r="D262" s="150">
        <f t="shared" ref="D262:J262" si="199">D241-D219</f>
        <v>1910.0409999999997</v>
      </c>
      <c r="E262" s="150">
        <f t="shared" si="199"/>
        <v>2959.0160000000001</v>
      </c>
      <c r="F262" s="200">
        <f t="shared" si="199"/>
        <v>0</v>
      </c>
      <c r="G262" s="200">
        <f t="shared" si="199"/>
        <v>0</v>
      </c>
      <c r="H262" s="200">
        <f t="shared" si="199"/>
        <v>0</v>
      </c>
      <c r="I262" s="200">
        <f t="shared" si="199"/>
        <v>0</v>
      </c>
      <c r="J262" s="150">
        <f t="shared" si="199"/>
        <v>4346.1390000000001</v>
      </c>
      <c r="K262" s="66"/>
      <c r="L262" s="68"/>
      <c r="M262" s="68"/>
      <c r="N262" s="68"/>
      <c r="O262" s="131">
        <f t="shared" ref="O262:X262" si="200">O241-O219</f>
        <v>5331.7759999999998</v>
      </c>
      <c r="P262" s="150">
        <f t="shared" ref="P262:S262" si="201">P241-P219</f>
        <v>5607.3670000000002</v>
      </c>
      <c r="Q262" s="150">
        <f t="shared" si="201"/>
        <v>5620.3549999999996</v>
      </c>
      <c r="R262" s="150">
        <f t="shared" si="201"/>
        <v>5171.0070000000005</v>
      </c>
      <c r="S262" s="131">
        <f t="shared" si="201"/>
        <v>5333.24736321415</v>
      </c>
      <c r="T262" s="150">
        <f t="shared" si="200"/>
        <v>5333.24736321415</v>
      </c>
      <c r="U262" s="150">
        <f t="shared" si="200"/>
        <v>6152.1858216568971</v>
      </c>
      <c r="V262" s="150">
        <f t="shared" si="200"/>
        <v>6814.6279742581992</v>
      </c>
      <c r="W262" s="150">
        <f t="shared" si="200"/>
        <v>6861.7926176294623</v>
      </c>
      <c r="X262" s="150">
        <f t="shared" si="200"/>
        <v>6969.7764654423736</v>
      </c>
      <c r="Y262" s="68"/>
      <c r="AA262" s="68"/>
      <c r="AB262" s="68"/>
    </row>
    <row r="263" spans="1:28" x14ac:dyDescent="0.25">
      <c r="A263" s="68"/>
      <c r="B263" s="68" t="s">
        <v>169</v>
      </c>
      <c r="C263" s="68"/>
      <c r="D263" s="150">
        <f t="shared" ref="D263:J263" si="202">D143</f>
        <v>920.34600000000023</v>
      </c>
      <c r="E263" s="150">
        <f t="shared" si="202"/>
        <v>1166.1430000000005</v>
      </c>
      <c r="F263" s="200">
        <f t="shared" si="202"/>
        <v>334.78300000000002</v>
      </c>
      <c r="G263" s="200">
        <f t="shared" si="202"/>
        <v>370.43700000000001</v>
      </c>
      <c r="H263" s="200">
        <f t="shared" si="202"/>
        <v>381.25100000000009</v>
      </c>
      <c r="I263" s="200">
        <f t="shared" si="202"/>
        <v>381.30600000000015</v>
      </c>
      <c r="J263" s="150">
        <f t="shared" si="202"/>
        <v>1467.777</v>
      </c>
      <c r="K263" s="66"/>
      <c r="L263" s="68"/>
      <c r="M263" s="68"/>
      <c r="N263" s="68"/>
      <c r="O263" s="131">
        <f t="shared" ref="O263:X263" si="203">O143</f>
        <v>1657.617</v>
      </c>
      <c r="P263" s="150">
        <f t="shared" ref="P263:S263" si="204">P143</f>
        <v>441.36700000000002</v>
      </c>
      <c r="Q263" s="150">
        <f t="shared" si="204"/>
        <v>468</v>
      </c>
      <c r="R263" s="150">
        <f t="shared" si="204"/>
        <v>491.892</v>
      </c>
      <c r="S263" s="131">
        <f t="shared" si="204"/>
        <v>470.07966784999968</v>
      </c>
      <c r="T263" s="150">
        <f t="shared" si="203"/>
        <v>1852.9616678500004</v>
      </c>
      <c r="U263" s="150">
        <f t="shared" si="203"/>
        <v>2070.2923780471083</v>
      </c>
      <c r="V263" s="150">
        <f t="shared" si="203"/>
        <v>2080.5250122178368</v>
      </c>
      <c r="W263" s="150">
        <f t="shared" si="203"/>
        <v>2140.1309896606681</v>
      </c>
      <c r="X263" s="150">
        <f t="shared" si="203"/>
        <v>2163.5631725710346</v>
      </c>
      <c r="Y263" s="68"/>
      <c r="AA263" s="68"/>
      <c r="AB263" s="68"/>
    </row>
    <row r="264" spans="1:28" x14ac:dyDescent="0.25">
      <c r="A264" s="68"/>
      <c r="B264" s="68" t="s">
        <v>238</v>
      </c>
      <c r="C264" s="68"/>
      <c r="D264" s="202">
        <f t="shared" ref="D264:I264" si="205">D262/D263</f>
        <v>2.0753510092943297</v>
      </c>
      <c r="E264" s="202">
        <f t="shared" si="205"/>
        <v>2.5374383759110151</v>
      </c>
      <c r="F264" s="201">
        <f t="shared" si="205"/>
        <v>0</v>
      </c>
      <c r="G264" s="201">
        <f t="shared" si="205"/>
        <v>0</v>
      </c>
      <c r="H264" s="201">
        <f t="shared" si="205"/>
        <v>0</v>
      </c>
      <c r="I264" s="201">
        <f t="shared" si="205"/>
        <v>0</v>
      </c>
      <c r="J264" s="202">
        <f>J262/J263</f>
        <v>2.9610349528572799</v>
      </c>
      <c r="K264" s="319" t="e">
        <f t="shared" ref="K264:X264" si="206">K262/K263</f>
        <v>#DIV/0!</v>
      </c>
      <c r="L264" s="202" t="e">
        <f t="shared" si="206"/>
        <v>#DIV/0!</v>
      </c>
      <c r="M264" s="202" t="e">
        <f t="shared" si="206"/>
        <v>#DIV/0!</v>
      </c>
      <c r="N264" s="202" t="e">
        <f t="shared" si="206"/>
        <v>#DIV/0!</v>
      </c>
      <c r="O264" s="387">
        <f t="shared" si="206"/>
        <v>3.2165307184952856</v>
      </c>
      <c r="P264" s="202">
        <f>P262/(P263*4)</f>
        <v>3.176136299270222</v>
      </c>
      <c r="Q264" s="202">
        <f t="shared" ref="Q264:S264" si="207">Q262/(Q263*4)</f>
        <v>3.0023263888888887</v>
      </c>
      <c r="R264" s="202">
        <f t="shared" si="207"/>
        <v>2.6281211119514043</v>
      </c>
      <c r="S264" s="387">
        <f t="shared" si="207"/>
        <v>2.836352924817398</v>
      </c>
      <c r="T264" s="202">
        <f t="shared" si="206"/>
        <v>2.8782286518653892</v>
      </c>
      <c r="U264" s="202">
        <f t="shared" si="206"/>
        <v>2.971650713152028</v>
      </c>
      <c r="V264" s="202">
        <f t="shared" si="206"/>
        <v>3.2754366971026294</v>
      </c>
      <c r="W264" s="202">
        <f t="shared" si="206"/>
        <v>3.2062488935396636</v>
      </c>
      <c r="X264" s="202">
        <f t="shared" si="206"/>
        <v>3.2214342311807584</v>
      </c>
      <c r="Y264" s="68"/>
      <c r="AA264" s="68"/>
      <c r="AB264" s="68"/>
    </row>
    <row r="265" spans="1:28" x14ac:dyDescent="0.25">
      <c r="A265" s="68"/>
      <c r="B265" s="68"/>
      <c r="C265" s="68"/>
      <c r="D265" s="68"/>
      <c r="E265" s="68"/>
      <c r="F265" s="68"/>
      <c r="G265" s="68"/>
      <c r="H265" s="68"/>
      <c r="I265" s="68"/>
      <c r="J265" s="199"/>
      <c r="K265" s="68"/>
      <c r="L265" s="68"/>
      <c r="M265" s="68"/>
      <c r="N265" s="68"/>
      <c r="O265" s="69"/>
      <c r="P265" s="68"/>
      <c r="Q265" s="68"/>
      <c r="R265" s="68"/>
      <c r="S265" s="69"/>
      <c r="T265" s="68"/>
      <c r="U265" s="68"/>
      <c r="V265" s="68"/>
      <c r="W265" s="68"/>
      <c r="X265" s="68"/>
      <c r="Y265" s="68"/>
      <c r="AA265" s="68"/>
      <c r="AB265" s="68"/>
    </row>
    <row r="266" spans="1:28" x14ac:dyDescent="0.25">
      <c r="A266" s="68"/>
      <c r="B266" s="68" t="s">
        <v>327</v>
      </c>
      <c r="C266" s="68"/>
      <c r="D266" s="135">
        <f t="shared" ref="D266:O266" si="208">D237/D115</f>
        <v>0.49332208248607351</v>
      </c>
      <c r="E266" s="135">
        <f t="shared" si="208"/>
        <v>0.41782633059991636</v>
      </c>
      <c r="F266" s="135">
        <f t="shared" si="208"/>
        <v>0</v>
      </c>
      <c r="G266" s="135">
        <f t="shared" si="208"/>
        <v>0</v>
      </c>
      <c r="H266" s="135">
        <f t="shared" si="208"/>
        <v>0</v>
      </c>
      <c r="I266" s="135">
        <f t="shared" si="208"/>
        <v>0</v>
      </c>
      <c r="J266" s="135">
        <f t="shared" si="208"/>
        <v>0.39007632366659212</v>
      </c>
      <c r="K266" s="135">
        <f t="shared" si="208"/>
        <v>0</v>
      </c>
      <c r="L266" s="135">
        <f t="shared" si="208"/>
        <v>0</v>
      </c>
      <c r="M266" s="135">
        <f t="shared" si="208"/>
        <v>0</v>
      </c>
      <c r="N266" s="135">
        <f t="shared" si="208"/>
        <v>0</v>
      </c>
      <c r="O266" s="128">
        <f t="shared" si="208"/>
        <v>0.38772409262849061</v>
      </c>
      <c r="P266" s="152">
        <v>0.35</v>
      </c>
      <c r="Q266" s="152">
        <v>0.35</v>
      </c>
      <c r="R266" s="152">
        <v>0.35</v>
      </c>
      <c r="S266" s="147">
        <v>0.35</v>
      </c>
      <c r="T266" s="152">
        <v>0.35</v>
      </c>
      <c r="U266" s="152">
        <v>0.33</v>
      </c>
      <c r="V266" s="152">
        <v>0.33</v>
      </c>
      <c r="W266" s="152">
        <v>0.32</v>
      </c>
      <c r="X266" s="152">
        <v>0.31</v>
      </c>
      <c r="Y266" s="68"/>
      <c r="AA266" s="68"/>
      <c r="AB266" s="68"/>
    </row>
    <row r="267" spans="1:28" x14ac:dyDescent="0.25">
      <c r="O267" s="69"/>
      <c r="S267" s="69"/>
    </row>
    <row r="268" spans="1:28" x14ac:dyDescent="0.25">
      <c r="O268" s="69"/>
      <c r="S268" s="69"/>
    </row>
    <row r="269" spans="1:28" x14ac:dyDescent="0.25">
      <c r="O269" s="69"/>
      <c r="S269" s="69"/>
    </row>
    <row r="270" spans="1:28" x14ac:dyDescent="0.25">
      <c r="O270" s="69"/>
      <c r="S270" s="69"/>
    </row>
    <row r="271" spans="1:28" x14ac:dyDescent="0.25">
      <c r="O271" s="69"/>
      <c r="S271" s="69"/>
    </row>
    <row r="272" spans="1:28" x14ac:dyDescent="0.25">
      <c r="O272" s="69"/>
      <c r="S272" s="69"/>
    </row>
    <row r="273" spans="15:19" x14ac:dyDescent="0.25">
      <c r="O273" s="69"/>
      <c r="S273" s="69"/>
    </row>
    <row r="274" spans="15:19" x14ac:dyDescent="0.25">
      <c r="O274" s="69"/>
      <c r="S274" s="69"/>
    </row>
    <row r="275" spans="15:19" x14ac:dyDescent="0.25">
      <c r="O275" s="69"/>
      <c r="S275" s="69"/>
    </row>
    <row r="276" spans="15:19" x14ac:dyDescent="0.25">
      <c r="O276" s="69"/>
      <c r="S276" s="69"/>
    </row>
    <row r="277" spans="15:19" x14ac:dyDescent="0.25">
      <c r="O277" s="69"/>
      <c r="S277" s="69"/>
    </row>
    <row r="278" spans="15:19" x14ac:dyDescent="0.25">
      <c r="O278" s="69"/>
      <c r="S278" s="69"/>
    </row>
    <row r="279" spans="15:19" x14ac:dyDescent="0.25">
      <c r="O279" s="69"/>
      <c r="S279" s="69"/>
    </row>
    <row r="280" spans="15:19" x14ac:dyDescent="0.25">
      <c r="O280" s="69"/>
      <c r="S280" s="69"/>
    </row>
    <row r="281" spans="15:19" x14ac:dyDescent="0.25">
      <c r="O281" s="69"/>
      <c r="S281" s="69"/>
    </row>
    <row r="282" spans="15:19" x14ac:dyDescent="0.25">
      <c r="O282" s="69"/>
      <c r="S282" s="69"/>
    </row>
    <row r="283" spans="15:19" x14ac:dyDescent="0.25">
      <c r="O283" s="69"/>
      <c r="S283" s="69"/>
    </row>
    <row r="284" spans="15:19" x14ac:dyDescent="0.25">
      <c r="O284" s="69"/>
      <c r="S284" s="69"/>
    </row>
    <row r="285" spans="15:19" x14ac:dyDescent="0.25">
      <c r="O285" s="69"/>
      <c r="S285" s="69"/>
    </row>
    <row r="286" spans="15:19" x14ac:dyDescent="0.25">
      <c r="O286" s="69"/>
      <c r="S286" s="69"/>
    </row>
    <row r="287" spans="15:19" x14ac:dyDescent="0.25">
      <c r="O287" s="69"/>
      <c r="S287" s="69"/>
    </row>
    <row r="288" spans="15:19" x14ac:dyDescent="0.25">
      <c r="O288" s="69"/>
      <c r="S288" s="69"/>
    </row>
    <row r="289" spans="15:19" x14ac:dyDescent="0.25">
      <c r="O289" s="69"/>
      <c r="S289" s="69"/>
    </row>
    <row r="290" spans="15:19" x14ac:dyDescent="0.25">
      <c r="O290" s="69"/>
      <c r="S290" s="69"/>
    </row>
    <row r="291" spans="15:19" x14ac:dyDescent="0.25">
      <c r="O291" s="69"/>
      <c r="S291" s="69"/>
    </row>
    <row r="292" spans="15:19" x14ac:dyDescent="0.25">
      <c r="O292" s="69"/>
      <c r="S292" s="69"/>
    </row>
    <row r="293" spans="15:19" x14ac:dyDescent="0.25">
      <c r="O293" s="69"/>
      <c r="S293" s="69"/>
    </row>
    <row r="294" spans="15:19" x14ac:dyDescent="0.25">
      <c r="O294" s="69"/>
      <c r="S294" s="69"/>
    </row>
    <row r="295" spans="15:19" x14ac:dyDescent="0.25">
      <c r="O295" s="69"/>
      <c r="S295" s="69"/>
    </row>
    <row r="296" spans="15:19" x14ac:dyDescent="0.25">
      <c r="O296" s="69"/>
      <c r="S296" s="69"/>
    </row>
    <row r="297" spans="15:19" x14ac:dyDescent="0.25">
      <c r="O297" s="69"/>
      <c r="S297" s="69"/>
    </row>
    <row r="298" spans="15:19" x14ac:dyDescent="0.25">
      <c r="O298" s="69"/>
      <c r="S298" s="69"/>
    </row>
    <row r="299" spans="15:19" x14ac:dyDescent="0.25">
      <c r="O299" s="69"/>
      <c r="S299" s="69"/>
    </row>
    <row r="300" spans="15:19" x14ac:dyDescent="0.25">
      <c r="O300" s="69"/>
      <c r="S300" s="69"/>
    </row>
    <row r="301" spans="15:19" x14ac:dyDescent="0.25">
      <c r="O301" s="69"/>
      <c r="S301" s="69"/>
    </row>
    <row r="302" spans="15:19" x14ac:dyDescent="0.25">
      <c r="O302" s="69"/>
      <c r="S302" s="69"/>
    </row>
    <row r="303" spans="15:19" x14ac:dyDescent="0.25">
      <c r="O303" s="69"/>
      <c r="S303" s="69"/>
    </row>
    <row r="304" spans="15:19" x14ac:dyDescent="0.25">
      <c r="O304" s="69"/>
      <c r="S304" s="69"/>
    </row>
    <row r="305" spans="15:19" x14ac:dyDescent="0.25">
      <c r="O305" s="69"/>
      <c r="S305" s="69"/>
    </row>
    <row r="306" spans="15:19" x14ac:dyDescent="0.25">
      <c r="O306" s="69"/>
      <c r="S306" s="69"/>
    </row>
    <row r="307" spans="15:19" x14ac:dyDescent="0.25">
      <c r="O307" s="69"/>
      <c r="S307" s="69"/>
    </row>
    <row r="308" spans="15:19" x14ac:dyDescent="0.25">
      <c r="O308" s="69"/>
      <c r="S308" s="69"/>
    </row>
    <row r="309" spans="15:19" x14ac:dyDescent="0.25">
      <c r="O309" s="69"/>
      <c r="S309" s="69"/>
    </row>
    <row r="310" spans="15:19" x14ac:dyDescent="0.25">
      <c r="O310" s="69"/>
      <c r="S310" s="69"/>
    </row>
    <row r="311" spans="15:19" x14ac:dyDescent="0.25">
      <c r="O311" s="69"/>
      <c r="S311" s="69"/>
    </row>
    <row r="312" spans="15:19" x14ac:dyDescent="0.25">
      <c r="O312" s="69"/>
      <c r="S312" s="69"/>
    </row>
    <row r="313" spans="15:19" x14ac:dyDescent="0.25">
      <c r="O313" s="69"/>
      <c r="S313" s="69"/>
    </row>
    <row r="314" spans="15:19" x14ac:dyDescent="0.25">
      <c r="O314" s="69"/>
      <c r="S314" s="69"/>
    </row>
    <row r="315" spans="15:19" x14ac:dyDescent="0.25">
      <c r="O315" s="69"/>
      <c r="S315" s="69"/>
    </row>
    <row r="316" spans="15:19" x14ac:dyDescent="0.25">
      <c r="O316" s="69"/>
      <c r="S316" s="69"/>
    </row>
    <row r="317" spans="15:19" x14ac:dyDescent="0.25">
      <c r="O317" s="69"/>
      <c r="S317" s="69"/>
    </row>
    <row r="318" spans="15:19" x14ac:dyDescent="0.25">
      <c r="O318" s="69"/>
      <c r="S318" s="69"/>
    </row>
    <row r="319" spans="15:19" x14ac:dyDescent="0.25">
      <c r="O319" s="69"/>
      <c r="S319" s="69"/>
    </row>
    <row r="320" spans="15:19" x14ac:dyDescent="0.25">
      <c r="O320" s="69"/>
      <c r="S320" s="69"/>
    </row>
    <row r="321" spans="15:19" x14ac:dyDescent="0.25">
      <c r="O321" s="69"/>
      <c r="S321" s="69"/>
    </row>
    <row r="322" spans="15:19" x14ac:dyDescent="0.25">
      <c r="O322" s="69"/>
      <c r="S322" s="69"/>
    </row>
    <row r="323" spans="15:19" x14ac:dyDescent="0.25">
      <c r="O323" s="69"/>
      <c r="S323" s="69"/>
    </row>
    <row r="324" spans="15:19" x14ac:dyDescent="0.25">
      <c r="O324" s="69"/>
      <c r="S324" s="69"/>
    </row>
    <row r="325" spans="15:19" x14ac:dyDescent="0.25">
      <c r="O325" s="69"/>
      <c r="S325" s="69"/>
    </row>
    <row r="326" spans="15:19" x14ac:dyDescent="0.25">
      <c r="O326" s="69"/>
      <c r="S326" s="69"/>
    </row>
    <row r="327" spans="15:19" x14ac:dyDescent="0.25">
      <c r="O327" s="69"/>
      <c r="S327" s="69"/>
    </row>
    <row r="328" spans="15:19" x14ac:dyDescent="0.25">
      <c r="O328" s="69"/>
      <c r="S328" s="69"/>
    </row>
    <row r="329" spans="15:19" x14ac:dyDescent="0.25">
      <c r="O329" s="69"/>
      <c r="S329" s="69"/>
    </row>
  </sheetData>
  <pageMargins left="0.7" right="0.7" top="0.75" bottom="0.75" header="0.3" footer="0.3"/>
  <pageSetup scale="54" orientation="portrait" r:id="rId1"/>
  <rowBreaks count="2" manualBreakCount="2">
    <brk id="88" max="16383" man="1"/>
    <brk id="15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2:J67"/>
  <sheetViews>
    <sheetView showGridLines="0" view="pageBreakPreview" zoomScaleNormal="85" zoomScaleSheetLayoutView="100" workbookViewId="0"/>
  </sheetViews>
  <sheetFormatPr defaultColWidth="8.83203125" defaultRowHeight="15" x14ac:dyDescent="0.25"/>
  <cols>
    <col min="1" max="1" width="3.5" style="38" customWidth="1"/>
    <col min="2" max="2" width="37.33203125" style="38" customWidth="1"/>
    <col min="3" max="3" width="10.1640625" style="38" customWidth="1"/>
    <col min="4" max="4" width="14.83203125" style="368" customWidth="1"/>
    <col min="5" max="5" width="16.1640625" style="368" customWidth="1"/>
    <col min="6" max="6" width="29.83203125" style="368" customWidth="1"/>
    <col min="7" max="10" width="12.1640625" style="378" customWidth="1"/>
    <col min="11" max="16384" width="8.83203125" style="38"/>
  </cols>
  <sheetData>
    <row r="2" spans="2:10" ht="15.75" thickBot="1" x14ac:dyDescent="0.3">
      <c r="B2" s="25" t="s">
        <v>366</v>
      </c>
      <c r="C2" s="25"/>
      <c r="D2" s="84"/>
      <c r="E2" s="84"/>
      <c r="F2" s="84"/>
      <c r="G2" s="462"/>
      <c r="H2" s="462"/>
      <c r="I2" s="462"/>
      <c r="J2" s="462"/>
    </row>
    <row r="3" spans="2:10" x14ac:dyDescent="0.25">
      <c r="B3" s="29" t="s">
        <v>214</v>
      </c>
      <c r="C3" s="68"/>
      <c r="D3" s="132"/>
      <c r="E3" s="457"/>
      <c r="F3" s="457"/>
    </row>
    <row r="4" spans="2:10" x14ac:dyDescent="0.25">
      <c r="B4" s="68" t="s">
        <v>175</v>
      </c>
      <c r="C4" s="68"/>
      <c r="D4" s="457"/>
      <c r="E4" s="457"/>
      <c r="F4" s="457"/>
    </row>
    <row r="5" spans="2:10" x14ac:dyDescent="0.25">
      <c r="B5" s="68"/>
      <c r="C5" s="68"/>
      <c r="D5" s="457"/>
      <c r="E5" s="457"/>
      <c r="F5" s="457"/>
    </row>
    <row r="6" spans="2:10" x14ac:dyDescent="0.25">
      <c r="B6" s="374" t="s">
        <v>367</v>
      </c>
      <c r="C6" s="73"/>
      <c r="D6" s="379"/>
      <c r="E6" s="379"/>
      <c r="F6" s="379"/>
    </row>
    <row r="7" spans="2:10" x14ac:dyDescent="0.25">
      <c r="B7" s="461"/>
      <c r="C7" s="68"/>
      <c r="D7" s="457"/>
      <c r="E7" s="457"/>
      <c r="F7" s="457"/>
    </row>
    <row r="8" spans="2:10" x14ac:dyDescent="0.25">
      <c r="B8" s="375"/>
      <c r="C8" s="369" t="s">
        <v>131</v>
      </c>
      <c r="D8" s="369"/>
      <c r="E8" s="369" t="s">
        <v>176</v>
      </c>
      <c r="F8" s="369" t="s">
        <v>174</v>
      </c>
      <c r="G8" s="386"/>
      <c r="H8" s="386"/>
      <c r="I8" s="386"/>
      <c r="J8" s="386"/>
    </row>
    <row r="9" spans="2:10" x14ac:dyDescent="0.25">
      <c r="B9" s="68" t="s">
        <v>179</v>
      </c>
      <c r="C9" s="373">
        <v>23.18</v>
      </c>
      <c r="D9" s="466"/>
      <c r="E9" s="377">
        <v>69.599999999999994</v>
      </c>
      <c r="F9" s="372">
        <f>E9*C9</f>
        <v>1613.3279999999997</v>
      </c>
      <c r="G9" s="384"/>
      <c r="H9" s="384"/>
      <c r="I9" s="384"/>
      <c r="J9" s="384"/>
    </row>
    <row r="10" spans="2:10" x14ac:dyDescent="0.25">
      <c r="B10" s="68" t="s">
        <v>177</v>
      </c>
      <c r="C10" s="373">
        <v>74.569999999999993</v>
      </c>
      <c r="D10" s="457"/>
      <c r="E10" s="467">
        <v>4.3</v>
      </c>
      <c r="F10" s="372">
        <f>$C$10*$E10</f>
        <v>320.65099999999995</v>
      </c>
      <c r="G10" s="384"/>
      <c r="H10" s="384"/>
      <c r="I10" s="384"/>
      <c r="J10" s="384"/>
    </row>
    <row r="11" spans="2:10" x14ac:dyDescent="0.25">
      <c r="B11" s="68" t="s">
        <v>178</v>
      </c>
      <c r="C11" s="373">
        <v>15.06</v>
      </c>
      <c r="D11" s="457"/>
      <c r="E11" s="467">
        <v>0.5</v>
      </c>
      <c r="F11" s="372">
        <f>$C$11*$E11</f>
        <v>7.53</v>
      </c>
      <c r="G11" s="384"/>
      <c r="H11" s="384"/>
      <c r="I11" s="384"/>
      <c r="J11" s="384"/>
    </row>
    <row r="12" spans="2:10" x14ac:dyDescent="0.25">
      <c r="B12" s="385" t="s">
        <v>364</v>
      </c>
      <c r="C12" s="468">
        <v>38.880000000000003</v>
      </c>
      <c r="D12" s="369"/>
      <c r="E12" s="469">
        <v>1.8</v>
      </c>
      <c r="F12" s="470">
        <f>$C$12*$E12+60</f>
        <v>129.98400000000001</v>
      </c>
      <c r="G12" s="384"/>
      <c r="H12" s="384"/>
      <c r="I12" s="384"/>
      <c r="J12" s="384"/>
    </row>
    <row r="13" spans="2:10" x14ac:dyDescent="0.25">
      <c r="B13" s="478" t="s">
        <v>181</v>
      </c>
      <c r="C13" s="68"/>
      <c r="D13" s="457"/>
      <c r="E13" s="457"/>
      <c r="F13" s="372">
        <f>SUM(F9:F12)</f>
        <v>2071.4929999999999</v>
      </c>
      <c r="G13" s="384"/>
      <c r="H13" s="384"/>
      <c r="I13" s="384"/>
      <c r="J13" s="384"/>
    </row>
    <row r="14" spans="2:10" x14ac:dyDescent="0.25">
      <c r="B14" s="68"/>
      <c r="C14" s="68"/>
      <c r="D14" s="457"/>
      <c r="E14" s="457"/>
      <c r="F14" s="457"/>
    </row>
    <row r="15" spans="2:10" x14ac:dyDescent="0.25">
      <c r="B15" s="68" t="s">
        <v>365</v>
      </c>
      <c r="C15" s="68"/>
      <c r="D15" s="466">
        <v>0.2</v>
      </c>
      <c r="E15" s="457"/>
      <c r="F15" s="377">
        <v>170</v>
      </c>
      <c r="G15" s="450"/>
      <c r="H15" s="450"/>
      <c r="I15" s="450"/>
      <c r="J15" s="450"/>
    </row>
    <row r="16" spans="2:10" x14ac:dyDescent="0.25">
      <c r="B16" s="68" t="s">
        <v>321</v>
      </c>
      <c r="C16" s="68"/>
      <c r="D16" s="371"/>
      <c r="E16" s="457"/>
      <c r="F16" s="377">
        <v>165</v>
      </c>
      <c r="G16" s="450"/>
      <c r="H16" s="450"/>
      <c r="I16" s="450"/>
      <c r="J16" s="450"/>
    </row>
    <row r="17" spans="2:10" x14ac:dyDescent="0.25">
      <c r="B17" s="68" t="s">
        <v>89</v>
      </c>
      <c r="C17" s="68"/>
      <c r="D17" s="457"/>
      <c r="E17" s="457"/>
      <c r="F17" s="377">
        <v>127</v>
      </c>
      <c r="G17" s="450"/>
      <c r="H17" s="450"/>
      <c r="I17" s="450"/>
      <c r="J17" s="450"/>
    </row>
    <row r="18" spans="2:10" x14ac:dyDescent="0.25">
      <c r="B18" s="478" t="s">
        <v>182</v>
      </c>
      <c r="C18" s="68"/>
      <c r="D18" s="457"/>
      <c r="E18" s="457"/>
      <c r="F18" s="372">
        <f>SUM(F15:F17)</f>
        <v>462</v>
      </c>
      <c r="G18" s="384"/>
      <c r="H18" s="384"/>
      <c r="I18" s="384"/>
      <c r="J18" s="384"/>
    </row>
    <row r="19" spans="2:10" x14ac:dyDescent="0.25">
      <c r="B19" s="68"/>
      <c r="C19" s="68"/>
      <c r="D19" s="457"/>
      <c r="E19" s="457"/>
      <c r="F19" s="471"/>
      <c r="G19" s="472"/>
      <c r="H19" s="472"/>
      <c r="I19" s="472"/>
      <c r="J19" s="472"/>
    </row>
    <row r="20" spans="2:10" x14ac:dyDescent="0.25">
      <c r="B20" s="68" t="s">
        <v>25</v>
      </c>
      <c r="C20" s="68"/>
      <c r="D20" s="457"/>
      <c r="E20" s="372"/>
      <c r="F20" s="377">
        <v>424</v>
      </c>
      <c r="G20" s="450"/>
      <c r="H20" s="450"/>
      <c r="I20" s="450"/>
      <c r="J20" s="450"/>
    </row>
    <row r="21" spans="2:10" x14ac:dyDescent="0.25">
      <c r="B21" s="68" t="s">
        <v>354</v>
      </c>
      <c r="C21" s="68"/>
      <c r="D21" s="457"/>
      <c r="E21" s="457"/>
      <c r="F21" s="372">
        <v>-995</v>
      </c>
      <c r="G21" s="384"/>
      <c r="H21" s="384"/>
      <c r="I21" s="384"/>
      <c r="J21" s="384"/>
    </row>
    <row r="22" spans="2:10" x14ac:dyDescent="0.25">
      <c r="B22" s="478" t="s">
        <v>180</v>
      </c>
      <c r="C22" s="68"/>
      <c r="D22" s="457"/>
      <c r="E22" s="457"/>
      <c r="F22" s="473">
        <f>F21+F20+F18+F13</f>
        <v>1962.4929999999999</v>
      </c>
      <c r="G22" s="449"/>
      <c r="H22" s="449"/>
      <c r="I22" s="449"/>
      <c r="J22" s="449"/>
    </row>
    <row r="23" spans="2:10" x14ac:dyDescent="0.25">
      <c r="B23" s="68" t="s">
        <v>172</v>
      </c>
      <c r="C23" s="68"/>
      <c r="D23" s="457"/>
      <c r="E23" s="457"/>
      <c r="F23" s="474">
        <v>84.8</v>
      </c>
      <c r="G23" s="475"/>
      <c r="H23" s="475"/>
      <c r="I23" s="475"/>
      <c r="J23" s="475"/>
    </row>
    <row r="24" spans="2:10" x14ac:dyDescent="0.25">
      <c r="B24" s="479" t="s">
        <v>361</v>
      </c>
      <c r="C24" s="453"/>
      <c r="D24" s="454"/>
      <c r="E24" s="454"/>
      <c r="F24" s="455">
        <f>F22/F23</f>
        <v>23.142606132075471</v>
      </c>
      <c r="G24" s="465"/>
      <c r="H24" s="465"/>
      <c r="I24" s="465"/>
      <c r="J24" s="465"/>
    </row>
    <row r="25" spans="2:10" x14ac:dyDescent="0.25">
      <c r="F25" s="457"/>
    </row>
    <row r="26" spans="2:10" x14ac:dyDescent="0.25">
      <c r="B26" s="375" t="s">
        <v>381</v>
      </c>
      <c r="C26" s="68"/>
      <c r="D26" s="501"/>
      <c r="F26" s="500">
        <v>19.3</v>
      </c>
      <c r="G26" s="384"/>
      <c r="H26" s="384"/>
      <c r="I26" s="384"/>
      <c r="J26" s="384"/>
    </row>
    <row r="27" spans="2:10" x14ac:dyDescent="0.25">
      <c r="B27" s="452" t="s">
        <v>379</v>
      </c>
      <c r="C27" s="453"/>
      <c r="D27" s="454"/>
      <c r="E27" s="454"/>
      <c r="F27" s="504">
        <f>F26/F24-1</f>
        <v>-0.1660403374687196</v>
      </c>
      <c r="G27" s="384"/>
      <c r="H27" s="384"/>
      <c r="I27" s="384"/>
      <c r="J27" s="384"/>
    </row>
    <row r="28" spans="2:10" x14ac:dyDescent="0.25">
      <c r="F28" s="501"/>
    </row>
    <row r="29" spans="2:10" x14ac:dyDescent="0.25">
      <c r="B29" s="374" t="s">
        <v>368</v>
      </c>
      <c r="C29" s="73"/>
      <c r="D29" s="379"/>
      <c r="E29" s="379"/>
      <c r="F29" s="379"/>
      <c r="G29" s="463"/>
      <c r="H29" s="463"/>
      <c r="I29" s="463"/>
      <c r="J29" s="463"/>
    </row>
    <row r="30" spans="2:10" x14ac:dyDescent="0.25">
      <c r="B30" s="375"/>
      <c r="C30" s="68"/>
      <c r="D30" s="371"/>
      <c r="F30" s="376"/>
      <c r="G30" s="376"/>
      <c r="H30" s="376"/>
      <c r="I30" s="376"/>
      <c r="J30" s="376"/>
    </row>
    <row r="31" spans="2:10" x14ac:dyDescent="0.25">
      <c r="B31" s="68" t="s">
        <v>317</v>
      </c>
      <c r="C31" s="68"/>
      <c r="D31" s="457"/>
      <c r="F31" s="494">
        <v>1175</v>
      </c>
      <c r="G31" s="458"/>
      <c r="H31" s="458"/>
      <c r="I31" s="458"/>
      <c r="J31" s="458"/>
    </row>
    <row r="32" spans="2:10" x14ac:dyDescent="0.25">
      <c r="B32" s="68" t="s">
        <v>318</v>
      </c>
      <c r="C32" s="68"/>
      <c r="D32" s="457"/>
      <c r="F32" s="450">
        <v>450</v>
      </c>
      <c r="G32" s="458"/>
      <c r="H32" s="458"/>
      <c r="I32" s="458"/>
      <c r="J32" s="458"/>
    </row>
    <row r="33" spans="2:10" x14ac:dyDescent="0.25">
      <c r="B33" s="385" t="s">
        <v>25</v>
      </c>
      <c r="C33" s="385"/>
      <c r="D33" s="369"/>
      <c r="E33" s="483"/>
      <c r="F33" s="451">
        <v>50</v>
      </c>
      <c r="G33" s="458"/>
      <c r="H33" s="458"/>
      <c r="I33" s="458"/>
      <c r="J33" s="458"/>
    </row>
    <row r="34" spans="2:10" x14ac:dyDescent="0.25">
      <c r="B34" s="478" t="s">
        <v>36</v>
      </c>
      <c r="C34" s="68"/>
      <c r="D34" s="457"/>
      <c r="F34" s="449">
        <f>SUM(F31:F33)</f>
        <v>1675</v>
      </c>
      <c r="G34" s="449"/>
      <c r="H34" s="449"/>
      <c r="I34" s="449"/>
      <c r="J34" s="449"/>
    </row>
    <row r="35" spans="2:10" x14ac:dyDescent="0.25">
      <c r="B35" s="68"/>
      <c r="C35" s="68"/>
      <c r="D35" s="68"/>
      <c r="F35" s="68"/>
      <c r="G35" s="139"/>
      <c r="H35" s="139"/>
      <c r="I35" s="139"/>
      <c r="J35" s="139"/>
    </row>
    <row r="36" spans="2:10" x14ac:dyDescent="0.25">
      <c r="B36" s="68" t="s">
        <v>319</v>
      </c>
      <c r="C36" s="68"/>
      <c r="D36" s="457"/>
      <c r="F36" s="380">
        <v>-330</v>
      </c>
      <c r="G36" s="380"/>
      <c r="H36" s="380"/>
      <c r="I36" s="380"/>
      <c r="J36" s="380"/>
    </row>
    <row r="37" spans="2:10" x14ac:dyDescent="0.25">
      <c r="B37" s="68" t="s">
        <v>320</v>
      </c>
      <c r="C37" s="68"/>
      <c r="D37" s="457"/>
      <c r="F37" s="380">
        <v>-285</v>
      </c>
      <c r="G37" s="380"/>
      <c r="H37" s="380"/>
      <c r="I37" s="380"/>
      <c r="J37" s="380"/>
    </row>
    <row r="38" spans="2:10" x14ac:dyDescent="0.25">
      <c r="B38" s="68" t="s">
        <v>323</v>
      </c>
      <c r="C38" s="68"/>
      <c r="D38" s="457"/>
      <c r="F38" s="380">
        <v>-44</v>
      </c>
      <c r="G38" s="380"/>
      <c r="H38" s="380"/>
      <c r="I38" s="380"/>
      <c r="J38" s="380"/>
    </row>
    <row r="39" spans="2:10" x14ac:dyDescent="0.25">
      <c r="B39" s="481" t="s">
        <v>321</v>
      </c>
      <c r="C39" s="385"/>
      <c r="D39" s="385"/>
      <c r="E39" s="385"/>
      <c r="F39" s="482">
        <v>-165</v>
      </c>
      <c r="G39" s="380"/>
      <c r="H39" s="380"/>
      <c r="I39" s="380"/>
      <c r="J39" s="380"/>
    </row>
    <row r="40" spans="2:10" x14ac:dyDescent="0.25">
      <c r="B40" s="480" t="s">
        <v>236</v>
      </c>
      <c r="C40" s="68"/>
      <c r="D40" s="68"/>
      <c r="F40" s="381">
        <v>-824</v>
      </c>
      <c r="G40" s="383"/>
      <c r="H40" s="383"/>
      <c r="I40" s="383"/>
      <c r="J40" s="383"/>
    </row>
    <row r="41" spans="2:10" x14ac:dyDescent="0.25">
      <c r="B41" s="62"/>
      <c r="C41" s="68"/>
      <c r="D41" s="68"/>
      <c r="F41" s="382"/>
      <c r="G41" s="380"/>
      <c r="H41" s="380"/>
      <c r="I41" s="380"/>
      <c r="J41" s="380"/>
    </row>
    <row r="42" spans="2:10" x14ac:dyDescent="0.25">
      <c r="B42" s="67" t="s">
        <v>360</v>
      </c>
      <c r="C42" s="68"/>
      <c r="D42" s="68"/>
      <c r="F42" s="459">
        <f>-(F34+F40)*0.2</f>
        <v>-170.20000000000002</v>
      </c>
      <c r="G42" s="464"/>
      <c r="H42" s="464"/>
      <c r="I42" s="464"/>
      <c r="J42" s="464"/>
    </row>
    <row r="43" spans="2:10" x14ac:dyDescent="0.25">
      <c r="B43" s="480" t="s">
        <v>180</v>
      </c>
      <c r="C43" s="68"/>
      <c r="D43" s="457"/>
      <c r="F43" s="383">
        <f>F34+F42+F40</f>
        <v>680.8</v>
      </c>
      <c r="G43" s="383"/>
      <c r="H43" s="383"/>
      <c r="I43" s="383"/>
      <c r="J43" s="383"/>
    </row>
    <row r="44" spans="2:10" x14ac:dyDescent="0.25">
      <c r="B44" s="484" t="s">
        <v>172</v>
      </c>
      <c r="C44" s="385"/>
      <c r="D44" s="369"/>
      <c r="F44" s="451">
        <v>33.5</v>
      </c>
      <c r="G44" s="451"/>
      <c r="H44" s="451"/>
      <c r="I44" s="451"/>
      <c r="J44" s="451"/>
    </row>
    <row r="45" spans="2:10" x14ac:dyDescent="0.25">
      <c r="B45" s="479" t="s">
        <v>361</v>
      </c>
      <c r="C45" s="453"/>
      <c r="D45" s="454"/>
      <c r="E45" s="454"/>
      <c r="F45" s="455">
        <f>F43/F44</f>
        <v>20.322388059701492</v>
      </c>
      <c r="G45" s="465"/>
      <c r="H45" s="465"/>
      <c r="I45" s="465"/>
      <c r="J45" s="465"/>
    </row>
    <row r="46" spans="2:10" x14ac:dyDescent="0.25">
      <c r="D46" s="38"/>
      <c r="F46" s="38"/>
      <c r="G46" s="139"/>
      <c r="H46" s="139"/>
      <c r="I46" s="139"/>
      <c r="J46" s="139"/>
    </row>
    <row r="47" spans="2:10" x14ac:dyDescent="0.25">
      <c r="B47" s="374" t="s">
        <v>369</v>
      </c>
      <c r="C47" s="73"/>
      <c r="D47" s="379"/>
      <c r="E47" s="379"/>
      <c r="F47" s="379"/>
      <c r="G47" s="463"/>
      <c r="H47" s="463"/>
      <c r="I47" s="463"/>
      <c r="J47" s="463"/>
    </row>
    <row r="48" spans="2:10" x14ac:dyDescent="0.25">
      <c r="D48" s="38"/>
      <c r="F48" s="38"/>
      <c r="G48" s="139"/>
      <c r="H48" s="139"/>
      <c r="I48" s="139"/>
      <c r="J48" s="139"/>
    </row>
    <row r="49" spans="2:10" x14ac:dyDescent="0.25">
      <c r="B49" s="68" t="s">
        <v>370</v>
      </c>
      <c r="C49" s="68"/>
      <c r="D49" s="457"/>
      <c r="F49" s="450">
        <v>3162.2</v>
      </c>
      <c r="G49" s="450"/>
      <c r="H49" s="450"/>
      <c r="I49" s="450"/>
      <c r="J49" s="450"/>
    </row>
    <row r="50" spans="2:10" x14ac:dyDescent="0.25">
      <c r="B50" s="385" t="s">
        <v>363</v>
      </c>
      <c r="C50" s="385"/>
      <c r="D50" s="369"/>
      <c r="E50" s="483"/>
      <c r="F50" s="503">
        <f>Summary!G7</f>
        <v>4.24</v>
      </c>
      <c r="G50" s="456"/>
      <c r="H50" s="456"/>
      <c r="I50" s="456"/>
      <c r="J50" s="476"/>
    </row>
    <row r="51" spans="2:10" x14ac:dyDescent="0.25">
      <c r="B51" s="478" t="s">
        <v>171</v>
      </c>
      <c r="C51" s="68"/>
      <c r="D51" s="457"/>
      <c r="F51" s="384">
        <f>F49*F50</f>
        <v>13407.727999999999</v>
      </c>
      <c r="G51" s="384"/>
      <c r="H51" s="384"/>
      <c r="I51" s="384"/>
      <c r="J51" s="384"/>
    </row>
    <row r="52" spans="2:10" x14ac:dyDescent="0.25">
      <c r="B52" s="68" t="s">
        <v>376</v>
      </c>
      <c r="C52" s="68"/>
      <c r="D52" s="498"/>
      <c r="F52" s="450">
        <v>50</v>
      </c>
      <c r="G52" s="384"/>
      <c r="H52" s="384"/>
      <c r="I52" s="384"/>
      <c r="J52" s="384"/>
    </row>
    <row r="53" spans="2:10" x14ac:dyDescent="0.25">
      <c r="B53" s="68" t="s">
        <v>377</v>
      </c>
      <c r="C53" s="68"/>
      <c r="D53" s="498"/>
      <c r="F53" s="450">
        <v>-250</v>
      </c>
      <c r="G53" s="384"/>
      <c r="H53" s="384"/>
      <c r="I53" s="384"/>
      <c r="J53" s="384"/>
    </row>
    <row r="54" spans="2:10" x14ac:dyDescent="0.25">
      <c r="B54" s="478" t="s">
        <v>180</v>
      </c>
      <c r="C54" s="68"/>
      <c r="D54" s="498"/>
      <c r="F54" s="384">
        <f>F51+F52+F53</f>
        <v>13207.727999999999</v>
      </c>
      <c r="G54" s="384"/>
      <c r="H54" s="384"/>
      <c r="I54" s="384"/>
      <c r="J54" s="384"/>
    </row>
    <row r="55" spans="2:10" x14ac:dyDescent="0.25">
      <c r="B55" s="385" t="s">
        <v>362</v>
      </c>
      <c r="C55" s="385"/>
      <c r="D55" s="369"/>
      <c r="E55" s="483"/>
      <c r="F55" s="451">
        <v>341</v>
      </c>
      <c r="G55" s="496"/>
      <c r="H55" s="496"/>
      <c r="I55" s="496"/>
      <c r="J55" s="496"/>
    </row>
    <row r="56" spans="2:10" x14ac:dyDescent="0.25">
      <c r="B56" s="479" t="s">
        <v>361</v>
      </c>
      <c r="C56" s="453"/>
      <c r="D56" s="454"/>
      <c r="E56" s="454"/>
      <c r="F56" s="455">
        <f>F54/F55</f>
        <v>38.732340175953077</v>
      </c>
      <c r="G56" s="465"/>
      <c r="H56" s="465"/>
      <c r="I56" s="465"/>
      <c r="J56" s="465"/>
    </row>
    <row r="57" spans="2:10" x14ac:dyDescent="0.25">
      <c r="B57" s="375"/>
      <c r="C57" s="68"/>
      <c r="D57" s="457"/>
      <c r="F57" s="384"/>
      <c r="G57" s="384"/>
      <c r="H57" s="384"/>
      <c r="I57" s="384"/>
      <c r="J57" s="384"/>
    </row>
    <row r="58" spans="2:10" x14ac:dyDescent="0.25">
      <c r="B58" s="375" t="s">
        <v>378</v>
      </c>
      <c r="C58" s="68"/>
      <c r="D58" s="499"/>
      <c r="F58" s="500">
        <v>33.42</v>
      </c>
      <c r="G58" s="384"/>
      <c r="H58" s="384"/>
      <c r="I58" s="384"/>
      <c r="J58" s="384"/>
    </row>
    <row r="59" spans="2:10" x14ac:dyDescent="0.25">
      <c r="B59" s="375" t="s">
        <v>379</v>
      </c>
      <c r="C59" s="68"/>
      <c r="D59" s="499"/>
      <c r="F59" s="476">
        <f>F58/F56-1</f>
        <v>-0.13715515643568665</v>
      </c>
      <c r="G59" s="384"/>
      <c r="H59" s="384"/>
      <c r="I59" s="384"/>
      <c r="J59" s="384"/>
    </row>
    <row r="60" spans="2:10" x14ac:dyDescent="0.25">
      <c r="B60" s="375"/>
      <c r="C60" s="68"/>
      <c r="D60" s="499"/>
      <c r="F60" s="384"/>
      <c r="G60" s="384"/>
      <c r="H60" s="384"/>
      <c r="I60" s="384"/>
      <c r="J60" s="384"/>
    </row>
    <row r="61" spans="2:10" x14ac:dyDescent="0.25">
      <c r="B61" s="375"/>
      <c r="C61" s="68"/>
      <c r="D61" s="499"/>
      <c r="F61" s="384"/>
      <c r="G61" s="384"/>
      <c r="H61" s="384"/>
      <c r="I61" s="384"/>
      <c r="J61" s="384"/>
    </row>
    <row r="62" spans="2:10" x14ac:dyDescent="0.25">
      <c r="B62" s="375" t="s">
        <v>372</v>
      </c>
      <c r="C62" s="460" t="s">
        <v>173</v>
      </c>
      <c r="D62" s="460" t="s">
        <v>373</v>
      </c>
      <c r="E62" s="368" t="s">
        <v>371</v>
      </c>
      <c r="F62" s="496" t="s">
        <v>322</v>
      </c>
      <c r="G62" s="384"/>
      <c r="H62" s="384"/>
      <c r="I62" s="384"/>
      <c r="J62" s="384"/>
    </row>
    <row r="63" spans="2:10" x14ac:dyDescent="0.25">
      <c r="B63" s="38" t="s">
        <v>386</v>
      </c>
      <c r="C63" s="495">
        <v>21.72</v>
      </c>
      <c r="D63" s="497">
        <v>32.26</v>
      </c>
      <c r="E63" s="495">
        <v>35.450000000000003</v>
      </c>
      <c r="F63" s="38" t="s">
        <v>374</v>
      </c>
      <c r="G63" s="139"/>
      <c r="H63" s="139"/>
      <c r="I63" s="139"/>
      <c r="J63" s="139"/>
    </row>
    <row r="64" spans="2:10" x14ac:dyDescent="0.25">
      <c r="B64" s="38" t="s">
        <v>387</v>
      </c>
      <c r="C64" s="497">
        <v>19</v>
      </c>
      <c r="D64" s="495">
        <v>18.03</v>
      </c>
      <c r="E64" s="495">
        <v>35</v>
      </c>
      <c r="F64" s="38" t="s">
        <v>375</v>
      </c>
      <c r="G64" s="139"/>
      <c r="H64" s="139"/>
      <c r="I64" s="139"/>
      <c r="J64" s="139"/>
    </row>
    <row r="65" spans="2:10" x14ac:dyDescent="0.25">
      <c r="B65" s="38" t="s">
        <v>385</v>
      </c>
      <c r="C65" s="493">
        <f>F24</f>
        <v>23.142606132075471</v>
      </c>
      <c r="D65" s="493">
        <f>F45</f>
        <v>20.322388059701492</v>
      </c>
      <c r="E65" s="493">
        <f>F56</f>
        <v>38.732340175953077</v>
      </c>
      <c r="F65" s="38"/>
      <c r="G65" s="139"/>
      <c r="H65" s="139"/>
      <c r="I65" s="139"/>
      <c r="J65" s="139"/>
    </row>
    <row r="66" spans="2:10" x14ac:dyDescent="0.25">
      <c r="D66" s="38"/>
      <c r="F66" s="38"/>
      <c r="G66" s="139"/>
      <c r="H66" s="139"/>
      <c r="I66" s="139"/>
      <c r="J66" s="139"/>
    </row>
    <row r="67" spans="2:10" x14ac:dyDescent="0.25">
      <c r="D67" s="38"/>
      <c r="F67" s="38"/>
      <c r="G67" s="139"/>
      <c r="H67" s="139"/>
      <c r="I67" s="139"/>
      <c r="J67" s="139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E4:X74"/>
  <sheetViews>
    <sheetView showGridLines="0" view="pageBreakPreview" zoomScale="85" zoomScaleNormal="100" zoomScaleSheetLayoutView="85" workbookViewId="0"/>
  </sheetViews>
  <sheetFormatPr defaultRowHeight="12.75" x14ac:dyDescent="0.2"/>
  <cols>
    <col min="5" max="5" width="24.5" customWidth="1"/>
    <col min="6" max="6" width="21.5" customWidth="1"/>
    <col min="7" max="12" width="8.83203125" style="85"/>
    <col min="13" max="13" width="13.33203125" bestFit="1" customWidth="1"/>
    <col min="16" max="16" width="20.1640625" customWidth="1"/>
    <col min="17" max="18" width="14.33203125" bestFit="1" customWidth="1"/>
    <col min="19" max="19" width="10.6640625" bestFit="1" customWidth="1"/>
    <col min="21" max="21" width="11.6640625" bestFit="1" customWidth="1"/>
  </cols>
  <sheetData>
    <row r="4" spans="5:13" x14ac:dyDescent="0.2">
      <c r="F4" s="216" t="s">
        <v>244</v>
      </c>
      <c r="G4" s="215" t="s">
        <v>126</v>
      </c>
      <c r="H4" s="215" t="s">
        <v>71</v>
      </c>
      <c r="I4" s="215" t="s">
        <v>87</v>
      </c>
      <c r="J4" s="215" t="s">
        <v>65</v>
      </c>
      <c r="K4" s="215" t="s">
        <v>124</v>
      </c>
      <c r="L4" s="215" t="s">
        <v>125</v>
      </c>
    </row>
    <row r="5" spans="5:13" x14ac:dyDescent="0.2">
      <c r="F5" s="209" t="s">
        <v>66</v>
      </c>
      <c r="G5" s="210">
        <v>0.31</v>
      </c>
      <c r="H5" s="210">
        <v>0.28999999999999998</v>
      </c>
      <c r="I5" s="210">
        <v>0.27499999999999997</v>
      </c>
      <c r="J5" s="210">
        <v>0.26499999999999996</v>
      </c>
      <c r="K5" s="210">
        <v>0.25499999999999995</v>
      </c>
      <c r="L5" s="210">
        <v>0.25372499999999992</v>
      </c>
    </row>
    <row r="6" spans="5:13" x14ac:dyDescent="0.2">
      <c r="F6" s="209" t="s">
        <v>80</v>
      </c>
      <c r="G6" s="210">
        <v>0.32</v>
      </c>
      <c r="H6" s="210">
        <v>0.32</v>
      </c>
      <c r="I6" s="210">
        <v>0.32</v>
      </c>
      <c r="J6" s="210">
        <v>0.31</v>
      </c>
      <c r="K6" s="210">
        <v>0.30853804806213991</v>
      </c>
      <c r="L6" s="210">
        <v>0.30708340588396915</v>
      </c>
    </row>
    <row r="8" spans="5:13" x14ac:dyDescent="0.2">
      <c r="M8" s="205"/>
    </row>
    <row r="9" spans="5:13" x14ac:dyDescent="0.2">
      <c r="G9" s="215" t="s">
        <v>126</v>
      </c>
      <c r="H9" s="215" t="s">
        <v>71</v>
      </c>
      <c r="I9" s="215" t="s">
        <v>87</v>
      </c>
      <c r="J9" s="215" t="s">
        <v>65</v>
      </c>
      <c r="K9" s="215" t="s">
        <v>124</v>
      </c>
      <c r="L9" s="215" t="s">
        <v>125</v>
      </c>
    </row>
    <row r="11" spans="5:13" x14ac:dyDescent="0.2">
      <c r="E11" s="207" t="s">
        <v>66</v>
      </c>
      <c r="F11" s="206" t="s">
        <v>193</v>
      </c>
      <c r="G11" s="211">
        <v>4530.9312516175332</v>
      </c>
      <c r="H11" s="211">
        <v>4838.7577707925684</v>
      </c>
      <c r="I11" s="211">
        <v>5214.8856246192445</v>
      </c>
      <c r="J11" s="211">
        <v>5501.6152592762892</v>
      </c>
      <c r="K11" s="211">
        <v>5801.8757554801186</v>
      </c>
      <c r="L11" s="211">
        <v>6111.7462782999737</v>
      </c>
    </row>
    <row r="12" spans="5:13" x14ac:dyDescent="0.2">
      <c r="E12" s="207" t="s">
        <v>80</v>
      </c>
      <c r="F12" s="206" t="s">
        <v>193</v>
      </c>
      <c r="G12" s="211">
        <v>4532.4648331473454</v>
      </c>
      <c r="H12" s="211">
        <v>4856.3770735415355</v>
      </c>
      <c r="I12" s="211">
        <v>5263.0099322819815</v>
      </c>
      <c r="J12" s="211">
        <v>5585.9431607455354</v>
      </c>
      <c r="K12" s="211">
        <v>5928.3712918631709</v>
      </c>
      <c r="L12" s="211">
        <v>6284.3733578180108</v>
      </c>
    </row>
    <row r="13" spans="5:13" x14ac:dyDescent="0.2">
      <c r="E13" s="207"/>
      <c r="F13" s="206" t="s">
        <v>247</v>
      </c>
      <c r="G13" s="214">
        <f t="shared" ref="G13:L13" si="0">G12/G11-1</f>
        <v>3.3846938844295238E-4</v>
      </c>
      <c r="H13" s="214">
        <f t="shared" si="0"/>
        <v>3.641286376292685E-3</v>
      </c>
      <c r="I13" s="214">
        <f t="shared" si="0"/>
        <v>9.2282575547859569E-3</v>
      </c>
      <c r="J13" s="214">
        <f t="shared" si="0"/>
        <v>1.5327844186679762E-2</v>
      </c>
      <c r="K13" s="214">
        <f t="shared" si="0"/>
        <v>2.1802524168769377E-2</v>
      </c>
      <c r="L13" s="214">
        <f t="shared" si="0"/>
        <v>2.824513185878752E-2</v>
      </c>
    </row>
    <row r="14" spans="5:13" x14ac:dyDescent="0.2">
      <c r="E14" s="208"/>
    </row>
    <row r="15" spans="5:13" x14ac:dyDescent="0.2">
      <c r="E15" s="207" t="s">
        <v>66</v>
      </c>
      <c r="F15" s="206" t="s">
        <v>18</v>
      </c>
      <c r="G15" s="212">
        <v>1469.1381563680409</v>
      </c>
      <c r="H15" s="212">
        <v>1643.8060020191515</v>
      </c>
      <c r="I15" s="212">
        <v>1836.6632796464928</v>
      </c>
      <c r="J15" s="212">
        <v>1993.4700260446202</v>
      </c>
      <c r="K15" s="212">
        <v>2164.4172227393592</v>
      </c>
      <c r="L15" s="212">
        <v>2342.1363827136092</v>
      </c>
    </row>
    <row r="16" spans="5:13" x14ac:dyDescent="0.2">
      <c r="E16" s="207" t="s">
        <v>80</v>
      </c>
      <c r="F16" s="206" t="s">
        <v>18</v>
      </c>
      <c r="G16" s="211">
        <v>1469.9961690269488</v>
      </c>
      <c r="H16" s="211">
        <v>1654.567926504342</v>
      </c>
      <c r="I16" s="211">
        <v>1866.2280182445725</v>
      </c>
      <c r="J16" s="211">
        <v>2045.9062108255407</v>
      </c>
      <c r="K16" s="211">
        <v>2243.3472686628684</v>
      </c>
      <c r="L16" s="211">
        <v>2450.4999562095404</v>
      </c>
    </row>
    <row r="17" spans="5:24" x14ac:dyDescent="0.2">
      <c r="E17" s="207"/>
      <c r="F17" s="206" t="s">
        <v>247</v>
      </c>
      <c r="G17" s="214">
        <f t="shared" ref="G17:L17" si="1">G16/G15-1</f>
        <v>5.8402448754657499E-4</v>
      </c>
      <c r="H17" s="214">
        <f t="shared" si="1"/>
        <v>6.5469553414279069E-3</v>
      </c>
      <c r="I17" s="214">
        <f t="shared" si="1"/>
        <v>1.6096983549303667E-2</v>
      </c>
      <c r="J17" s="214">
        <f t="shared" si="1"/>
        <v>2.6303974524745088E-2</v>
      </c>
      <c r="K17" s="214">
        <f t="shared" si="1"/>
        <v>3.6467112298992355E-2</v>
      </c>
      <c r="L17" s="214">
        <f t="shared" si="1"/>
        <v>4.6266978428634697E-2</v>
      </c>
    </row>
    <row r="18" spans="5:24" x14ac:dyDescent="0.2">
      <c r="E18" s="208"/>
    </row>
    <row r="19" spans="5:24" x14ac:dyDescent="0.2">
      <c r="E19" s="207" t="s">
        <v>66</v>
      </c>
      <c r="F19" s="206" t="s">
        <v>17</v>
      </c>
      <c r="G19" s="211">
        <v>448.98172809558019</v>
      </c>
      <c r="H19" s="211">
        <v>576.31498063296249</v>
      </c>
      <c r="I19" s="211">
        <v>668.51236878833515</v>
      </c>
      <c r="J19" s="211">
        <v>730.37409923160067</v>
      </c>
      <c r="K19" s="211">
        <v>799.49645513279881</v>
      </c>
      <c r="L19" s="211">
        <v>869.35936395361955</v>
      </c>
    </row>
    <row r="20" spans="5:24" x14ac:dyDescent="0.2">
      <c r="E20" s="207" t="s">
        <v>80</v>
      </c>
      <c r="F20" s="206" t="s">
        <v>17</v>
      </c>
      <c r="G20" s="211">
        <v>449.53346751772824</v>
      </c>
      <c r="H20" s="211">
        <v>583.11282538303442</v>
      </c>
      <c r="I20" s="211">
        <v>687.67947853655642</v>
      </c>
      <c r="J20" s="211">
        <v>765.28538642286685</v>
      </c>
      <c r="K20" s="211">
        <v>852.78619616542278</v>
      </c>
      <c r="L20" s="211">
        <v>942.32073519114294</v>
      </c>
    </row>
    <row r="21" spans="5:24" x14ac:dyDescent="0.2">
      <c r="E21" s="207"/>
      <c r="F21" s="206" t="s">
        <v>247</v>
      </c>
      <c r="G21" s="214">
        <f t="shared" ref="G21:L21" si="2">G20/G19-1</f>
        <v>1.2288683205179396E-3</v>
      </c>
      <c r="H21" s="214">
        <f t="shared" si="2"/>
        <v>1.1795363609333753E-2</v>
      </c>
      <c r="I21" s="214">
        <f t="shared" si="2"/>
        <v>2.8671286640457039E-2</v>
      </c>
      <c r="J21" s="214">
        <f t="shared" si="2"/>
        <v>4.7799185688532919E-2</v>
      </c>
      <c r="K21" s="214">
        <f t="shared" si="2"/>
        <v>6.6654130472376449E-2</v>
      </c>
      <c r="L21" s="214">
        <f t="shared" si="2"/>
        <v>8.3925444715651443E-2</v>
      </c>
    </row>
    <row r="22" spans="5:24" x14ac:dyDescent="0.2">
      <c r="E22" s="208"/>
    </row>
    <row r="23" spans="5:24" x14ac:dyDescent="0.2">
      <c r="E23" s="207" t="s">
        <v>66</v>
      </c>
      <c r="F23" s="206" t="s">
        <v>245</v>
      </c>
      <c r="G23" s="213">
        <v>7.8724598826444572E-2</v>
      </c>
      <c r="H23" s="213">
        <v>0.11429799091118463</v>
      </c>
      <c r="I23" s="213">
        <v>0.15166784374851963</v>
      </c>
      <c r="J23" s="213">
        <v>0.18993389502116029</v>
      </c>
      <c r="K23" s="213">
        <v>0.23655530317967416</v>
      </c>
      <c r="L23" s="213">
        <v>0.10961915784200513</v>
      </c>
    </row>
    <row r="24" spans="5:24" x14ac:dyDescent="0.2">
      <c r="E24" s="207" t="s">
        <v>80</v>
      </c>
      <c r="F24" s="206" t="s">
        <v>245</v>
      </c>
      <c r="G24" s="213">
        <v>7.8826114882716111E-2</v>
      </c>
      <c r="H24" s="213">
        <v>0.11569318611690502</v>
      </c>
      <c r="I24" s="213">
        <v>0.1561090502406729</v>
      </c>
      <c r="J24" s="213">
        <v>0.19911039463731908</v>
      </c>
      <c r="K24" s="213">
        <v>0.24238853097483723</v>
      </c>
      <c r="L24" s="213">
        <v>0.11</v>
      </c>
    </row>
    <row r="25" spans="5:24" ht="15.75" thickBot="1" x14ac:dyDescent="0.3">
      <c r="E25" s="207"/>
      <c r="F25" s="206" t="s">
        <v>247</v>
      </c>
      <c r="G25" s="214">
        <f t="shared" ref="G25:L25" si="3">G24/G23-1</f>
        <v>1.2895087149995543E-3</v>
      </c>
      <c r="H25" s="214">
        <f t="shared" si="3"/>
        <v>1.2206646806281363E-2</v>
      </c>
      <c r="I25" s="214">
        <f t="shared" si="3"/>
        <v>2.9282452907534173E-2</v>
      </c>
      <c r="J25" s="214">
        <f t="shared" si="3"/>
        <v>4.8314175914396129E-2</v>
      </c>
      <c r="K25" s="214">
        <f t="shared" si="3"/>
        <v>2.4659044700141353E-2</v>
      </c>
      <c r="L25" s="214">
        <f t="shared" si="3"/>
        <v>3.4742299201366844E-3</v>
      </c>
      <c r="N25" s="25" t="s">
        <v>388</v>
      </c>
    </row>
    <row r="26" spans="5:24" x14ac:dyDescent="0.2">
      <c r="E26" s="208"/>
      <c r="N26" s="258" t="s">
        <v>265</v>
      </c>
      <c r="O26" s="11"/>
      <c r="P26" s="11"/>
      <c r="Q26" s="11"/>
      <c r="R26" s="11"/>
      <c r="S26" s="11"/>
      <c r="T26" s="11"/>
      <c r="U26" s="11"/>
      <c r="V26" s="11"/>
      <c r="W26" s="11"/>
      <c r="X26" s="248"/>
    </row>
    <row r="27" spans="5:24" x14ac:dyDescent="0.2">
      <c r="E27" s="207" t="s">
        <v>66</v>
      </c>
      <c r="F27" s="206" t="s">
        <v>246</v>
      </c>
      <c r="G27" s="212">
        <v>1130.4515275358344</v>
      </c>
      <c r="H27" s="212">
        <v>1232.5198524796183</v>
      </c>
      <c r="I27" s="212">
        <v>1325.172596633181</v>
      </c>
      <c r="J27" s="212">
        <v>1383.275537115913</v>
      </c>
      <c r="K27" s="212">
        <v>1505.8747931009248</v>
      </c>
      <c r="L27" s="212">
        <v>1085.4021926591529</v>
      </c>
      <c r="N27" s="249"/>
      <c r="O27" s="9"/>
      <c r="P27" s="9"/>
      <c r="Q27" s="9"/>
      <c r="R27" s="9"/>
      <c r="S27" s="9"/>
      <c r="T27" s="9"/>
      <c r="U27" s="9"/>
      <c r="V27" s="9"/>
      <c r="W27" s="9"/>
      <c r="X27" s="10"/>
    </row>
    <row r="28" spans="5:24" x14ac:dyDescent="0.2">
      <c r="E28" s="207" t="s">
        <v>80</v>
      </c>
      <c r="F28" s="206" t="s">
        <v>246</v>
      </c>
      <c r="G28" s="212">
        <v>1131.8257350447711</v>
      </c>
      <c r="H28" s="212">
        <v>1249.6078309963432</v>
      </c>
      <c r="I28" s="212">
        <v>1367.5963684359201</v>
      </c>
      <c r="J28" s="212">
        <v>1453.1467504987354</v>
      </c>
      <c r="K28" s="212">
        <v>1573.9000883739136</v>
      </c>
      <c r="L28" s="212">
        <v>1129.1276563553665</v>
      </c>
      <c r="N28" s="120" t="s">
        <v>252</v>
      </c>
      <c r="O28" s="9"/>
      <c r="P28" s="9"/>
      <c r="Q28" s="9"/>
      <c r="R28" s="9"/>
      <c r="S28" s="9"/>
      <c r="T28" s="9"/>
      <c r="U28" s="9"/>
      <c r="V28" s="9"/>
      <c r="W28" s="9"/>
      <c r="X28" s="10"/>
    </row>
    <row r="29" spans="5:24" x14ac:dyDescent="0.2">
      <c r="F29" s="206" t="s">
        <v>247</v>
      </c>
      <c r="G29" s="214">
        <f t="shared" ref="G29:L29" si="4">G28/G27-1</f>
        <v>1.2156270971939165E-3</v>
      </c>
      <c r="H29" s="214">
        <f t="shared" si="4"/>
        <v>1.3864262293501239E-2</v>
      </c>
      <c r="I29" s="214">
        <f t="shared" si="4"/>
        <v>3.2013770817872045E-2</v>
      </c>
      <c r="J29" s="214">
        <f t="shared" si="4"/>
        <v>5.0511421266439482E-2</v>
      </c>
      <c r="K29" s="214">
        <f t="shared" si="4"/>
        <v>4.5173274421381304E-2</v>
      </c>
      <c r="L29" s="214">
        <f t="shared" si="4"/>
        <v>4.02850335036542E-2</v>
      </c>
      <c r="N29" s="120" t="s">
        <v>257</v>
      </c>
      <c r="O29" s="9"/>
      <c r="P29" s="9"/>
      <c r="Q29" s="9"/>
      <c r="R29" s="9"/>
      <c r="S29" s="9"/>
      <c r="T29" s="9"/>
      <c r="U29" s="9"/>
      <c r="V29" s="9"/>
      <c r="W29" s="9"/>
      <c r="X29" s="10"/>
    </row>
    <row r="30" spans="5:24" x14ac:dyDescent="0.2">
      <c r="N30" s="120" t="s">
        <v>258</v>
      </c>
      <c r="O30" s="9"/>
      <c r="P30" s="9"/>
      <c r="Q30" s="9"/>
      <c r="R30" s="9"/>
      <c r="S30" s="9"/>
      <c r="T30" s="9"/>
      <c r="U30" s="9"/>
      <c r="V30" s="9"/>
      <c r="W30" s="9"/>
      <c r="X30" s="10"/>
    </row>
    <row r="31" spans="5:24" x14ac:dyDescent="0.2">
      <c r="N31" s="120" t="s">
        <v>259</v>
      </c>
      <c r="O31" s="9"/>
      <c r="P31" s="9"/>
      <c r="Q31" s="9"/>
      <c r="R31" s="9"/>
      <c r="S31" s="9"/>
      <c r="T31" s="9"/>
      <c r="U31" s="9"/>
      <c r="V31" s="9"/>
      <c r="W31" s="9"/>
      <c r="X31" s="10"/>
    </row>
    <row r="32" spans="5:24" x14ac:dyDescent="0.2">
      <c r="N32" s="120" t="s">
        <v>249</v>
      </c>
      <c r="O32" s="9"/>
      <c r="P32" s="9"/>
      <c r="Q32" s="9"/>
      <c r="R32" s="9"/>
      <c r="S32" s="9"/>
      <c r="T32" s="9"/>
      <c r="U32" s="9"/>
      <c r="V32" s="9"/>
      <c r="W32" s="9"/>
      <c r="X32" s="10"/>
    </row>
    <row r="33" spans="14:24" x14ac:dyDescent="0.2">
      <c r="N33" s="249"/>
      <c r="O33" s="9"/>
      <c r="P33" s="9"/>
      <c r="Q33" s="9"/>
      <c r="R33" s="9"/>
      <c r="S33" s="9"/>
      <c r="T33" s="9"/>
      <c r="U33" s="9"/>
      <c r="V33" s="9"/>
      <c r="W33" s="9"/>
      <c r="X33" s="10"/>
    </row>
    <row r="34" spans="14:24" x14ac:dyDescent="0.2">
      <c r="N34" s="249"/>
      <c r="O34" s="9"/>
      <c r="P34" s="9"/>
      <c r="Q34" s="9"/>
      <c r="R34" s="260">
        <v>2014</v>
      </c>
      <c r="S34" s="260">
        <f t="shared" ref="S34:X34" si="5">R34+1</f>
        <v>2015</v>
      </c>
      <c r="T34" s="260">
        <f t="shared" si="5"/>
        <v>2016</v>
      </c>
      <c r="U34" s="260">
        <f t="shared" si="5"/>
        <v>2017</v>
      </c>
      <c r="V34" s="260">
        <f t="shared" si="5"/>
        <v>2018</v>
      </c>
      <c r="W34" s="260">
        <f t="shared" si="5"/>
        <v>2019</v>
      </c>
      <c r="X34" s="261">
        <f t="shared" si="5"/>
        <v>2020</v>
      </c>
    </row>
    <row r="35" spans="14:24" x14ac:dyDescent="0.2">
      <c r="N35" s="120" t="s">
        <v>254</v>
      </c>
      <c r="O35" s="9"/>
      <c r="P35" s="9"/>
      <c r="Q35" s="9"/>
      <c r="R35" s="262">
        <f>12.5*12</f>
        <v>150</v>
      </c>
      <c r="S35" s="263">
        <f t="shared" ref="S35:X35" si="6">R35*1.02</f>
        <v>153</v>
      </c>
      <c r="T35" s="263">
        <f t="shared" si="6"/>
        <v>156.06</v>
      </c>
      <c r="U35" s="263">
        <f t="shared" si="6"/>
        <v>159.18120000000002</v>
      </c>
      <c r="V35" s="263">
        <f t="shared" si="6"/>
        <v>162.36482400000003</v>
      </c>
      <c r="W35" s="263">
        <f t="shared" si="6"/>
        <v>165.61212048000004</v>
      </c>
      <c r="X35" s="264">
        <f t="shared" si="6"/>
        <v>168.92436288960005</v>
      </c>
    </row>
    <row r="36" spans="14:24" x14ac:dyDescent="0.2">
      <c r="N36" s="120" t="s">
        <v>251</v>
      </c>
      <c r="O36" s="9"/>
      <c r="P36" s="9"/>
      <c r="Q36" s="9"/>
      <c r="R36" s="265">
        <v>42</v>
      </c>
      <c r="S36" s="86"/>
      <c r="T36" s="86"/>
      <c r="U36" s="86"/>
      <c r="V36" s="86"/>
      <c r="W36" s="86"/>
      <c r="X36" s="266"/>
    </row>
    <row r="37" spans="14:24" x14ac:dyDescent="0.2">
      <c r="N37" s="120" t="s">
        <v>255</v>
      </c>
      <c r="O37" s="9"/>
      <c r="P37" s="9"/>
      <c r="Q37" s="9"/>
      <c r="R37" s="267">
        <f>(4188*0.1)/23000</f>
        <v>1.8208695652173913E-2</v>
      </c>
      <c r="S37" s="267">
        <f t="shared" ref="S37:X37" si="7">R37</f>
        <v>1.8208695652173913E-2</v>
      </c>
      <c r="T37" s="267">
        <f t="shared" si="7"/>
        <v>1.8208695652173913E-2</v>
      </c>
      <c r="U37" s="267">
        <f t="shared" si="7"/>
        <v>1.8208695652173913E-2</v>
      </c>
      <c r="V37" s="267">
        <f t="shared" si="7"/>
        <v>1.8208695652173913E-2</v>
      </c>
      <c r="W37" s="267">
        <f t="shared" si="7"/>
        <v>1.8208695652173913E-2</v>
      </c>
      <c r="X37" s="268">
        <f t="shared" si="7"/>
        <v>1.8208695652173913E-2</v>
      </c>
    </row>
    <row r="38" spans="14:24" x14ac:dyDescent="0.2">
      <c r="N38" s="120" t="s">
        <v>72</v>
      </c>
      <c r="O38" s="9"/>
      <c r="P38" s="9"/>
      <c r="Q38" s="9"/>
      <c r="R38" s="91">
        <v>0.05</v>
      </c>
      <c r="S38" s="91">
        <v>0.05</v>
      </c>
      <c r="T38" s="91">
        <v>0.05</v>
      </c>
      <c r="U38" s="91">
        <v>0.05</v>
      </c>
      <c r="V38" s="91">
        <v>0.05</v>
      </c>
      <c r="W38" s="91">
        <v>0.05</v>
      </c>
      <c r="X38" s="121">
        <v>0.05</v>
      </c>
    </row>
    <row r="39" spans="14:24" x14ac:dyDescent="0.2">
      <c r="N39" s="120" t="s">
        <v>248</v>
      </c>
      <c r="O39" s="9"/>
      <c r="P39" s="9"/>
      <c r="Q39" s="9"/>
      <c r="R39" s="91">
        <v>0.32</v>
      </c>
      <c r="S39" s="91">
        <v>0.32</v>
      </c>
      <c r="T39" s="91">
        <v>0.32</v>
      </c>
      <c r="U39" s="91">
        <v>0.32</v>
      </c>
      <c r="V39" s="91">
        <v>0.32</v>
      </c>
      <c r="W39" s="91">
        <v>0.32</v>
      </c>
      <c r="X39" s="121">
        <v>0.32</v>
      </c>
    </row>
    <row r="40" spans="14:24" x14ac:dyDescent="0.2">
      <c r="N40" s="120" t="s">
        <v>256</v>
      </c>
      <c r="O40" s="9"/>
      <c r="P40" s="9"/>
      <c r="Q40" s="9"/>
      <c r="R40" s="91">
        <v>0.03</v>
      </c>
      <c r="S40" s="91">
        <v>0.03</v>
      </c>
      <c r="T40" s="91">
        <v>0.03</v>
      </c>
      <c r="U40" s="91">
        <v>0.03</v>
      </c>
      <c r="V40" s="91">
        <v>0.03</v>
      </c>
      <c r="W40" s="91">
        <v>0.03</v>
      </c>
      <c r="X40" s="121">
        <v>0.03</v>
      </c>
    </row>
    <row r="41" spans="14:24" x14ac:dyDescent="0.2">
      <c r="N41" s="123" t="s">
        <v>250</v>
      </c>
      <c r="O41" s="12"/>
      <c r="P41" s="12"/>
      <c r="Q41" s="12"/>
      <c r="R41" s="269">
        <f>150/10080</f>
        <v>1.488095238095238E-2</v>
      </c>
      <c r="S41" s="269">
        <f t="shared" ref="S41:X41" si="8">150/10080</f>
        <v>1.488095238095238E-2</v>
      </c>
      <c r="T41" s="269">
        <f t="shared" si="8"/>
        <v>1.488095238095238E-2</v>
      </c>
      <c r="U41" s="269">
        <f t="shared" si="8"/>
        <v>1.488095238095238E-2</v>
      </c>
      <c r="V41" s="269">
        <f t="shared" si="8"/>
        <v>1.488095238095238E-2</v>
      </c>
      <c r="W41" s="269">
        <f t="shared" si="8"/>
        <v>1.488095238095238E-2</v>
      </c>
      <c r="X41" s="270">
        <f t="shared" si="8"/>
        <v>1.488095238095238E-2</v>
      </c>
    </row>
    <row r="42" spans="14:24" x14ac:dyDescent="0.2">
      <c r="N42" s="120" t="s">
        <v>253</v>
      </c>
      <c r="O42" s="9"/>
      <c r="P42" s="9"/>
      <c r="Q42" s="9"/>
      <c r="R42" s="267">
        <f>R35-SUM(R36:R41)</f>
        <v>107.56691035196687</v>
      </c>
      <c r="S42" s="267">
        <f t="shared" ref="S42:X42" si="9">S35-SUM(S36:S41)</f>
        <v>152.56691035196687</v>
      </c>
      <c r="T42" s="267">
        <f t="shared" si="9"/>
        <v>155.62691035196687</v>
      </c>
      <c r="U42" s="267">
        <f t="shared" si="9"/>
        <v>158.74811035196689</v>
      </c>
      <c r="V42" s="267">
        <f t="shared" si="9"/>
        <v>161.9317343519669</v>
      </c>
      <c r="W42" s="267">
        <f t="shared" si="9"/>
        <v>165.17903083196691</v>
      </c>
      <c r="X42" s="268">
        <f t="shared" si="9"/>
        <v>168.49127324156692</v>
      </c>
    </row>
    <row r="43" spans="14:24" x14ac:dyDescent="0.2">
      <c r="N43" s="249"/>
      <c r="O43" s="9"/>
      <c r="R43" s="9"/>
      <c r="S43" s="9"/>
      <c r="T43" s="9"/>
      <c r="U43" s="9"/>
      <c r="V43" s="9"/>
      <c r="W43" s="9"/>
      <c r="X43" s="10"/>
    </row>
    <row r="44" spans="14:24" x14ac:dyDescent="0.2">
      <c r="N44" s="249"/>
      <c r="O44" s="9"/>
      <c r="P44" s="217" t="s">
        <v>260</v>
      </c>
      <c r="Q44" s="218">
        <f>SUM(R42:X42)</f>
        <v>1070.1108798333682</v>
      </c>
      <c r="R44" s="9"/>
      <c r="S44" s="9"/>
      <c r="T44" s="254"/>
      <c r="U44" s="9"/>
      <c r="V44" s="9"/>
      <c r="W44" s="9"/>
      <c r="X44" s="10"/>
    </row>
    <row r="45" spans="14:24" x14ac:dyDescent="0.2">
      <c r="N45" s="249"/>
      <c r="O45" s="9"/>
      <c r="P45" s="120" t="s">
        <v>264</v>
      </c>
      <c r="Q45" s="259">
        <v>40000</v>
      </c>
      <c r="R45" s="9"/>
      <c r="S45" s="271" t="s">
        <v>266</v>
      </c>
      <c r="T45" s="272"/>
      <c r="U45" s="273">
        <f>Summary!G13</f>
        <v>26565.522280000001</v>
      </c>
      <c r="V45" s="9"/>
      <c r="W45" s="9"/>
      <c r="X45" s="10"/>
    </row>
    <row r="46" spans="14:24" x14ac:dyDescent="0.2">
      <c r="N46" s="120"/>
      <c r="O46" s="9"/>
      <c r="P46" s="246" t="s">
        <v>44</v>
      </c>
      <c r="Q46" s="247">
        <f>(Q45*Q44)/1000</f>
        <v>42804.435193334728</v>
      </c>
      <c r="R46" s="9"/>
      <c r="S46" s="274" t="s">
        <v>273</v>
      </c>
      <c r="T46" s="275"/>
      <c r="U46" s="276">
        <f>Q47</f>
        <v>26578.186533045257</v>
      </c>
      <c r="V46" s="9"/>
      <c r="W46" s="9"/>
      <c r="X46" s="10"/>
    </row>
    <row r="47" spans="14:24" x14ac:dyDescent="0.2">
      <c r="N47" s="249"/>
      <c r="O47" s="9"/>
      <c r="P47" s="123" t="s">
        <v>261</v>
      </c>
      <c r="Q47" s="219">
        <f>Q46/((1.1)^5)</f>
        <v>26578.186533045257</v>
      </c>
      <c r="R47" s="9"/>
      <c r="S47" s="277" t="s">
        <v>272</v>
      </c>
      <c r="T47" s="278"/>
      <c r="U47" s="279">
        <f>U45/U46-1</f>
        <v>-4.7649048702058661E-4</v>
      </c>
      <c r="V47" s="9"/>
      <c r="W47" s="9"/>
      <c r="X47" s="10"/>
    </row>
    <row r="48" spans="14:24" x14ac:dyDescent="0.2">
      <c r="N48" s="249"/>
      <c r="O48" s="9"/>
      <c r="R48" s="9"/>
      <c r="T48" s="9"/>
      <c r="V48" s="9"/>
      <c r="W48" s="9"/>
      <c r="X48" s="10"/>
    </row>
    <row r="49" spans="14:24" x14ac:dyDescent="0.2">
      <c r="N49" s="255"/>
      <c r="O49" s="12"/>
      <c r="P49" s="12"/>
      <c r="Q49" s="12"/>
      <c r="R49" s="12"/>
      <c r="S49" s="12"/>
      <c r="T49" s="12"/>
      <c r="U49" s="12"/>
      <c r="V49" s="12"/>
      <c r="W49" s="12"/>
      <c r="X49" s="256"/>
    </row>
    <row r="51" spans="14:24" x14ac:dyDescent="0.2">
      <c r="N51" s="258" t="s">
        <v>267</v>
      </c>
      <c r="O51" s="11"/>
      <c r="P51" s="11"/>
      <c r="Q51" s="11"/>
      <c r="R51" s="11"/>
      <c r="S51" s="11"/>
      <c r="T51" s="11"/>
      <c r="U51" s="11"/>
      <c r="V51" s="11"/>
      <c r="W51" s="11"/>
      <c r="X51" s="248"/>
    </row>
    <row r="52" spans="14:24" x14ac:dyDescent="0.2">
      <c r="N52" s="249"/>
      <c r="O52" s="9"/>
      <c r="P52" s="9"/>
      <c r="Q52" s="9"/>
      <c r="R52" s="9"/>
      <c r="S52" s="9"/>
      <c r="T52" s="9"/>
      <c r="U52" s="9"/>
      <c r="V52" s="9"/>
      <c r="W52" s="9"/>
      <c r="X52" s="10"/>
    </row>
    <row r="53" spans="14:24" x14ac:dyDescent="0.2">
      <c r="N53" s="249"/>
      <c r="O53" s="9"/>
      <c r="P53" s="9"/>
      <c r="Q53" s="9"/>
      <c r="R53" s="260">
        <v>2014</v>
      </c>
      <c r="S53" s="260">
        <f t="shared" ref="S53:X53" si="10">R53+1</f>
        <v>2015</v>
      </c>
      <c r="T53" s="260">
        <f t="shared" si="10"/>
        <v>2016</v>
      </c>
      <c r="U53" s="260">
        <f t="shared" si="10"/>
        <v>2017</v>
      </c>
      <c r="V53" s="260">
        <f t="shared" si="10"/>
        <v>2018</v>
      </c>
      <c r="W53" s="260">
        <f t="shared" si="10"/>
        <v>2019</v>
      </c>
      <c r="X53" s="261">
        <f t="shared" si="10"/>
        <v>2020</v>
      </c>
    </row>
    <row r="54" spans="14:24" x14ac:dyDescent="0.2">
      <c r="N54" s="120" t="s">
        <v>254</v>
      </c>
      <c r="O54" s="9"/>
      <c r="P54" s="9"/>
      <c r="Q54" s="9"/>
      <c r="R54" s="262">
        <f>12.5*12</f>
        <v>150</v>
      </c>
      <c r="S54" s="263">
        <f t="shared" ref="S54:X54" si="11">R54*1.02</f>
        <v>153</v>
      </c>
      <c r="T54" s="263">
        <f t="shared" si="11"/>
        <v>156.06</v>
      </c>
      <c r="U54" s="263">
        <f t="shared" si="11"/>
        <v>159.18120000000002</v>
      </c>
      <c r="V54" s="263">
        <f t="shared" si="11"/>
        <v>162.36482400000003</v>
      </c>
      <c r="W54" s="263">
        <f t="shared" si="11"/>
        <v>165.61212048000004</v>
      </c>
      <c r="X54" s="264">
        <f t="shared" si="11"/>
        <v>168.92436288960005</v>
      </c>
    </row>
    <row r="55" spans="14:24" x14ac:dyDescent="0.2">
      <c r="N55" s="120" t="s">
        <v>268</v>
      </c>
      <c r="O55" s="9"/>
      <c r="P55" s="9"/>
      <c r="Q55" s="9"/>
      <c r="R55" s="87">
        <v>0.59499999999999997</v>
      </c>
      <c r="S55" s="87">
        <f t="shared" ref="S55:X55" si="12">R55+0.0025</f>
        <v>0.59749999999999992</v>
      </c>
      <c r="T55" s="87">
        <f t="shared" si="12"/>
        <v>0.59999999999999987</v>
      </c>
      <c r="U55" s="87">
        <f t="shared" si="12"/>
        <v>0.60249999999999981</v>
      </c>
      <c r="V55" s="87">
        <f t="shared" si="12"/>
        <v>0.60499999999999976</v>
      </c>
      <c r="W55" s="87">
        <f t="shared" si="12"/>
        <v>0.60749999999999971</v>
      </c>
      <c r="X55" s="122">
        <f t="shared" si="12"/>
        <v>0.60999999999999965</v>
      </c>
    </row>
    <row r="56" spans="14:24" x14ac:dyDescent="0.2">
      <c r="N56" s="120" t="s">
        <v>223</v>
      </c>
      <c r="O56" s="9"/>
      <c r="P56" s="9"/>
      <c r="Q56" s="9"/>
      <c r="R56" s="87">
        <v>1.7999999999999999E-2</v>
      </c>
      <c r="S56" s="87">
        <f t="shared" ref="S56:X56" si="13">R56</f>
        <v>1.7999999999999999E-2</v>
      </c>
      <c r="T56" s="87">
        <f t="shared" si="13"/>
        <v>1.7999999999999999E-2</v>
      </c>
      <c r="U56" s="87">
        <f t="shared" si="13"/>
        <v>1.7999999999999999E-2</v>
      </c>
      <c r="V56" s="87">
        <f t="shared" si="13"/>
        <v>1.7999999999999999E-2</v>
      </c>
      <c r="W56" s="87">
        <f t="shared" si="13"/>
        <v>1.7999999999999999E-2</v>
      </c>
      <c r="X56" s="122">
        <f t="shared" si="13"/>
        <v>1.7999999999999999E-2</v>
      </c>
    </row>
    <row r="57" spans="14:24" x14ac:dyDescent="0.2">
      <c r="N57" s="120" t="s">
        <v>269</v>
      </c>
      <c r="O57" s="9"/>
      <c r="P57" s="9"/>
      <c r="Q57" s="9"/>
      <c r="R57" s="87">
        <v>0.1</v>
      </c>
      <c r="S57" s="87">
        <v>0.1</v>
      </c>
      <c r="T57" s="87">
        <v>0.1</v>
      </c>
      <c r="U57" s="87">
        <v>0.1</v>
      </c>
      <c r="V57" s="87">
        <v>0.1</v>
      </c>
      <c r="W57" s="87">
        <v>0.1</v>
      </c>
      <c r="X57" s="122">
        <v>0.1</v>
      </c>
    </row>
    <row r="58" spans="14:24" x14ac:dyDescent="0.2">
      <c r="N58" s="120" t="s">
        <v>270</v>
      </c>
      <c r="O58" s="9"/>
      <c r="P58" s="9"/>
      <c r="Q58" s="9"/>
      <c r="R58" s="91">
        <f>(R54*R55)/(R56+R57)</f>
        <v>756.35593220338978</v>
      </c>
      <c r="S58" s="91">
        <f t="shared" ref="S58:X58" si="14">(S54*S55)/(S56+S57)</f>
        <v>774.72457627118627</v>
      </c>
      <c r="T58" s="91">
        <f t="shared" si="14"/>
        <v>793.52542372881339</v>
      </c>
      <c r="U58" s="91">
        <f t="shared" si="14"/>
        <v>812.76841525423708</v>
      </c>
      <c r="V58" s="91">
        <f t="shared" si="14"/>
        <v>832.46371627118629</v>
      </c>
      <c r="W58" s="91">
        <f t="shared" si="14"/>
        <v>852.6217219627116</v>
      </c>
      <c r="X58" s="121">
        <f t="shared" si="14"/>
        <v>873.25306239538952</v>
      </c>
    </row>
    <row r="59" spans="14:24" x14ac:dyDescent="0.2">
      <c r="N59" s="120"/>
      <c r="O59" s="9"/>
      <c r="P59" s="9"/>
      <c r="Q59" s="9"/>
      <c r="R59" s="252"/>
      <c r="S59" s="252"/>
      <c r="T59" s="252"/>
      <c r="U59" s="252"/>
      <c r="V59" s="252"/>
      <c r="W59" s="252"/>
      <c r="X59" s="253"/>
    </row>
    <row r="60" spans="14:24" x14ac:dyDescent="0.2">
      <c r="N60" s="123" t="s">
        <v>275</v>
      </c>
      <c r="O60" s="12"/>
      <c r="P60" s="12"/>
      <c r="Q60" s="12"/>
      <c r="R60" s="280">
        <f>U45</f>
        <v>26565.522280000001</v>
      </c>
      <c r="S60" s="280">
        <f t="shared" ref="S60:X60" si="15">R60*1.05</f>
        <v>27893.798394000001</v>
      </c>
      <c r="T60" s="280">
        <f t="shared" si="15"/>
        <v>29288.488313700003</v>
      </c>
      <c r="U60" s="280">
        <f t="shared" si="15"/>
        <v>30752.912729385003</v>
      </c>
      <c r="V60" s="280">
        <f t="shared" si="15"/>
        <v>32290.558365854256</v>
      </c>
      <c r="W60" s="280">
        <f t="shared" si="15"/>
        <v>33905.086284146972</v>
      </c>
      <c r="X60" s="288">
        <f t="shared" si="15"/>
        <v>35600.34059835432</v>
      </c>
    </row>
    <row r="61" spans="14:24" x14ac:dyDescent="0.2">
      <c r="N61" s="120"/>
      <c r="O61" s="9"/>
      <c r="P61" s="9"/>
      <c r="Q61" s="9"/>
      <c r="R61" s="251"/>
      <c r="S61" s="251"/>
      <c r="T61" s="251"/>
      <c r="U61" s="251"/>
      <c r="V61" s="251"/>
      <c r="W61" s="251"/>
      <c r="X61" s="247"/>
    </row>
    <row r="62" spans="14:24" x14ac:dyDescent="0.2">
      <c r="N62" s="249"/>
      <c r="O62" s="9"/>
      <c r="P62" s="217" t="s">
        <v>271</v>
      </c>
      <c r="Q62" s="218">
        <v>873.25</v>
      </c>
      <c r="R62" s="281"/>
      <c r="S62" s="281"/>
      <c r="T62" s="281"/>
      <c r="U62" s="281"/>
      <c r="V62" s="9"/>
      <c r="W62" s="9"/>
      <c r="X62" s="10"/>
    </row>
    <row r="63" spans="14:24" x14ac:dyDescent="0.2">
      <c r="N63" s="249"/>
      <c r="O63" s="9"/>
      <c r="P63" s="120" t="s">
        <v>264</v>
      </c>
      <c r="Q63" s="259">
        <v>40000</v>
      </c>
      <c r="R63" s="281"/>
      <c r="S63" s="282"/>
      <c r="T63" s="283"/>
      <c r="U63" s="284"/>
      <c r="V63" s="9"/>
      <c r="W63" s="9"/>
      <c r="X63" s="10"/>
    </row>
    <row r="64" spans="14:24" x14ac:dyDescent="0.2">
      <c r="N64" s="249"/>
      <c r="O64" s="9"/>
      <c r="P64" s="246" t="s">
        <v>44</v>
      </c>
      <c r="Q64" s="247">
        <f>(Q63*Q62)/1000</f>
        <v>34930</v>
      </c>
      <c r="R64" s="281"/>
      <c r="S64" s="282"/>
      <c r="T64" s="283"/>
      <c r="U64" s="284"/>
      <c r="V64" s="9"/>
      <c r="W64" s="9"/>
      <c r="X64" s="10"/>
    </row>
    <row r="65" spans="14:24" x14ac:dyDescent="0.2">
      <c r="N65" s="120"/>
      <c r="O65" s="9"/>
      <c r="P65" s="286" t="s">
        <v>274</v>
      </c>
      <c r="Q65" s="287">
        <v>0.05</v>
      </c>
      <c r="S65" s="282"/>
      <c r="T65" s="283"/>
      <c r="U65" s="285"/>
      <c r="V65" s="9"/>
      <c r="W65" s="9"/>
      <c r="X65" s="10"/>
    </row>
    <row r="66" spans="14:24" x14ac:dyDescent="0.2">
      <c r="N66" s="249"/>
      <c r="O66" s="9"/>
      <c r="P66" s="289" t="s">
        <v>276</v>
      </c>
      <c r="Q66" s="290">
        <f>X60</f>
        <v>35600.34059835432</v>
      </c>
      <c r="R66" s="281"/>
      <c r="S66" s="9"/>
      <c r="T66" s="250"/>
      <c r="U66" s="9"/>
      <c r="V66" s="9"/>
      <c r="W66" s="9"/>
      <c r="X66" s="10"/>
    </row>
    <row r="67" spans="14:24" x14ac:dyDescent="0.2">
      <c r="N67" s="249"/>
      <c r="O67" s="9"/>
      <c r="P67" s="286" t="s">
        <v>277</v>
      </c>
      <c r="Q67" s="291">
        <f>Q66/Q64-1</f>
        <v>1.9190970465339907E-2</v>
      </c>
      <c r="R67" s="9"/>
      <c r="S67" s="88"/>
      <c r="T67" s="9"/>
      <c r="U67" s="257"/>
      <c r="V67" s="9"/>
      <c r="W67" s="9"/>
      <c r="X67" s="10"/>
    </row>
    <row r="68" spans="14:24" x14ac:dyDescent="0.2">
      <c r="N68" s="255"/>
      <c r="O68" s="12"/>
      <c r="P68" s="12"/>
      <c r="Q68" s="12"/>
      <c r="R68" s="12"/>
      <c r="S68" s="12"/>
      <c r="T68" s="12"/>
      <c r="U68" s="12"/>
      <c r="V68" s="12"/>
      <c r="W68" s="12"/>
      <c r="X68" s="256"/>
    </row>
    <row r="74" spans="14:24" x14ac:dyDescent="0.2"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</row>
  </sheetData>
  <pageMargins left="0.7" right="0.7" top="0.75" bottom="0.75" header="0.3" footer="0.3"/>
  <pageSetup scale="8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AI159"/>
  <sheetViews>
    <sheetView showGridLines="0" view="pageBreakPreview" zoomScale="85" zoomScaleNormal="85" zoomScaleSheetLayoutView="85" workbookViewId="0">
      <selection activeCell="E4" sqref="E4"/>
    </sheetView>
  </sheetViews>
  <sheetFormatPr defaultColWidth="8.83203125" defaultRowHeight="15" x14ac:dyDescent="0.25"/>
  <cols>
    <col min="1" max="1" width="13.33203125" style="38" customWidth="1"/>
    <col min="2" max="2" width="31.83203125" style="38" customWidth="1"/>
    <col min="3" max="4" width="19.6640625" style="38" customWidth="1"/>
    <col min="5" max="5" width="11.83203125" style="38" customWidth="1"/>
    <col min="6" max="10" width="10.83203125" style="38" customWidth="1"/>
    <col min="11" max="13" width="8.83203125" style="38"/>
    <col min="14" max="14" width="11.1640625" style="38" bestFit="1" customWidth="1"/>
    <col min="15" max="16384" width="8.83203125" style="38"/>
  </cols>
  <sheetData>
    <row r="2" spans="1:15" ht="15.75" thickBot="1" x14ac:dyDescent="0.3">
      <c r="B2" s="25" t="s">
        <v>67</v>
      </c>
      <c r="C2" s="25"/>
      <c r="D2" s="25"/>
      <c r="E2" s="25"/>
      <c r="F2" s="25"/>
      <c r="G2" s="25"/>
      <c r="H2" s="25"/>
      <c r="I2" s="25"/>
      <c r="J2" s="29"/>
    </row>
    <row r="3" spans="1:15" x14ac:dyDescent="0.25">
      <c r="B3" s="29" t="s">
        <v>235</v>
      </c>
      <c r="C3" s="29"/>
      <c r="D3" s="29"/>
      <c r="E3" s="29"/>
    </row>
    <row r="4" spans="1:15" x14ac:dyDescent="0.25">
      <c r="B4" s="29"/>
      <c r="C4" s="29" t="s">
        <v>310</v>
      </c>
      <c r="D4" s="29"/>
      <c r="E4" s="338">
        <v>1</v>
      </c>
      <c r="G4" s="38" t="s">
        <v>311</v>
      </c>
    </row>
    <row r="5" spans="1:15" x14ac:dyDescent="0.25">
      <c r="B5" s="29"/>
      <c r="C5" s="29"/>
      <c r="D5" s="29"/>
      <c r="E5" s="29"/>
    </row>
    <row r="6" spans="1:15" x14ac:dyDescent="0.25">
      <c r="E6" s="137" t="s">
        <v>71</v>
      </c>
      <c r="F6" s="137" t="s">
        <v>87</v>
      </c>
      <c r="G6" s="137" t="s">
        <v>65</v>
      </c>
      <c r="H6" s="137" t="s">
        <v>124</v>
      </c>
      <c r="I6" s="137" t="s">
        <v>125</v>
      </c>
    </row>
    <row r="7" spans="1:15" x14ac:dyDescent="0.25">
      <c r="D7" s="124"/>
      <c r="E7" s="137"/>
      <c r="F7" s="137"/>
      <c r="G7" s="137"/>
      <c r="H7" s="137"/>
      <c r="I7" s="137"/>
    </row>
    <row r="8" spans="1:15" x14ac:dyDescent="0.25">
      <c r="A8" s="139"/>
      <c r="B8" s="97" t="s">
        <v>218</v>
      </c>
      <c r="C8" s="140">
        <f>E4</f>
        <v>1</v>
      </c>
      <c r="D8" s="141"/>
      <c r="E8" s="96">
        <f>CHOOSE($C$8,E10,E11,E12)</f>
        <v>17750</v>
      </c>
      <c r="F8" s="96">
        <f>CHOOSE($C$8,F10,F11,F12)</f>
        <v>17750</v>
      </c>
      <c r="G8" s="96">
        <f>CHOOSE($C$8,G10,G11,G12)</f>
        <v>17750</v>
      </c>
      <c r="H8" s="96">
        <f>CHOOSE($C$8,H10,H11,H12)</f>
        <v>17750</v>
      </c>
      <c r="I8" s="96">
        <f>CHOOSE($C$8,I10,I11,I12)</f>
        <v>17750</v>
      </c>
    </row>
    <row r="9" spans="1:15" x14ac:dyDescent="0.25">
      <c r="A9" s="139"/>
      <c r="B9" s="97"/>
      <c r="C9" s="97"/>
      <c r="D9" s="364"/>
    </row>
    <row r="10" spans="1:15" x14ac:dyDescent="0.25">
      <c r="B10" s="138" t="s">
        <v>220</v>
      </c>
      <c r="C10" s="138"/>
      <c r="D10" s="138"/>
      <c r="E10" s="76">
        <v>17750</v>
      </c>
      <c r="F10" s="76">
        <f>E10</f>
        <v>17750</v>
      </c>
      <c r="G10" s="76">
        <f>F10</f>
        <v>17750</v>
      </c>
      <c r="H10" s="76">
        <f>G10</f>
        <v>17750</v>
      </c>
      <c r="I10" s="76">
        <f>H10</f>
        <v>17750</v>
      </c>
    </row>
    <row r="11" spans="1:15" x14ac:dyDescent="0.25">
      <c r="B11" s="138" t="s">
        <v>221</v>
      </c>
      <c r="C11" s="138"/>
      <c r="D11" s="138"/>
      <c r="E11" s="76">
        <v>18000</v>
      </c>
      <c r="F11" s="76">
        <f>E11</f>
        <v>18000</v>
      </c>
      <c r="G11" s="76">
        <v>18000</v>
      </c>
      <c r="H11" s="76">
        <v>18000</v>
      </c>
      <c r="I11" s="76">
        <v>18000</v>
      </c>
      <c r="N11" s="101">
        <f>LTV!P52/(0.018+0.07)</f>
        <v>0</v>
      </c>
    </row>
    <row r="12" spans="1:15" x14ac:dyDescent="0.25">
      <c r="B12" s="138" t="s">
        <v>222</v>
      </c>
      <c r="C12" s="138"/>
      <c r="D12" s="138"/>
      <c r="E12" s="76">
        <f>E10-500</f>
        <v>17250</v>
      </c>
      <c r="F12" s="76">
        <f>F10-500</f>
        <v>17250</v>
      </c>
      <c r="G12" s="76">
        <f>G10-500</f>
        <v>17250</v>
      </c>
      <c r="H12" s="76">
        <f>H10-500</f>
        <v>17250</v>
      </c>
      <c r="I12" s="76">
        <f>I10-500</f>
        <v>17250</v>
      </c>
      <c r="N12" s="38">
        <f>(150*0.6)</f>
        <v>90</v>
      </c>
      <c r="O12" s="93">
        <v>0.11799999999999999</v>
      </c>
    </row>
    <row r="13" spans="1:15" x14ac:dyDescent="0.25">
      <c r="D13" s="124"/>
      <c r="N13" s="101"/>
    </row>
    <row r="14" spans="1:15" x14ac:dyDescent="0.25">
      <c r="B14" s="97" t="s">
        <v>61</v>
      </c>
      <c r="C14" s="140">
        <f>C8</f>
        <v>1</v>
      </c>
      <c r="D14" s="141"/>
      <c r="E14" s="92">
        <f>CHOOSE($C$14,E16,E17,E18)</f>
        <v>0.4</v>
      </c>
      <c r="F14" s="92">
        <f>CHOOSE($C$14,F16,F17,F18)</f>
        <v>0.39</v>
      </c>
      <c r="G14" s="92">
        <f>CHOOSE($C$14,G16,G17,G18)</f>
        <v>0.38</v>
      </c>
      <c r="H14" s="92">
        <f>CHOOSE($C$14,H16,H17,H18)</f>
        <v>0.37</v>
      </c>
      <c r="I14" s="92">
        <f>CHOOSE($C$14,I16,I17,I18)</f>
        <v>0.36</v>
      </c>
    </row>
    <row r="15" spans="1:15" x14ac:dyDescent="0.25">
      <c r="B15" s="97"/>
      <c r="C15" s="97"/>
      <c r="D15" s="364"/>
      <c r="E15" s="137"/>
      <c r="F15" s="137"/>
      <c r="G15" s="137"/>
      <c r="H15" s="137"/>
      <c r="I15" s="137"/>
    </row>
    <row r="16" spans="1:15" x14ac:dyDescent="0.25">
      <c r="B16" s="138" t="s">
        <v>220</v>
      </c>
      <c r="C16" s="138"/>
      <c r="D16" s="138"/>
      <c r="E16" s="75">
        <v>0.4</v>
      </c>
      <c r="F16" s="75">
        <f t="shared" ref="F16:I18" si="0">E16-0.01</f>
        <v>0.39</v>
      </c>
      <c r="G16" s="75">
        <f t="shared" si="0"/>
        <v>0.38</v>
      </c>
      <c r="H16" s="75">
        <f t="shared" si="0"/>
        <v>0.37</v>
      </c>
      <c r="I16" s="75">
        <f t="shared" si="0"/>
        <v>0.36</v>
      </c>
    </row>
    <row r="17" spans="2:9" x14ac:dyDescent="0.25">
      <c r="B17" s="138" t="s">
        <v>221</v>
      </c>
      <c r="C17" s="138"/>
      <c r="D17" s="138"/>
      <c r="E17" s="75">
        <v>0.42</v>
      </c>
      <c r="F17" s="75">
        <f t="shared" si="0"/>
        <v>0.41</v>
      </c>
      <c r="G17" s="75">
        <f t="shared" si="0"/>
        <v>0.39999999999999997</v>
      </c>
      <c r="H17" s="75">
        <f t="shared" si="0"/>
        <v>0.38999999999999996</v>
      </c>
      <c r="I17" s="75">
        <f t="shared" si="0"/>
        <v>0.37999999999999995</v>
      </c>
    </row>
    <row r="18" spans="2:9" x14ac:dyDescent="0.25">
      <c r="B18" s="138" t="s">
        <v>222</v>
      </c>
      <c r="C18" s="138"/>
      <c r="D18" s="138"/>
      <c r="E18" s="75">
        <v>0.37</v>
      </c>
      <c r="F18" s="75">
        <f t="shared" si="0"/>
        <v>0.36</v>
      </c>
      <c r="G18" s="75">
        <f t="shared" si="0"/>
        <v>0.35</v>
      </c>
      <c r="H18" s="75">
        <f t="shared" si="0"/>
        <v>0.33999999999999997</v>
      </c>
      <c r="I18" s="75">
        <f t="shared" si="0"/>
        <v>0.32999999999999996</v>
      </c>
    </row>
    <row r="19" spans="2:9" x14ac:dyDescent="0.25">
      <c r="D19" s="124"/>
    </row>
    <row r="20" spans="2:9" x14ac:dyDescent="0.25">
      <c r="B20" s="97" t="s">
        <v>219</v>
      </c>
      <c r="C20" s="140">
        <f>C14</f>
        <v>1</v>
      </c>
      <c r="D20" s="141"/>
      <c r="E20" s="92">
        <f>CHOOSE($C$20,E22,E23,E24)</f>
        <v>0.32</v>
      </c>
      <c r="F20" s="92">
        <f>CHOOSE($C$20,F22,F23,F24)</f>
        <v>0.31</v>
      </c>
      <c r="G20" s="92">
        <f>CHOOSE($C$20,G22,G23,G24)</f>
        <v>0.3</v>
      </c>
      <c r="H20" s="92">
        <f>CHOOSE($C$20,H22,H23,H24)</f>
        <v>0.28999999999999998</v>
      </c>
      <c r="I20" s="92">
        <f>CHOOSE($C$20,I22,I23,I24)</f>
        <v>0.28000000000000003</v>
      </c>
    </row>
    <row r="21" spans="2:9" x14ac:dyDescent="0.25">
      <c r="B21" s="97"/>
      <c r="C21" s="141"/>
      <c r="D21" s="141"/>
      <c r="E21" s="92"/>
      <c r="F21" s="92"/>
      <c r="G21" s="92"/>
      <c r="H21" s="92"/>
      <c r="I21" s="92"/>
    </row>
    <row r="22" spans="2:9" x14ac:dyDescent="0.25">
      <c r="B22" s="138" t="s">
        <v>220</v>
      </c>
      <c r="C22" s="138"/>
      <c r="D22" s="138"/>
      <c r="E22" s="71">
        <v>0.32</v>
      </c>
      <c r="F22" s="71">
        <v>0.31</v>
      </c>
      <c r="G22" s="71">
        <v>0.3</v>
      </c>
      <c r="H22" s="71">
        <v>0.28999999999999998</v>
      </c>
      <c r="I22" s="71">
        <v>0.28000000000000003</v>
      </c>
    </row>
    <row r="23" spans="2:9" x14ac:dyDescent="0.25">
      <c r="B23" s="138" t="s">
        <v>221</v>
      </c>
      <c r="C23" s="138"/>
      <c r="D23" s="138"/>
      <c r="E23" s="71">
        <v>0.33</v>
      </c>
      <c r="F23" s="71">
        <f>E23-0.005</f>
        <v>0.32500000000000001</v>
      </c>
      <c r="G23" s="71">
        <f>F23-0.005</f>
        <v>0.32</v>
      </c>
      <c r="H23" s="71">
        <f>G23-0.005</f>
        <v>0.315</v>
      </c>
      <c r="I23" s="71">
        <f>H23-0.005</f>
        <v>0.31</v>
      </c>
    </row>
    <row r="24" spans="2:9" x14ac:dyDescent="0.25">
      <c r="B24" s="138" t="s">
        <v>222</v>
      </c>
      <c r="C24" s="138"/>
      <c r="D24" s="138"/>
      <c r="E24" s="75">
        <v>0.3</v>
      </c>
      <c r="F24" s="75">
        <f>E24-0.02</f>
        <v>0.27999999999999997</v>
      </c>
      <c r="G24" s="75">
        <v>0.27</v>
      </c>
      <c r="H24" s="75">
        <v>0.26</v>
      </c>
      <c r="I24" s="75">
        <v>0.25</v>
      </c>
    </row>
    <row r="25" spans="2:9" x14ac:dyDescent="0.25">
      <c r="D25" s="124"/>
    </row>
    <row r="26" spans="2:9" x14ac:dyDescent="0.25">
      <c r="B26" s="97" t="s">
        <v>187</v>
      </c>
      <c r="C26" s="140">
        <f>C20</f>
        <v>1</v>
      </c>
      <c r="D26" s="141"/>
      <c r="E26" s="92">
        <f>CHOOSE($C$26,E28,E29,E30)</f>
        <v>1.7999999999999999E-2</v>
      </c>
      <c r="F26" s="92">
        <f>CHOOSE($C$26,F28,F29,F30)</f>
        <v>1.7999999999999999E-2</v>
      </c>
      <c r="G26" s="92">
        <f>CHOOSE($C$26,G28,G29,G30)</f>
        <v>1.7999999999999999E-2</v>
      </c>
      <c r="H26" s="92">
        <f>CHOOSE($C$26,H28,H29,H30)</f>
        <v>1.7999999999999999E-2</v>
      </c>
      <c r="I26" s="92">
        <f>CHOOSE($C$26,I28,I29,I30)</f>
        <v>1.7999999999999999E-2</v>
      </c>
    </row>
    <row r="27" spans="2:9" x14ac:dyDescent="0.25">
      <c r="B27" s="97"/>
      <c r="C27" s="141"/>
      <c r="D27" s="141"/>
      <c r="E27" s="92"/>
      <c r="F27" s="92"/>
      <c r="G27" s="92"/>
      <c r="H27" s="92"/>
      <c r="I27" s="92"/>
    </row>
    <row r="28" spans="2:9" x14ac:dyDescent="0.25">
      <c r="B28" s="138" t="s">
        <v>220</v>
      </c>
      <c r="C28" s="138"/>
      <c r="D28" s="138"/>
      <c r="E28" s="71">
        <v>1.7999999999999999E-2</v>
      </c>
      <c r="F28" s="71">
        <v>1.7999999999999999E-2</v>
      </c>
      <c r="G28" s="71">
        <v>1.7999999999999999E-2</v>
      </c>
      <c r="H28" s="71">
        <v>1.7999999999999999E-2</v>
      </c>
      <c r="I28" s="71">
        <v>1.7999999999999999E-2</v>
      </c>
    </row>
    <row r="29" spans="2:9" x14ac:dyDescent="0.25">
      <c r="B29" s="138" t="s">
        <v>221</v>
      </c>
      <c r="C29" s="138"/>
      <c r="D29" s="138"/>
      <c r="E29" s="71">
        <v>1.7000000000000001E-2</v>
      </c>
      <c r="F29" s="71">
        <v>1.7000000000000001E-2</v>
      </c>
      <c r="G29" s="71">
        <v>1.7000000000000001E-2</v>
      </c>
      <c r="H29" s="71">
        <v>1.7000000000000001E-2</v>
      </c>
      <c r="I29" s="71">
        <v>1.7000000000000001E-2</v>
      </c>
    </row>
    <row r="30" spans="2:9" x14ac:dyDescent="0.25">
      <c r="B30" s="138" t="s">
        <v>222</v>
      </c>
      <c r="C30" s="138"/>
      <c r="D30" s="138"/>
      <c r="E30" s="75">
        <v>2.1000000000000001E-2</v>
      </c>
      <c r="F30" s="75">
        <v>2.1000000000000001E-2</v>
      </c>
      <c r="G30" s="75">
        <v>2.1000000000000001E-2</v>
      </c>
      <c r="H30" s="75">
        <v>2.1000000000000001E-2</v>
      </c>
      <c r="I30" s="75">
        <v>2.1000000000000001E-2</v>
      </c>
    </row>
    <row r="31" spans="2:9" x14ac:dyDescent="0.25">
      <c r="D31" s="124"/>
    </row>
    <row r="32" spans="2:9" x14ac:dyDescent="0.25">
      <c r="B32" s="97" t="s">
        <v>123</v>
      </c>
      <c r="C32" s="140">
        <f>C26</f>
        <v>1</v>
      </c>
      <c r="D32" s="141"/>
      <c r="E32" s="92">
        <f>CHOOSE($C$32,E34,E35,E36)</f>
        <v>1.4E-2</v>
      </c>
      <c r="F32" s="92">
        <f>CHOOSE($C$32,F34,F35,F36)</f>
        <v>1.4999999999999999E-2</v>
      </c>
      <c r="G32" s="92">
        <f>CHOOSE($C$32,G34,G35,G36)</f>
        <v>1.6E-2</v>
      </c>
      <c r="H32" s="92">
        <f>CHOOSE($C$32,H34,H35,H36)</f>
        <v>1.7000000000000001E-2</v>
      </c>
      <c r="I32" s="92">
        <f>CHOOSE($C$32,I34,I35,I36)</f>
        <v>1.8000000000000002E-2</v>
      </c>
    </row>
    <row r="33" spans="2:35" x14ac:dyDescent="0.25">
      <c r="B33" s="97"/>
      <c r="C33" s="141"/>
      <c r="D33" s="141"/>
      <c r="E33" s="92"/>
      <c r="F33" s="92"/>
      <c r="G33" s="92"/>
      <c r="H33" s="92"/>
      <c r="I33" s="92"/>
    </row>
    <row r="34" spans="2:35" x14ac:dyDescent="0.25">
      <c r="B34" s="138" t="s">
        <v>220</v>
      </c>
      <c r="C34" s="138"/>
      <c r="D34" s="138"/>
      <c r="E34" s="70">
        <v>1.4E-2</v>
      </c>
      <c r="F34" s="70">
        <f>E34+0.001</f>
        <v>1.4999999999999999E-2</v>
      </c>
      <c r="G34" s="70">
        <f>F34+0.001</f>
        <v>1.6E-2</v>
      </c>
      <c r="H34" s="70">
        <f>G34+0.001</f>
        <v>1.7000000000000001E-2</v>
      </c>
      <c r="I34" s="70">
        <f>H34+0.001</f>
        <v>1.8000000000000002E-2</v>
      </c>
    </row>
    <row r="35" spans="2:35" x14ac:dyDescent="0.25">
      <c r="B35" s="138" t="s">
        <v>221</v>
      </c>
      <c r="C35" s="138"/>
      <c r="D35" s="138"/>
      <c r="E35" s="70">
        <v>1.2500000000000001E-2</v>
      </c>
      <c r="F35" s="70">
        <v>1.2999999999999999E-2</v>
      </c>
      <c r="G35" s="70">
        <f>F35+0.0005</f>
        <v>1.35E-2</v>
      </c>
      <c r="H35" s="70">
        <f>G35+0.0005</f>
        <v>1.4E-2</v>
      </c>
      <c r="I35" s="70">
        <f>H35+0.0005</f>
        <v>1.4500000000000001E-2</v>
      </c>
    </row>
    <row r="36" spans="2:35" x14ac:dyDescent="0.25">
      <c r="B36" s="138" t="s">
        <v>222</v>
      </c>
      <c r="C36" s="138"/>
      <c r="D36" s="138"/>
      <c r="E36" s="337">
        <v>1.4999999999999999E-2</v>
      </c>
      <c r="F36" s="337">
        <f>E36+0.0015</f>
        <v>1.6500000000000001E-2</v>
      </c>
      <c r="G36" s="337">
        <f>F36+0.0015</f>
        <v>1.8000000000000002E-2</v>
      </c>
      <c r="H36" s="337">
        <f>G36+0.0015</f>
        <v>1.9500000000000003E-2</v>
      </c>
      <c r="I36" s="337">
        <f>H36+0.0015</f>
        <v>2.1000000000000005E-2</v>
      </c>
    </row>
    <row r="37" spans="2:35" x14ac:dyDescent="0.25">
      <c r="D37" s="124"/>
    </row>
    <row r="38" spans="2:35" x14ac:dyDescent="0.25">
      <c r="B38" s="97" t="s">
        <v>8</v>
      </c>
      <c r="C38" s="140">
        <f>C32</f>
        <v>1</v>
      </c>
      <c r="D38" s="141"/>
      <c r="E38" s="108">
        <f>CHOOSE($C$38,E40,E41,E42)</f>
        <v>12.7</v>
      </c>
      <c r="F38" s="108">
        <f>CHOOSE($C$38,F40,F41,F42)</f>
        <v>12.9</v>
      </c>
      <c r="G38" s="108">
        <f>CHOOSE($C$38,G40,G41,G42)</f>
        <v>13.05</v>
      </c>
      <c r="H38" s="108">
        <f>CHOOSE($C$38,H40,H41,H42)</f>
        <v>13.15</v>
      </c>
      <c r="I38" s="108">
        <f>CHOOSE($C$38,I40,I41,I42)</f>
        <v>13.25</v>
      </c>
      <c r="O38" s="109" t="s">
        <v>190</v>
      </c>
    </row>
    <row r="39" spans="2:35" x14ac:dyDescent="0.25">
      <c r="B39" s="97"/>
      <c r="C39" s="141"/>
      <c r="D39" s="141"/>
      <c r="E39" s="92"/>
      <c r="F39" s="101"/>
      <c r="G39" s="92"/>
      <c r="H39" s="92"/>
      <c r="I39" s="92"/>
      <c r="O39" s="103" t="s">
        <v>191</v>
      </c>
    </row>
    <row r="40" spans="2:35" x14ac:dyDescent="0.25">
      <c r="B40" s="138" t="s">
        <v>220</v>
      </c>
      <c r="C40" s="138"/>
      <c r="D40" s="138"/>
      <c r="E40" s="142">
        <v>12.7</v>
      </c>
      <c r="F40" s="142">
        <v>12.9</v>
      </c>
      <c r="G40" s="142">
        <v>13.05</v>
      </c>
      <c r="H40" s="142">
        <v>13.15</v>
      </c>
      <c r="I40" s="142">
        <v>13.25</v>
      </c>
      <c r="O40" s="103" t="s">
        <v>192</v>
      </c>
    </row>
    <row r="41" spans="2:35" x14ac:dyDescent="0.25">
      <c r="B41" s="138" t="s">
        <v>221</v>
      </c>
      <c r="C41" s="138"/>
      <c r="D41" s="138"/>
      <c r="E41" s="142">
        <v>12.8</v>
      </c>
      <c r="F41" s="142">
        <v>13</v>
      </c>
      <c r="G41" s="142">
        <v>13.1</v>
      </c>
      <c r="H41" s="142">
        <f>G41*1.015</f>
        <v>13.296499999999998</v>
      </c>
      <c r="I41" s="142">
        <f>H41*1.015</f>
        <v>13.495947499999996</v>
      </c>
      <c r="O41" s="103" t="s">
        <v>206</v>
      </c>
    </row>
    <row r="42" spans="2:35" x14ac:dyDescent="0.25">
      <c r="B42" s="138" t="s">
        <v>222</v>
      </c>
      <c r="C42" s="138"/>
      <c r="D42" s="138"/>
      <c r="E42" s="143">
        <v>12.4</v>
      </c>
      <c r="F42" s="142">
        <v>12.55</v>
      </c>
      <c r="G42" s="142">
        <v>12.75</v>
      </c>
      <c r="H42" s="142">
        <v>12.85</v>
      </c>
      <c r="I42" s="142">
        <v>13</v>
      </c>
      <c r="O42" s="103" t="s">
        <v>207</v>
      </c>
    </row>
    <row r="43" spans="2:35" x14ac:dyDescent="0.25">
      <c r="D43" s="124"/>
    </row>
    <row r="44" spans="2:35" x14ac:dyDescent="0.25">
      <c r="B44" s="97" t="s">
        <v>224</v>
      </c>
      <c r="C44" s="140">
        <f>C38</f>
        <v>1</v>
      </c>
      <c r="D44" s="141"/>
      <c r="E44" s="108">
        <f>CHOOSE($C$44,E46,E47,E48)</f>
        <v>33</v>
      </c>
      <c r="F44" s="108">
        <f>CHOOSE($C$44,F46,F47,F48)</f>
        <v>32</v>
      </c>
      <c r="G44" s="108">
        <f>CHOOSE($C$44,G46,G47,G48)</f>
        <v>31</v>
      </c>
      <c r="H44" s="108">
        <f>CHOOSE($C$44,H46,H47,H48)</f>
        <v>30</v>
      </c>
      <c r="I44" s="108">
        <f>CHOOSE($C$44,I46,I47,I48)</f>
        <v>29</v>
      </c>
      <c r="P44" s="38" t="s">
        <v>195</v>
      </c>
      <c r="S44" s="68"/>
      <c r="T44" s="66"/>
      <c r="U44" s="68"/>
      <c r="V44" s="68"/>
      <c r="W44" s="69"/>
      <c r="X44" s="68"/>
      <c r="Y44" s="66"/>
      <c r="AB44" s="69"/>
    </row>
    <row r="45" spans="2:35" x14ac:dyDescent="0.25">
      <c r="B45" s="97"/>
      <c r="C45" s="141"/>
      <c r="D45" s="141"/>
      <c r="E45" s="92"/>
      <c r="F45" s="92"/>
      <c r="G45" s="92"/>
      <c r="H45" s="92"/>
      <c r="I45" s="92"/>
      <c r="P45" s="92" t="s">
        <v>201</v>
      </c>
      <c r="Q45" s="93"/>
      <c r="R45" s="93"/>
      <c r="S45" s="135"/>
      <c r="T45" s="160"/>
      <c r="U45" s="135"/>
      <c r="V45" s="135"/>
      <c r="W45" s="128"/>
      <c r="X45" s="135">
        <v>9.5000000000000001E-2</v>
      </c>
      <c r="Y45" s="160">
        <v>0.1</v>
      </c>
      <c r="Z45" s="93">
        <v>0.1</v>
      </c>
      <c r="AA45" s="93">
        <v>0.1</v>
      </c>
      <c r="AB45" s="128">
        <v>0.1</v>
      </c>
      <c r="AC45" s="148">
        <v>0.1</v>
      </c>
      <c r="AD45" s="148">
        <v>0.105</v>
      </c>
      <c r="AE45" s="148">
        <f>AD45+0.005</f>
        <v>0.11</v>
      </c>
      <c r="AF45" s="148">
        <f>AE45+0.005</f>
        <v>0.115</v>
      </c>
      <c r="AG45" s="148">
        <f>AF45+0.005</f>
        <v>0.12000000000000001</v>
      </c>
      <c r="AH45" s="148">
        <f>AG45+0.005</f>
        <v>0.125</v>
      </c>
      <c r="AI45" s="93"/>
    </row>
    <row r="46" spans="2:35" x14ac:dyDescent="0.25">
      <c r="B46" s="138" t="s">
        <v>220</v>
      </c>
      <c r="C46" s="138"/>
      <c r="D46" s="138"/>
      <c r="E46" s="142">
        <v>33</v>
      </c>
      <c r="F46" s="142">
        <f t="shared" ref="F46:I47" si="1">E46-1</f>
        <v>32</v>
      </c>
      <c r="G46" s="142">
        <f t="shared" si="1"/>
        <v>31</v>
      </c>
      <c r="H46" s="142">
        <f t="shared" si="1"/>
        <v>30</v>
      </c>
      <c r="I46" s="142">
        <f t="shared" si="1"/>
        <v>29</v>
      </c>
    </row>
    <row r="47" spans="2:35" x14ac:dyDescent="0.25">
      <c r="B47" s="138" t="s">
        <v>221</v>
      </c>
      <c r="C47" s="138"/>
      <c r="D47" s="138"/>
      <c r="E47" s="142">
        <v>31</v>
      </c>
      <c r="F47" s="142">
        <v>30</v>
      </c>
      <c r="G47" s="142">
        <f t="shared" si="1"/>
        <v>29</v>
      </c>
      <c r="H47" s="142">
        <f t="shared" si="1"/>
        <v>28</v>
      </c>
      <c r="I47" s="142">
        <f t="shared" si="1"/>
        <v>27</v>
      </c>
    </row>
    <row r="48" spans="2:35" x14ac:dyDescent="0.25">
      <c r="B48" s="138" t="s">
        <v>222</v>
      </c>
      <c r="C48" s="138"/>
      <c r="D48" s="138"/>
      <c r="E48" s="143">
        <v>35</v>
      </c>
      <c r="F48" s="143">
        <f>E48-0.25</f>
        <v>34.75</v>
      </c>
      <c r="G48" s="143">
        <f>F48-0.25</f>
        <v>34.5</v>
      </c>
      <c r="H48" s="143">
        <f>G48-0.25</f>
        <v>34.25</v>
      </c>
      <c r="I48" s="143">
        <f>H48-0.25</f>
        <v>34</v>
      </c>
    </row>
    <row r="49" spans="2:9" x14ac:dyDescent="0.25">
      <c r="B49" s="138"/>
      <c r="C49" s="138"/>
      <c r="D49" s="138"/>
      <c r="E49" s="143"/>
      <c r="F49" s="143"/>
      <c r="G49" s="143"/>
      <c r="H49" s="143"/>
      <c r="I49" s="143"/>
    </row>
    <row r="50" spans="2:9" x14ac:dyDescent="0.25">
      <c r="B50" s="97" t="s">
        <v>316</v>
      </c>
      <c r="C50" s="140">
        <f>C44</f>
        <v>1</v>
      </c>
      <c r="D50" s="141"/>
      <c r="E50" s="93">
        <f>CHOOSE($C$50,E52,E53,E54)</f>
        <v>0.1</v>
      </c>
      <c r="F50" s="93">
        <f>CHOOSE($C$50,F52,F53,F54)</f>
        <v>0.1</v>
      </c>
      <c r="G50" s="93">
        <f>CHOOSE($C$50,G52,G53,G54)</f>
        <v>0.1</v>
      </c>
      <c r="H50" s="93">
        <f>CHOOSE($C$50,H52,H53,H54)</f>
        <v>0.1</v>
      </c>
      <c r="I50" s="93">
        <f>CHOOSE($C$50,I52,I53,I54)</f>
        <v>0.1</v>
      </c>
    </row>
    <row r="51" spans="2:9" x14ac:dyDescent="0.25">
      <c r="B51" s="97"/>
      <c r="C51" s="141"/>
      <c r="D51" s="141"/>
      <c r="E51" s="92"/>
      <c r="F51" s="92"/>
      <c r="G51" s="92"/>
      <c r="H51" s="92"/>
      <c r="I51" s="92"/>
    </row>
    <row r="52" spans="2:9" x14ac:dyDescent="0.25">
      <c r="B52" s="138" t="s">
        <v>220</v>
      </c>
      <c r="C52" s="138"/>
      <c r="D52" s="138"/>
      <c r="E52" s="358">
        <v>0.1</v>
      </c>
      <c r="F52" s="358">
        <v>0.1</v>
      </c>
      <c r="G52" s="358">
        <v>0.1</v>
      </c>
      <c r="H52" s="358">
        <v>0.1</v>
      </c>
      <c r="I52" s="358">
        <v>0.1</v>
      </c>
    </row>
    <row r="53" spans="2:9" x14ac:dyDescent="0.25">
      <c r="B53" s="138" t="s">
        <v>221</v>
      </c>
      <c r="C53" s="138"/>
      <c r="D53" s="138"/>
      <c r="E53" s="358">
        <v>7.0000000000000007E-2</v>
      </c>
      <c r="F53" s="358">
        <v>7.0000000000000007E-2</v>
      </c>
      <c r="G53" s="358">
        <v>7.0000000000000007E-2</v>
      </c>
      <c r="H53" s="358">
        <v>7.0000000000000007E-2</v>
      </c>
      <c r="I53" s="358">
        <v>7.0000000000000007E-2</v>
      </c>
    </row>
    <row r="54" spans="2:9" x14ac:dyDescent="0.25">
      <c r="B54" s="138" t="s">
        <v>222</v>
      </c>
      <c r="C54" s="138"/>
      <c r="D54" s="138"/>
      <c r="E54" s="359">
        <v>0.12</v>
      </c>
      <c r="F54" s="359">
        <v>0.12</v>
      </c>
      <c r="G54" s="359">
        <v>0.12</v>
      </c>
      <c r="H54" s="359">
        <v>0.12</v>
      </c>
      <c r="I54" s="359">
        <v>0.12</v>
      </c>
    </row>
    <row r="55" spans="2:9" x14ac:dyDescent="0.25">
      <c r="D55" s="124"/>
    </row>
    <row r="56" spans="2:9" x14ac:dyDescent="0.25">
      <c r="B56" s="97" t="s">
        <v>225</v>
      </c>
      <c r="C56" s="140">
        <f>C44</f>
        <v>1</v>
      </c>
      <c r="D56" s="141"/>
      <c r="E56" s="95">
        <f>CHOOSE($C$56,E58,E59,E60)</f>
        <v>4900</v>
      </c>
      <c r="F56" s="95">
        <f>CHOOSE($C$56,F58,F59,F60)</f>
        <v>4400</v>
      </c>
      <c r="G56" s="95">
        <f>CHOOSE($C$56,G58,G59,G60)</f>
        <v>3900</v>
      </c>
      <c r="H56" s="95">
        <f>CHOOSE($C$56,H58,H59,H60)</f>
        <v>3400</v>
      </c>
      <c r="I56" s="95">
        <f>CHOOSE($C$56,I58,I59,I60)</f>
        <v>2900</v>
      </c>
    </row>
    <row r="57" spans="2:9" x14ac:dyDescent="0.25">
      <c r="B57" s="97"/>
      <c r="C57" s="141"/>
      <c r="D57" s="141"/>
      <c r="E57" s="92"/>
      <c r="F57" s="92"/>
      <c r="G57" s="92"/>
      <c r="H57" s="92"/>
      <c r="I57" s="92"/>
    </row>
    <row r="58" spans="2:9" x14ac:dyDescent="0.25">
      <c r="B58" s="138" t="s">
        <v>220</v>
      </c>
      <c r="C58" s="138"/>
      <c r="D58" s="138"/>
      <c r="E58" s="144">
        <v>4900</v>
      </c>
      <c r="F58" s="144">
        <f t="shared" ref="F58:I59" si="2">E58-500</f>
        <v>4400</v>
      </c>
      <c r="G58" s="144">
        <f t="shared" si="2"/>
        <v>3900</v>
      </c>
      <c r="H58" s="144">
        <f t="shared" si="2"/>
        <v>3400</v>
      </c>
      <c r="I58" s="144">
        <f t="shared" si="2"/>
        <v>2900</v>
      </c>
    </row>
    <row r="59" spans="2:9" x14ac:dyDescent="0.25">
      <c r="B59" s="138" t="s">
        <v>221</v>
      </c>
      <c r="C59" s="138"/>
      <c r="D59" s="138"/>
      <c r="E59" s="144">
        <v>4700</v>
      </c>
      <c r="F59" s="144">
        <f t="shared" si="2"/>
        <v>4200</v>
      </c>
      <c r="G59" s="144">
        <f t="shared" si="2"/>
        <v>3700</v>
      </c>
      <c r="H59" s="144">
        <f t="shared" si="2"/>
        <v>3200</v>
      </c>
      <c r="I59" s="144">
        <f t="shared" si="2"/>
        <v>2700</v>
      </c>
    </row>
    <row r="60" spans="2:9" x14ac:dyDescent="0.25">
      <c r="B60" s="138" t="s">
        <v>222</v>
      </c>
      <c r="C60" s="138"/>
      <c r="D60" s="138"/>
      <c r="E60" s="145">
        <v>5100</v>
      </c>
      <c r="F60" s="145">
        <f>E60-250</f>
        <v>4850</v>
      </c>
      <c r="G60" s="145">
        <f>F60-250</f>
        <v>4600</v>
      </c>
      <c r="H60" s="145">
        <f>G60-250</f>
        <v>4350</v>
      </c>
      <c r="I60" s="145">
        <f>H60-250</f>
        <v>4100</v>
      </c>
    </row>
    <row r="61" spans="2:9" x14ac:dyDescent="0.25">
      <c r="D61" s="124"/>
    </row>
    <row r="62" spans="2:9" x14ac:dyDescent="0.25">
      <c r="D62" s="124"/>
    </row>
    <row r="63" spans="2:9" x14ac:dyDescent="0.25">
      <c r="D63" s="124"/>
    </row>
    <row r="64" spans="2:9" x14ac:dyDescent="0.25">
      <c r="D64" s="124"/>
    </row>
    <row r="65" spans="4:18" x14ac:dyDescent="0.25">
      <c r="D65" s="124"/>
    </row>
    <row r="66" spans="4:18" x14ac:dyDescent="0.25">
      <c r="D66" s="124"/>
    </row>
    <row r="67" spans="4:18" x14ac:dyDescent="0.25">
      <c r="D67" s="124"/>
    </row>
    <row r="68" spans="4:18" x14ac:dyDescent="0.25">
      <c r="D68" s="124"/>
    </row>
    <row r="69" spans="4:18" x14ac:dyDescent="0.25">
      <c r="D69" s="124"/>
    </row>
    <row r="70" spans="4:18" x14ac:dyDescent="0.25">
      <c r="D70" s="124"/>
    </row>
    <row r="71" spans="4:18" x14ac:dyDescent="0.25">
      <c r="D71" s="124"/>
    </row>
    <row r="72" spans="4:18" x14ac:dyDescent="0.25">
      <c r="D72" s="124"/>
      <c r="R72"/>
    </row>
    <row r="73" spans="4:18" x14ac:dyDescent="0.25">
      <c r="D73" s="124"/>
    </row>
    <row r="74" spans="4:18" x14ac:dyDescent="0.25">
      <c r="D74" s="124"/>
    </row>
    <row r="75" spans="4:18" x14ac:dyDescent="0.25">
      <c r="D75" s="124"/>
    </row>
    <row r="76" spans="4:18" x14ac:dyDescent="0.25">
      <c r="D76" s="124"/>
    </row>
    <row r="77" spans="4:18" x14ac:dyDescent="0.25">
      <c r="D77" s="124"/>
    </row>
    <row r="78" spans="4:18" x14ac:dyDescent="0.25">
      <c r="D78" s="124"/>
    </row>
    <row r="79" spans="4:18" x14ac:dyDescent="0.25">
      <c r="D79" s="124"/>
    </row>
    <row r="80" spans="4:18" x14ac:dyDescent="0.25">
      <c r="D80" s="124"/>
    </row>
    <row r="81" spans="4:4" x14ac:dyDescent="0.25">
      <c r="D81" s="124"/>
    </row>
    <row r="82" spans="4:4" x14ac:dyDescent="0.25">
      <c r="D82" s="124"/>
    </row>
    <row r="83" spans="4:4" x14ac:dyDescent="0.25">
      <c r="D83" s="124"/>
    </row>
    <row r="84" spans="4:4" x14ac:dyDescent="0.25">
      <c r="D84" s="124"/>
    </row>
    <row r="85" spans="4:4" x14ac:dyDescent="0.25">
      <c r="D85" s="124"/>
    </row>
    <row r="86" spans="4:4" x14ac:dyDescent="0.25">
      <c r="D86" s="124"/>
    </row>
    <row r="87" spans="4:4" x14ac:dyDescent="0.25">
      <c r="D87" s="124"/>
    </row>
    <row r="88" spans="4:4" x14ac:dyDescent="0.25">
      <c r="D88" s="124"/>
    </row>
    <row r="89" spans="4:4" x14ac:dyDescent="0.25">
      <c r="D89" s="124"/>
    </row>
    <row r="90" spans="4:4" x14ac:dyDescent="0.25">
      <c r="D90" s="124"/>
    </row>
    <row r="91" spans="4:4" x14ac:dyDescent="0.25">
      <c r="D91" s="124"/>
    </row>
    <row r="92" spans="4:4" x14ac:dyDescent="0.25">
      <c r="D92" s="124"/>
    </row>
    <row r="93" spans="4:4" x14ac:dyDescent="0.25">
      <c r="D93" s="124"/>
    </row>
    <row r="94" spans="4:4" x14ac:dyDescent="0.25">
      <c r="D94" s="124"/>
    </row>
    <row r="95" spans="4:4" x14ac:dyDescent="0.25">
      <c r="D95" s="124"/>
    </row>
    <row r="96" spans="4:4" x14ac:dyDescent="0.25">
      <c r="D96" s="124"/>
    </row>
    <row r="97" spans="4:4" x14ac:dyDescent="0.25">
      <c r="D97" s="124"/>
    </row>
    <row r="98" spans="4:4" x14ac:dyDescent="0.25">
      <c r="D98" s="124"/>
    </row>
    <row r="99" spans="4:4" x14ac:dyDescent="0.25">
      <c r="D99" s="124"/>
    </row>
    <row r="100" spans="4:4" x14ac:dyDescent="0.25">
      <c r="D100" s="124"/>
    </row>
    <row r="101" spans="4:4" x14ac:dyDescent="0.25">
      <c r="D101" s="124"/>
    </row>
    <row r="143" spans="2:2" x14ac:dyDescent="0.25">
      <c r="B143" s="38" t="s">
        <v>208</v>
      </c>
    </row>
    <row r="148" spans="2:2" x14ac:dyDescent="0.25">
      <c r="B148" s="38" t="s">
        <v>209</v>
      </c>
    </row>
    <row r="159" spans="2:2" x14ac:dyDescent="0.25">
      <c r="B159" s="38" t="s">
        <v>210</v>
      </c>
    </row>
  </sheetData>
  <pageMargins left="0.7" right="0.7" top="0.75" bottom="0.75" header="0.3" footer="0.3"/>
  <pageSetup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Summary</vt:lpstr>
      <vt:lpstr>Model</vt:lpstr>
      <vt:lpstr>SOTP</vt:lpstr>
      <vt:lpstr>LTV</vt:lpstr>
      <vt:lpstr>Drivers</vt:lpstr>
      <vt:lpstr>Drivers!Print_Area</vt:lpstr>
      <vt:lpstr>LTV!Print_Area</vt:lpstr>
      <vt:lpstr>SOTP!Print_Area</vt:lpstr>
      <vt:lpstr>Summary!Print_Area</vt:lpstr>
      <vt:lpstr>Model!Print_Titles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2026-03-03T11:42:48Z</dcterms:created>
  <dcterms:modified xsi:type="dcterms:W3CDTF">2026-03-03T11:44:16Z</dcterms:modified>
</cp:coreProperties>
</file>