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GB\Desktop\hack em up\"/>
    </mc:Choice>
  </mc:AlternateContent>
  <xr:revisionPtr revIDLastSave="0" documentId="13_ncr:1_{A861EF1B-AF44-4773-9A3F-C2226DC15A1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ummary" sheetId="1" r:id="rId1"/>
    <sheet name="Model" sheetId="2" r:id="rId2"/>
    <sheet name="Scenario Drivers" sheetId="3" r:id="rId3"/>
  </sheets>
  <definedNames>
    <definedName name="CASE">'Scenario Drivers'!$B$6</definedName>
    <definedName name="_xlnm.Print_Area" localSheetId="1">Model!$B$2:$AF$175</definedName>
    <definedName name="_xlnm.Print_Area" localSheetId="2">'Scenario Drivers'!$B$2:$AF$26</definedName>
    <definedName name="_xlnm.Print_Area" localSheetId="0">Summary!$B$2:$AH$35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U42" i="2" l="1"/>
  <c r="T42" i="2"/>
  <c r="S42" i="2"/>
  <c r="R42" i="2"/>
  <c r="X11" i="3" l="1"/>
  <c r="Y11" i="3" s="1"/>
  <c r="X10" i="3"/>
  <c r="Y10" i="3" s="1"/>
  <c r="X9" i="3"/>
  <c r="Y9" i="3" s="1"/>
  <c r="Z9" i="3" s="1"/>
  <c r="AB9" i="3" s="1"/>
  <c r="AC9" i="3" s="1"/>
  <c r="AD9" i="3" s="1"/>
  <c r="AE9" i="3" s="1"/>
  <c r="X16" i="3"/>
  <c r="Y16" i="3" s="1"/>
  <c r="X15" i="3"/>
  <c r="Y15" i="3" s="1"/>
  <c r="X14" i="3"/>
  <c r="Y14" i="3" s="1"/>
  <c r="U13" i="3"/>
  <c r="K13" i="3"/>
  <c r="J13" i="3"/>
  <c r="I13" i="3"/>
  <c r="H13" i="3"/>
  <c r="H17" i="2"/>
  <c r="U8" i="3"/>
  <c r="T8" i="3"/>
  <c r="S8" i="3"/>
  <c r="R8" i="3"/>
  <c r="Q8" i="3"/>
  <c r="P8" i="3"/>
  <c r="O8" i="3"/>
  <c r="N8" i="3"/>
  <c r="M8" i="3"/>
  <c r="L8" i="3"/>
  <c r="K8" i="3"/>
  <c r="J8" i="3"/>
  <c r="I8" i="3"/>
  <c r="H8" i="3"/>
  <c r="G8" i="3"/>
  <c r="AB16" i="3"/>
  <c r="AB15" i="3"/>
  <c r="AB13" i="3" s="1"/>
  <c r="AB49" i="2" s="1"/>
  <c r="AC14" i="3"/>
  <c r="AB14" i="3"/>
  <c r="X13" i="3"/>
  <c r="X49" i="2" s="1"/>
  <c r="W13" i="3"/>
  <c r="W49" i="2" s="1"/>
  <c r="W8" i="3"/>
  <c r="W30" i="2" s="1"/>
  <c r="W42" i="2" s="1"/>
  <c r="W12" i="1"/>
  <c r="E9" i="1"/>
  <c r="E7" i="1"/>
  <c r="E8" i="1" s="1"/>
  <c r="N5" i="1"/>
  <c r="S5" i="1" s="1"/>
  <c r="L8" i="1"/>
  <c r="K8" i="1"/>
  <c r="J8" i="1"/>
  <c r="V6" i="1"/>
  <c r="U6" i="1"/>
  <c r="T6" i="1"/>
  <c r="R6" i="1"/>
  <c r="Q6" i="1"/>
  <c r="P6" i="1"/>
  <c r="O6" i="1"/>
  <c r="N6" i="1"/>
  <c r="M6" i="1"/>
  <c r="L6" i="1"/>
  <c r="K6" i="1"/>
  <c r="J6" i="1"/>
  <c r="I6" i="1"/>
  <c r="V19" i="2"/>
  <c r="AC15" i="3" l="1"/>
  <c r="AC13" i="3" s="1"/>
  <c r="AC49" i="2" s="1"/>
  <c r="Z14" i="3"/>
  <c r="AE14" i="3" s="1"/>
  <c r="AD14" i="3"/>
  <c r="AC16" i="3"/>
  <c r="Z10" i="3"/>
  <c r="AB10" i="3" s="1"/>
  <c r="Y8" i="3"/>
  <c r="Y30" i="2" s="1"/>
  <c r="Y42" i="2" s="1"/>
  <c r="Z11" i="3"/>
  <c r="AB11" i="3" s="1"/>
  <c r="AC11" i="3" s="1"/>
  <c r="AD11" i="3" s="1"/>
  <c r="AE11" i="3" s="1"/>
  <c r="X8" i="3"/>
  <c r="X30" i="2" s="1"/>
  <c r="X42" i="2" s="1"/>
  <c r="Y13" i="3"/>
  <c r="Y49" i="2" s="1"/>
  <c r="Z15" i="3"/>
  <c r="AD15" i="3"/>
  <c r="AD13" i="3" s="1"/>
  <c r="AD49" i="2" s="1"/>
  <c r="Z16" i="3"/>
  <c r="AE16" i="3" s="1"/>
  <c r="AD16" i="3"/>
  <c r="O16" i="1"/>
  <c r="U16" i="1"/>
  <c r="Q16" i="1"/>
  <c r="V16" i="1"/>
  <c r="P16" i="1"/>
  <c r="N16" i="1"/>
  <c r="R16" i="1"/>
  <c r="T16" i="1"/>
  <c r="E10" i="1"/>
  <c r="Z8" i="3" l="1"/>
  <c r="Z30" i="2" s="1"/>
  <c r="Z42" i="2" s="1"/>
  <c r="AC10" i="3"/>
  <c r="AB8" i="3"/>
  <c r="AB30" i="2" s="1"/>
  <c r="AB42" i="2" s="1"/>
  <c r="Z13" i="3"/>
  <c r="Z49" i="2" s="1"/>
  <c r="AE15" i="3"/>
  <c r="AE13" i="3" s="1"/>
  <c r="AE49" i="2" s="1"/>
  <c r="AD10" i="3" l="1"/>
  <c r="AC8" i="3"/>
  <c r="AC30" i="2" s="1"/>
  <c r="AC42" i="2" s="1"/>
  <c r="AE10" i="3" l="1"/>
  <c r="AE8" i="3" s="1"/>
  <c r="AE30" i="2" s="1"/>
  <c r="AE42" i="2" s="1"/>
  <c r="AD8" i="3"/>
  <c r="AD30" i="2" s="1"/>
  <c r="AD42" i="2" s="1"/>
  <c r="AF11" i="2" l="1"/>
  <c r="AA11" i="2"/>
  <c r="V11" i="2"/>
  <c r="AF10" i="2"/>
  <c r="AA10" i="2"/>
  <c r="L107" i="2"/>
  <c r="L108" i="2"/>
  <c r="L132" i="2" s="1"/>
  <c r="L109" i="2"/>
  <c r="R178" i="2"/>
  <c r="M178" i="2"/>
  <c r="L178" i="2"/>
  <c r="G178" i="2"/>
  <c r="J47" i="2"/>
  <c r="O45" i="2" s="1"/>
  <c r="I47" i="2"/>
  <c r="N45" i="2" s="1"/>
  <c r="H47" i="2"/>
  <c r="M45" i="2" s="1"/>
  <c r="K47" i="2"/>
  <c r="P45" i="2" s="1"/>
  <c r="P47" i="2"/>
  <c r="U45" i="2" s="1"/>
  <c r="Z45" i="2" s="1"/>
  <c r="AE45" i="2" s="1"/>
  <c r="O47" i="2"/>
  <c r="T45" i="2" s="1"/>
  <c r="Y45" i="2" s="1"/>
  <c r="AD45" i="2" s="1"/>
  <c r="N47" i="2"/>
  <c r="S45" i="2" s="1"/>
  <c r="X45" i="2" s="1"/>
  <c r="AC45" i="2" s="1"/>
  <c r="M47" i="2"/>
  <c r="R45" i="2" s="1"/>
  <c r="W45" i="2" s="1"/>
  <c r="T47" i="2"/>
  <c r="S47" i="2"/>
  <c r="R47" i="2"/>
  <c r="L47" i="2"/>
  <c r="Q45" i="2" s="1"/>
  <c r="G47" i="2"/>
  <c r="L45" i="2" s="1"/>
  <c r="K53" i="2"/>
  <c r="J53" i="2"/>
  <c r="I53" i="2"/>
  <c r="H53" i="2"/>
  <c r="G22" i="2"/>
  <c r="G54" i="2" s="1"/>
  <c r="G127" i="2"/>
  <c r="G18" i="2"/>
  <c r="Z86" i="2"/>
  <c r="AE86" i="2" s="1"/>
  <c r="U23" i="3"/>
  <c r="Z26" i="3" s="1"/>
  <c r="Y64" i="2"/>
  <c r="AD64" i="2" s="1"/>
  <c r="X64" i="2"/>
  <c r="AC64" i="2" s="1"/>
  <c r="W64" i="2"/>
  <c r="AB64" i="2" s="1"/>
  <c r="U18" i="3"/>
  <c r="Z20" i="3" s="1"/>
  <c r="Z41" i="2"/>
  <c r="Y41" i="2"/>
  <c r="X41" i="2"/>
  <c r="W41" i="2"/>
  <c r="Z39" i="2"/>
  <c r="Y39" i="2"/>
  <c r="Y38" i="2" s="1"/>
  <c r="X39" i="2"/>
  <c r="X38" i="2" s="1"/>
  <c r="W39" i="2"/>
  <c r="W38" i="2" s="1"/>
  <c r="AE41" i="2"/>
  <c r="AD41" i="2"/>
  <c r="AC41" i="2"/>
  <c r="AB41" i="2"/>
  <c r="AE39" i="2"/>
  <c r="AD39" i="2"/>
  <c r="AC39" i="2"/>
  <c r="AB39" i="2"/>
  <c r="Z37" i="2"/>
  <c r="Y37" i="2"/>
  <c r="Y36" i="2" s="1"/>
  <c r="X37" i="2"/>
  <c r="X36" i="2" s="1"/>
  <c r="W37" i="2"/>
  <c r="W36" i="2" s="1"/>
  <c r="AE37" i="2"/>
  <c r="AD37" i="2"/>
  <c r="AC37" i="2"/>
  <c r="AB37" i="2"/>
  <c r="U126" i="2"/>
  <c r="V126" i="2" s="1"/>
  <c r="W126" i="2" s="1"/>
  <c r="X126" i="2" s="1"/>
  <c r="Y126" i="2" s="1"/>
  <c r="Z126" i="2" s="1"/>
  <c r="AA126" i="2" s="1"/>
  <c r="AB126" i="2" s="1"/>
  <c r="AC126" i="2" s="1"/>
  <c r="AD126" i="2" s="1"/>
  <c r="AE126" i="2" s="1"/>
  <c r="AF126" i="2" s="1"/>
  <c r="W146" i="2"/>
  <c r="W145" i="2"/>
  <c r="AB145" i="2" s="1"/>
  <c r="R87" i="2"/>
  <c r="W87" i="2" s="1"/>
  <c r="M87" i="2"/>
  <c r="L87" i="2"/>
  <c r="L89" i="2"/>
  <c r="L88" i="2"/>
  <c r="U36" i="2"/>
  <c r="K41" i="2"/>
  <c r="J41" i="2"/>
  <c r="I41" i="2"/>
  <c r="H41" i="2"/>
  <c r="G41" i="2"/>
  <c r="T40" i="2"/>
  <c r="S40" i="2"/>
  <c r="R40" i="2"/>
  <c r="P40" i="2"/>
  <c r="P41" i="2" s="1"/>
  <c r="O40" i="2"/>
  <c r="O41" i="2" s="1"/>
  <c r="N40" i="2"/>
  <c r="N41" i="2" s="1"/>
  <c r="M40" i="2"/>
  <c r="M41" i="2" s="1"/>
  <c r="L40" i="2"/>
  <c r="L41" i="2" s="1"/>
  <c r="L20" i="2"/>
  <c r="Q19" i="2"/>
  <c r="Q18" i="2"/>
  <c r="U10" i="2"/>
  <c r="V10" i="2" s="1"/>
  <c r="U68" i="2"/>
  <c r="V68" i="2" s="1"/>
  <c r="U64" i="2"/>
  <c r="Z64" i="2" s="1"/>
  <c r="U38" i="2"/>
  <c r="V38" i="2" s="1"/>
  <c r="Q11" i="2"/>
  <c r="Q10" i="2"/>
  <c r="Q9" i="2"/>
  <c r="M12" i="2"/>
  <c r="M14" i="2" s="1"/>
  <c r="M53" i="2" s="1"/>
  <c r="N12" i="2"/>
  <c r="N14" i="2" s="1"/>
  <c r="N53" i="2" s="1"/>
  <c r="O12" i="2"/>
  <c r="O14" i="2" s="1"/>
  <c r="O53" i="2" s="1"/>
  <c r="L166" i="2"/>
  <c r="L171" i="2" s="1"/>
  <c r="L164" i="2"/>
  <c r="L162" i="2" s="1"/>
  <c r="Q166" i="2"/>
  <c r="Q161" i="2"/>
  <c r="L128" i="2"/>
  <c r="L126" i="2"/>
  <c r="L125" i="2"/>
  <c r="L124" i="2"/>
  <c r="L138" i="2" s="1"/>
  <c r="L121" i="2"/>
  <c r="L120" i="2"/>
  <c r="L137" i="2" s="1"/>
  <c r="L119" i="2"/>
  <c r="L134" i="2" s="1"/>
  <c r="L116" i="2"/>
  <c r="L115" i="2"/>
  <c r="L112" i="2"/>
  <c r="L111" i="2"/>
  <c r="L110" i="2"/>
  <c r="L136" i="2" s="1"/>
  <c r="L133" i="2"/>
  <c r="L106" i="2"/>
  <c r="K122" i="2"/>
  <c r="L122" i="2" s="1"/>
  <c r="K113" i="2"/>
  <c r="L113" i="2" s="1"/>
  <c r="K133" i="2"/>
  <c r="Q68" i="2"/>
  <c r="Q66" i="2"/>
  <c r="Q178" i="2" s="1"/>
  <c r="Q64" i="2"/>
  <c r="Q62" i="2"/>
  <c r="Q61" i="2"/>
  <c r="Q59" i="2"/>
  <c r="Q134" i="2" s="1"/>
  <c r="Q38" i="2"/>
  <c r="Q36" i="2"/>
  <c r="Q37" i="2" s="1"/>
  <c r="L33" i="2"/>
  <c r="L34" i="2" s="1"/>
  <c r="M33" i="2"/>
  <c r="M34" i="2" s="1"/>
  <c r="N33" i="2"/>
  <c r="N34" i="2" s="1"/>
  <c r="Q58" i="2"/>
  <c r="P26" i="2"/>
  <c r="M164" i="2"/>
  <c r="N164" i="2" s="1"/>
  <c r="O164" i="2" s="1"/>
  <c r="P164" i="2" s="1"/>
  <c r="M161" i="2"/>
  <c r="M88" i="2" s="1"/>
  <c r="R164" i="2"/>
  <c r="S164" i="2" s="1"/>
  <c r="T164" i="2" s="1"/>
  <c r="R161" i="2"/>
  <c r="U107" i="2"/>
  <c r="V107" i="2" s="1"/>
  <c r="W107" i="2" s="1"/>
  <c r="X107" i="2" s="1"/>
  <c r="Y107" i="2" s="1"/>
  <c r="Z107" i="2" s="1"/>
  <c r="AA107" i="2" s="1"/>
  <c r="AB107" i="2" s="1"/>
  <c r="AC107" i="2" s="1"/>
  <c r="AD107" i="2" s="1"/>
  <c r="AE107" i="2" s="1"/>
  <c r="AF107" i="2" s="1"/>
  <c r="U116" i="2"/>
  <c r="V116" i="2" s="1"/>
  <c r="W116" i="2" s="1"/>
  <c r="X116" i="2" s="1"/>
  <c r="Y116" i="2" s="1"/>
  <c r="Z116" i="2" s="1"/>
  <c r="AA116" i="2" s="1"/>
  <c r="AB116" i="2" s="1"/>
  <c r="AC116" i="2" s="1"/>
  <c r="AD116" i="2" s="1"/>
  <c r="AE116" i="2" s="1"/>
  <c r="AF116" i="2" s="1"/>
  <c r="U121" i="2"/>
  <c r="V121" i="2" s="1"/>
  <c r="W121" i="2" s="1"/>
  <c r="X121" i="2" s="1"/>
  <c r="Y121" i="2" s="1"/>
  <c r="Z121" i="2" s="1"/>
  <c r="T137" i="2"/>
  <c r="Y137" i="2" s="1"/>
  <c r="AD137" i="2" s="1"/>
  <c r="T136" i="2"/>
  <c r="Y136" i="2" s="1"/>
  <c r="AD136" i="2" s="1"/>
  <c r="T138" i="2"/>
  <c r="Y138" i="2" s="1"/>
  <c r="AD138" i="2" s="1"/>
  <c r="S138" i="2"/>
  <c r="X138" i="2" s="1"/>
  <c r="AC138" i="2" s="1"/>
  <c r="R138" i="2"/>
  <c r="W138" i="2" s="1"/>
  <c r="O138" i="2"/>
  <c r="N138" i="2"/>
  <c r="M138" i="2"/>
  <c r="K138" i="2"/>
  <c r="J138" i="2"/>
  <c r="I138" i="2"/>
  <c r="H138" i="2"/>
  <c r="G138" i="2"/>
  <c r="U125" i="2"/>
  <c r="V125" i="2" s="1"/>
  <c r="W125" i="2" s="1"/>
  <c r="X125" i="2" s="1"/>
  <c r="Y125" i="2" s="1"/>
  <c r="Z125" i="2" s="1"/>
  <c r="AA125" i="2" s="1"/>
  <c r="AB125" i="2" s="1"/>
  <c r="AC125" i="2" s="1"/>
  <c r="AD125" i="2" s="1"/>
  <c r="AE125" i="2" s="1"/>
  <c r="AF125" i="2" s="1"/>
  <c r="S136" i="2"/>
  <c r="X136" i="2" s="1"/>
  <c r="R136" i="2"/>
  <c r="W136" i="2" s="1"/>
  <c r="O136" i="2"/>
  <c r="N136" i="2"/>
  <c r="M136" i="2"/>
  <c r="K136" i="2"/>
  <c r="J136" i="2"/>
  <c r="I136" i="2"/>
  <c r="H136" i="2"/>
  <c r="S137" i="2"/>
  <c r="X137" i="2" s="1"/>
  <c r="R137" i="2"/>
  <c r="W137" i="2" s="1"/>
  <c r="O137" i="2"/>
  <c r="N137" i="2"/>
  <c r="M137" i="2"/>
  <c r="K137" i="2"/>
  <c r="J137" i="2"/>
  <c r="I137" i="2"/>
  <c r="H137" i="2"/>
  <c r="G136" i="2"/>
  <c r="U111" i="2"/>
  <c r="V111" i="2" s="1"/>
  <c r="W111" i="2" s="1"/>
  <c r="X111" i="2" s="1"/>
  <c r="Y111" i="2" s="1"/>
  <c r="Z111" i="2" s="1"/>
  <c r="AA111" i="2" s="1"/>
  <c r="AB111" i="2" s="1"/>
  <c r="AC111" i="2" s="1"/>
  <c r="AD111" i="2" s="1"/>
  <c r="AE111" i="2" s="1"/>
  <c r="AF111" i="2" s="1"/>
  <c r="U112" i="2"/>
  <c r="V112" i="2" s="1"/>
  <c r="W112" i="2" s="1"/>
  <c r="X112" i="2" s="1"/>
  <c r="Y112" i="2" s="1"/>
  <c r="Z112" i="2" s="1"/>
  <c r="AA112" i="2" s="1"/>
  <c r="AB112" i="2" s="1"/>
  <c r="AC112" i="2" s="1"/>
  <c r="AD112" i="2" s="1"/>
  <c r="AE112" i="2" s="1"/>
  <c r="AF112" i="2" s="1"/>
  <c r="T26" i="2"/>
  <c r="R26" i="2"/>
  <c r="R33" i="2"/>
  <c r="W34" i="2" s="1"/>
  <c r="T33" i="2"/>
  <c r="Y34" i="2" s="1"/>
  <c r="S33" i="2"/>
  <c r="S26" i="2"/>
  <c r="N169" i="2"/>
  <c r="N168" i="2"/>
  <c r="N167" i="2"/>
  <c r="O167" i="2" s="1"/>
  <c r="P167" i="2" s="1"/>
  <c r="N166" i="2"/>
  <c r="O166" i="2" s="1"/>
  <c r="O169" i="2"/>
  <c r="O168" i="2"/>
  <c r="P168" i="2" s="1"/>
  <c r="N177" i="2"/>
  <c r="N178" i="2" s="1"/>
  <c r="S177" i="2"/>
  <c r="T177" i="2" s="1"/>
  <c r="T178" i="2" s="1"/>
  <c r="AF169" i="2"/>
  <c r="AF167" i="2"/>
  <c r="AF166" i="2"/>
  <c r="AF157" i="2"/>
  <c r="AF153" i="2"/>
  <c r="AF147" i="2"/>
  <c r="AF144" i="2"/>
  <c r="AA169" i="2"/>
  <c r="AA167" i="2"/>
  <c r="AA166" i="2"/>
  <c r="AA157" i="2"/>
  <c r="AA153" i="2"/>
  <c r="AA147" i="2"/>
  <c r="AA144" i="2"/>
  <c r="N157" i="2"/>
  <c r="O157" i="2" s="1"/>
  <c r="P157" i="2" s="1"/>
  <c r="N156" i="2"/>
  <c r="O156" i="2" s="1"/>
  <c r="P156" i="2" s="1"/>
  <c r="N155" i="2"/>
  <c r="O155" i="2" s="1"/>
  <c r="P155" i="2" s="1"/>
  <c r="N154" i="2"/>
  <c r="O154" i="2" s="1"/>
  <c r="P154" i="2" s="1"/>
  <c r="N153" i="2"/>
  <c r="O153" i="2" s="1"/>
  <c r="P153" i="2" s="1"/>
  <c r="N152" i="2"/>
  <c r="O152" i="2" s="1"/>
  <c r="P152" i="2" s="1"/>
  <c r="N151" i="2"/>
  <c r="O151" i="2" s="1"/>
  <c r="P151" i="2" s="1"/>
  <c r="N150" i="2"/>
  <c r="N147" i="2"/>
  <c r="O147" i="2" s="1"/>
  <c r="P147" i="2" s="1"/>
  <c r="N146" i="2"/>
  <c r="O146" i="2" s="1"/>
  <c r="U146" i="2" s="1"/>
  <c r="N145" i="2"/>
  <c r="O145" i="2" s="1"/>
  <c r="U145" i="2" s="1"/>
  <c r="Z145" i="2" s="1"/>
  <c r="N144" i="2"/>
  <c r="O144" i="2" s="1"/>
  <c r="P144" i="2" s="1"/>
  <c r="N143" i="2"/>
  <c r="N87" i="2" s="1"/>
  <c r="S169" i="2"/>
  <c r="T169" i="2" s="1"/>
  <c r="S168" i="2"/>
  <c r="T168" i="2" s="1"/>
  <c r="S167" i="2"/>
  <c r="T167" i="2" s="1"/>
  <c r="S166" i="2"/>
  <c r="T166" i="2" s="1"/>
  <c r="S157" i="2"/>
  <c r="S156" i="2"/>
  <c r="T156" i="2" s="1"/>
  <c r="S155" i="2"/>
  <c r="T155" i="2" s="1"/>
  <c r="S154" i="2"/>
  <c r="T154" i="2" s="1"/>
  <c r="S153" i="2"/>
  <c r="S152" i="2"/>
  <c r="T152" i="2" s="1"/>
  <c r="S151" i="2"/>
  <c r="T151" i="2" s="1"/>
  <c r="S150" i="2"/>
  <c r="T150" i="2" s="1"/>
  <c r="S147" i="2"/>
  <c r="S146" i="2"/>
  <c r="X146" i="2" s="1"/>
  <c r="S145" i="2"/>
  <c r="X145" i="2" s="1"/>
  <c r="AC145" i="2" s="1"/>
  <c r="S144" i="2"/>
  <c r="T144" i="2" s="1"/>
  <c r="S143" i="2"/>
  <c r="T143" i="2" s="1"/>
  <c r="T87" i="2" s="1"/>
  <c r="Y87" i="2" s="1"/>
  <c r="T93" i="2"/>
  <c r="S93" i="2"/>
  <c r="R93" i="2"/>
  <c r="Q93" i="2"/>
  <c r="P93" i="2"/>
  <c r="O93" i="2"/>
  <c r="N93" i="2"/>
  <c r="M93" i="2"/>
  <c r="L93" i="2"/>
  <c r="T86" i="2"/>
  <c r="Y86" i="2" s="1"/>
  <c r="AD86" i="2" s="1"/>
  <c r="S86" i="2"/>
  <c r="X86" i="2" s="1"/>
  <c r="AC86" i="2" s="1"/>
  <c r="R86" i="2"/>
  <c r="W86" i="2" s="1"/>
  <c r="AB86" i="2" s="1"/>
  <c r="P86" i="2"/>
  <c r="O86" i="2"/>
  <c r="N86" i="2"/>
  <c r="M86" i="2"/>
  <c r="L86" i="2"/>
  <c r="K86" i="2"/>
  <c r="J86" i="2"/>
  <c r="I86" i="2"/>
  <c r="H86" i="2"/>
  <c r="T85" i="2"/>
  <c r="T23" i="3" s="1"/>
  <c r="Y25" i="3" s="1"/>
  <c r="Y23" i="3" s="1"/>
  <c r="S85" i="2"/>
  <c r="S23" i="3" s="1"/>
  <c r="X24" i="3" s="1"/>
  <c r="R85" i="2"/>
  <c r="R23" i="3" s="1"/>
  <c r="W26" i="3" s="1"/>
  <c r="P85" i="2"/>
  <c r="P23" i="3" s="1"/>
  <c r="O85" i="2"/>
  <c r="O23" i="3" s="1"/>
  <c r="N85" i="2"/>
  <c r="N23" i="3" s="1"/>
  <c r="M85" i="2"/>
  <c r="M23" i="3" s="1"/>
  <c r="L85" i="2"/>
  <c r="L23" i="3" s="1"/>
  <c r="K85" i="2"/>
  <c r="K23" i="3" s="1"/>
  <c r="J85" i="2"/>
  <c r="J23" i="3" s="1"/>
  <c r="I85" i="2"/>
  <c r="I23" i="3" s="1"/>
  <c r="H85" i="2"/>
  <c r="H23" i="3" s="1"/>
  <c r="G86" i="2"/>
  <c r="G85" i="2"/>
  <c r="G23" i="3" s="1"/>
  <c r="K134" i="2"/>
  <c r="J134" i="2"/>
  <c r="I134" i="2"/>
  <c r="H134" i="2"/>
  <c r="J133" i="2"/>
  <c r="I133" i="2"/>
  <c r="H133" i="2"/>
  <c r="K132" i="2"/>
  <c r="J132" i="2"/>
  <c r="I132" i="2"/>
  <c r="H132" i="2"/>
  <c r="T134" i="2"/>
  <c r="Y134" i="2" s="1"/>
  <c r="AD134" i="2" s="1"/>
  <c r="S134" i="2"/>
  <c r="X134" i="2" s="1"/>
  <c r="R134" i="2"/>
  <c r="W134" i="2" s="1"/>
  <c r="T133" i="2"/>
  <c r="Y133" i="2" s="1"/>
  <c r="S133" i="2"/>
  <c r="X133" i="2" s="1"/>
  <c r="R133" i="2"/>
  <c r="W133" i="2" s="1"/>
  <c r="T132" i="2"/>
  <c r="Y132" i="2" s="1"/>
  <c r="AD132" i="2" s="1"/>
  <c r="S132" i="2"/>
  <c r="X132" i="2" s="1"/>
  <c r="R132" i="2"/>
  <c r="W132" i="2" s="1"/>
  <c r="O134" i="2"/>
  <c r="N134" i="2"/>
  <c r="O133" i="2"/>
  <c r="N133" i="2"/>
  <c r="O132" i="2"/>
  <c r="N132" i="2"/>
  <c r="M134" i="2"/>
  <c r="M133" i="2"/>
  <c r="M132" i="2"/>
  <c r="G137" i="2"/>
  <c r="G134" i="2"/>
  <c r="G133" i="2"/>
  <c r="G132" i="2"/>
  <c r="R171" i="2"/>
  <c r="M171" i="2"/>
  <c r="K171" i="2"/>
  <c r="J171" i="2"/>
  <c r="I171" i="2"/>
  <c r="H171" i="2"/>
  <c r="G171" i="2"/>
  <c r="K162" i="2"/>
  <c r="J162" i="2"/>
  <c r="I162" i="2"/>
  <c r="H162" i="2"/>
  <c r="G162" i="2"/>
  <c r="R148" i="2"/>
  <c r="Q148" i="2"/>
  <c r="M148" i="2"/>
  <c r="L148" i="2"/>
  <c r="K148" i="2"/>
  <c r="J148" i="2"/>
  <c r="I148" i="2"/>
  <c r="H148" i="2"/>
  <c r="G148" i="2"/>
  <c r="P128" i="2"/>
  <c r="P126" i="2"/>
  <c r="P125" i="2"/>
  <c r="P124" i="2"/>
  <c r="P138" i="2" s="1"/>
  <c r="U138" i="2" s="1"/>
  <c r="P121" i="2"/>
  <c r="P120" i="2"/>
  <c r="P137" i="2" s="1"/>
  <c r="U137" i="2" s="1"/>
  <c r="P119" i="2"/>
  <c r="P134" i="2" s="1"/>
  <c r="U134" i="2" s="1"/>
  <c r="P116" i="2"/>
  <c r="P115" i="2"/>
  <c r="P112" i="2"/>
  <c r="P111" i="2"/>
  <c r="P110" i="2"/>
  <c r="P136" i="2" s="1"/>
  <c r="U136" i="2" s="1"/>
  <c r="P109" i="2"/>
  <c r="P133" i="2" s="1"/>
  <c r="U133" i="2" s="1"/>
  <c r="Z133" i="2" s="1"/>
  <c r="P108" i="2"/>
  <c r="P132" i="2" s="1"/>
  <c r="U132" i="2" s="1"/>
  <c r="P107" i="2"/>
  <c r="P106" i="2"/>
  <c r="T122" i="2"/>
  <c r="T127" i="2" s="1"/>
  <c r="S122" i="2"/>
  <c r="S127" i="2" s="1"/>
  <c r="R122" i="2"/>
  <c r="R127" i="2" s="1"/>
  <c r="Q122" i="2"/>
  <c r="Q127" i="2" s="1"/>
  <c r="O122" i="2"/>
  <c r="O127" i="2" s="1"/>
  <c r="N122" i="2"/>
  <c r="N127" i="2" s="1"/>
  <c r="M122" i="2"/>
  <c r="M127" i="2" s="1"/>
  <c r="J122" i="2"/>
  <c r="J127" i="2" s="1"/>
  <c r="I122" i="2"/>
  <c r="I127" i="2" s="1"/>
  <c r="H122" i="2"/>
  <c r="H127" i="2" s="1"/>
  <c r="G122" i="2"/>
  <c r="T113" i="2"/>
  <c r="T117" i="2" s="1"/>
  <c r="S113" i="2"/>
  <c r="S117" i="2" s="1"/>
  <c r="R113" i="2"/>
  <c r="R117" i="2" s="1"/>
  <c r="Q113" i="2"/>
  <c r="Q117" i="2" s="1"/>
  <c r="O113" i="2"/>
  <c r="O117" i="2" s="1"/>
  <c r="N113" i="2"/>
  <c r="N117" i="2" s="1"/>
  <c r="M113" i="2"/>
  <c r="M117" i="2" s="1"/>
  <c r="J113" i="2"/>
  <c r="J117" i="2" s="1"/>
  <c r="I113" i="2"/>
  <c r="I117" i="2" s="1"/>
  <c r="H113" i="2"/>
  <c r="H117" i="2" s="1"/>
  <c r="G113" i="2"/>
  <c r="S60" i="2"/>
  <c r="S63" i="2" s="1"/>
  <c r="R60" i="2"/>
  <c r="R63" i="2" s="1"/>
  <c r="P60" i="2"/>
  <c r="P63" i="2" s="1"/>
  <c r="O60" i="2"/>
  <c r="O63" i="2" s="1"/>
  <c r="O102" i="2" s="1"/>
  <c r="N60" i="2"/>
  <c r="N63" i="2" s="1"/>
  <c r="M60" i="2"/>
  <c r="L60" i="2"/>
  <c r="L63" i="2" s="1"/>
  <c r="L65" i="2" s="1"/>
  <c r="L67" i="2" s="1"/>
  <c r="L142" i="2" s="1"/>
  <c r="K60" i="2"/>
  <c r="K63" i="2" s="1"/>
  <c r="K65" i="2" s="1"/>
  <c r="J60" i="2"/>
  <c r="J63" i="2" s="1"/>
  <c r="J65" i="2" s="1"/>
  <c r="J67" i="2" s="1"/>
  <c r="J142" i="2" s="1"/>
  <c r="I60" i="2"/>
  <c r="H60" i="2"/>
  <c r="H63" i="2" s="1"/>
  <c r="H65" i="2" s="1"/>
  <c r="H67" i="2" s="1"/>
  <c r="H142" i="2" s="1"/>
  <c r="G60" i="2"/>
  <c r="G63" i="2" s="1"/>
  <c r="T60" i="2"/>
  <c r="AF34" i="2"/>
  <c r="AE34" i="2"/>
  <c r="AD34" i="2"/>
  <c r="AC34" i="2"/>
  <c r="AB34" i="2"/>
  <c r="AA34" i="2"/>
  <c r="Z34" i="2"/>
  <c r="V34" i="2"/>
  <c r="U34" i="2"/>
  <c r="P34" i="2"/>
  <c r="O34" i="2"/>
  <c r="T39" i="2"/>
  <c r="S39" i="2"/>
  <c r="R39" i="2"/>
  <c r="P39" i="2"/>
  <c r="O39" i="2"/>
  <c r="N39" i="2"/>
  <c r="M39" i="2"/>
  <c r="L39" i="2"/>
  <c r="K39" i="2"/>
  <c r="J39" i="2"/>
  <c r="I39" i="2"/>
  <c r="H39" i="2"/>
  <c r="G39" i="2"/>
  <c r="S37" i="2"/>
  <c r="R37" i="2"/>
  <c r="P37" i="2"/>
  <c r="O37" i="2"/>
  <c r="N37" i="2"/>
  <c r="M37" i="2"/>
  <c r="L37" i="2"/>
  <c r="K37" i="2"/>
  <c r="J37" i="2"/>
  <c r="I37" i="2"/>
  <c r="H37" i="2"/>
  <c r="G37" i="2"/>
  <c r="T37" i="2"/>
  <c r="R12" i="2"/>
  <c r="R14" i="2" s="1"/>
  <c r="P12" i="2"/>
  <c r="P14" i="2" s="1"/>
  <c r="P53" i="2" s="1"/>
  <c r="K12" i="2"/>
  <c r="J12" i="2"/>
  <c r="I12" i="2"/>
  <c r="H12" i="2"/>
  <c r="G12" i="2"/>
  <c r="L9" i="2" s="1"/>
  <c r="L14" i="2" s="1"/>
  <c r="R20" i="2"/>
  <c r="R22" i="2" s="1"/>
  <c r="M20" i="2"/>
  <c r="L17" i="2"/>
  <c r="H3" i="2"/>
  <c r="I3" i="2" s="1"/>
  <c r="J3" i="2" s="1"/>
  <c r="K3" i="2" s="1"/>
  <c r="L3" i="2" s="1"/>
  <c r="M3" i="2" s="1"/>
  <c r="N3" i="2" s="1"/>
  <c r="O3" i="2" s="1"/>
  <c r="P3" i="2" s="1"/>
  <c r="Q3" i="2" s="1"/>
  <c r="R3" i="2" s="1"/>
  <c r="S3" i="2" s="1"/>
  <c r="T3" i="2" s="1"/>
  <c r="U3" i="2" s="1"/>
  <c r="V3" i="2" s="1"/>
  <c r="W3" i="2" s="1"/>
  <c r="X3" i="2" s="1"/>
  <c r="Y3" i="2" s="1"/>
  <c r="Z3" i="2" s="1"/>
  <c r="AA3" i="2" s="1"/>
  <c r="AB3" i="2" s="1"/>
  <c r="AC3" i="2" s="1"/>
  <c r="AD3" i="2" s="1"/>
  <c r="AE3" i="2" s="1"/>
  <c r="AF3" i="2" s="1"/>
  <c r="L2" i="3"/>
  <c r="Q2" i="3" s="1"/>
  <c r="F2" i="3"/>
  <c r="E2" i="3" s="1"/>
  <c r="D2" i="3" s="1"/>
  <c r="C2" i="3" s="1"/>
  <c r="F2" i="2"/>
  <c r="E2" i="2" s="1"/>
  <c r="D2" i="2" s="1"/>
  <c r="C2" i="2" s="1"/>
  <c r="L2" i="2"/>
  <c r="Q2" i="2" s="1"/>
  <c r="AA45" i="2" l="1"/>
  <c r="AB45" i="2"/>
  <c r="AF45" i="2" s="1"/>
  <c r="M22" i="2"/>
  <c r="V36" i="2"/>
  <c r="V37" i="2" s="1"/>
  <c r="S65" i="2"/>
  <c r="S67" i="2" s="1"/>
  <c r="S69" i="2" s="1"/>
  <c r="U8" i="1" s="1"/>
  <c r="S102" i="2"/>
  <c r="U25" i="1" s="1"/>
  <c r="P65" i="2"/>
  <c r="P67" i="2" s="1"/>
  <c r="P101" i="2" s="1"/>
  <c r="R24" i="1" s="1"/>
  <c r="P102" i="2"/>
  <c r="R25" i="1" s="1"/>
  <c r="N65" i="2"/>
  <c r="N67" i="2" s="1"/>
  <c r="N69" i="2" s="1"/>
  <c r="N102" i="2"/>
  <c r="P25" i="1" s="1"/>
  <c r="R65" i="2"/>
  <c r="R67" i="2" s="1"/>
  <c r="R102" i="2"/>
  <c r="T25" i="1" s="1"/>
  <c r="V45" i="2"/>
  <c r="Q87" i="2"/>
  <c r="S6" i="1"/>
  <c r="S16" i="1" s="1"/>
  <c r="G129" i="2"/>
  <c r="T34" i="2"/>
  <c r="T146" i="2"/>
  <c r="V146" i="2" s="1"/>
  <c r="L53" i="2"/>
  <c r="L101" i="2"/>
  <c r="N24" i="1" s="1"/>
  <c r="R53" i="2"/>
  <c r="R15" i="2"/>
  <c r="R23" i="2"/>
  <c r="G14" i="2"/>
  <c r="G53" i="2" s="1"/>
  <c r="O177" i="2"/>
  <c r="L22" i="2"/>
  <c r="P46" i="2"/>
  <c r="V64" i="2"/>
  <c r="M54" i="2"/>
  <c r="M52" i="2"/>
  <c r="R52" i="2"/>
  <c r="R54" i="2"/>
  <c r="Q86" i="2"/>
  <c r="L46" i="2"/>
  <c r="M46" i="2"/>
  <c r="M48" i="2" s="1"/>
  <c r="S178" i="2"/>
  <c r="Q34" i="2"/>
  <c r="M129" i="2"/>
  <c r="R129" i="2"/>
  <c r="R41" i="2"/>
  <c r="N46" i="2"/>
  <c r="N48" i="2" s="1"/>
  <c r="Q47" i="2"/>
  <c r="Q46" i="2" s="1"/>
  <c r="Q48" i="2" s="1"/>
  <c r="O46" i="2"/>
  <c r="O48" i="2" s="1"/>
  <c r="S46" i="2"/>
  <c r="S48" i="2" s="1"/>
  <c r="R46" i="2"/>
  <c r="T46" i="2"/>
  <c r="T48" i="2" s="1"/>
  <c r="AA64" i="2"/>
  <c r="AE64" i="2"/>
  <c r="AF64" i="2" s="1"/>
  <c r="S129" i="2"/>
  <c r="R162" i="2"/>
  <c r="O129" i="2"/>
  <c r="H135" i="2"/>
  <c r="Q132" i="2"/>
  <c r="Z36" i="2"/>
  <c r="AA36" i="2" s="1"/>
  <c r="Z38" i="2"/>
  <c r="AE38" i="2" s="1"/>
  <c r="L18" i="2"/>
  <c r="X40" i="2"/>
  <c r="AC40" i="2" s="1"/>
  <c r="W68" i="2"/>
  <c r="V39" i="2"/>
  <c r="Y40" i="2"/>
  <c r="AD40" i="2" s="1"/>
  <c r="Q17" i="2"/>
  <c r="R34" i="2"/>
  <c r="Q129" i="2"/>
  <c r="T145" i="2"/>
  <c r="V145" i="2" s="1"/>
  <c r="O143" i="2"/>
  <c r="O87" i="2" s="1"/>
  <c r="W40" i="2"/>
  <c r="U40" i="2"/>
  <c r="W24" i="3"/>
  <c r="Z19" i="3"/>
  <c r="Z25" i="3"/>
  <c r="Z23" i="3" s="1"/>
  <c r="Z85" i="2" s="1"/>
  <c r="Y85" i="2"/>
  <c r="AD26" i="3"/>
  <c r="AD25" i="3"/>
  <c r="AD24" i="3"/>
  <c r="W25" i="3"/>
  <c r="W23" i="3" s="1"/>
  <c r="Z24" i="3"/>
  <c r="X26" i="3"/>
  <c r="Z21" i="3"/>
  <c r="X25" i="3"/>
  <c r="X23" i="3" s="1"/>
  <c r="Y26" i="3"/>
  <c r="Y24" i="3"/>
  <c r="Z18" i="3"/>
  <c r="AB38" i="2"/>
  <c r="AB36" i="2"/>
  <c r="AD36" i="2"/>
  <c r="AD38" i="2"/>
  <c r="AC38" i="2"/>
  <c r="AC36" i="2"/>
  <c r="X168" i="2"/>
  <c r="X171" i="2" s="1"/>
  <c r="AC146" i="2"/>
  <c r="AC168" i="2" s="1"/>
  <c r="AC171" i="2" s="1"/>
  <c r="Z132" i="2"/>
  <c r="Y135" i="2"/>
  <c r="AD133" i="2"/>
  <c r="AD135" i="2" s="1"/>
  <c r="Z137" i="2"/>
  <c r="AC133" i="2"/>
  <c r="H90" i="2"/>
  <c r="AD87" i="2"/>
  <c r="AE145" i="2"/>
  <c r="AB137" i="2"/>
  <c r="Q138" i="2"/>
  <c r="Q137" i="2"/>
  <c r="Q133" i="2"/>
  <c r="AB87" i="2"/>
  <c r="AB146" i="2"/>
  <c r="AB168" i="2" s="1"/>
  <c r="AB171" i="2" s="1"/>
  <c r="S9" i="2"/>
  <c r="S12" i="2" s="1"/>
  <c r="S14" i="2" s="1"/>
  <c r="Q60" i="2"/>
  <c r="Q94" i="2" s="1"/>
  <c r="N129" i="2"/>
  <c r="AC132" i="2"/>
  <c r="X135" i="2"/>
  <c r="U168" i="2"/>
  <c r="U171" i="2" s="1"/>
  <c r="Z146" i="2"/>
  <c r="AC137" i="2"/>
  <c r="AB136" i="2"/>
  <c r="AB138" i="2"/>
  <c r="R89" i="2"/>
  <c r="S161" i="2"/>
  <c r="S162" i="2" s="1"/>
  <c r="R88" i="2"/>
  <c r="W88" i="2" s="1"/>
  <c r="T129" i="2"/>
  <c r="AE133" i="2"/>
  <c r="AB134" i="2"/>
  <c r="AC136" i="2"/>
  <c r="Z134" i="2"/>
  <c r="W135" i="2"/>
  <c r="AB132" i="2"/>
  <c r="Z136" i="2"/>
  <c r="Z138" i="2"/>
  <c r="AB133" i="2"/>
  <c r="AC134" i="2"/>
  <c r="W168" i="2"/>
  <c r="W171" i="2" s="1"/>
  <c r="T135" i="2"/>
  <c r="Q85" i="2"/>
  <c r="Q23" i="3" s="1"/>
  <c r="P145" i="2"/>
  <c r="S41" i="2"/>
  <c r="S87" i="2"/>
  <c r="X87" i="2" s="1"/>
  <c r="Q136" i="2"/>
  <c r="P146" i="2"/>
  <c r="Q12" i="2"/>
  <c r="Q14" i="2" s="1"/>
  <c r="Q88" i="2"/>
  <c r="I135" i="2"/>
  <c r="P166" i="2"/>
  <c r="Q40" i="2"/>
  <c r="M162" i="2"/>
  <c r="AF162" i="2"/>
  <c r="R135" i="2"/>
  <c r="J135" i="2"/>
  <c r="H101" i="2"/>
  <c r="J24" i="1" s="1"/>
  <c r="N161" i="2"/>
  <c r="N162" i="2" s="1"/>
  <c r="L69" i="2"/>
  <c r="N8" i="1" s="1"/>
  <c r="L13" i="2"/>
  <c r="T41" i="2"/>
  <c r="M89" i="2"/>
  <c r="Q89" i="2"/>
  <c r="S34" i="2"/>
  <c r="Q39" i="2"/>
  <c r="M94" i="2"/>
  <c r="Q162" i="2"/>
  <c r="Q171" i="2"/>
  <c r="S135" i="2"/>
  <c r="H102" i="2"/>
  <c r="J25" i="1" s="1"/>
  <c r="O171" i="2"/>
  <c r="N171" i="2"/>
  <c r="P169" i="2"/>
  <c r="R13" i="2"/>
  <c r="R21" i="2"/>
  <c r="N17" i="2"/>
  <c r="N20" i="2" s="1"/>
  <c r="K127" i="2"/>
  <c r="L127" i="2" s="1"/>
  <c r="K117" i="2"/>
  <c r="L102" i="2"/>
  <c r="N25" i="1" s="1"/>
  <c r="L90" i="2"/>
  <c r="L95" i="2"/>
  <c r="N148" i="2"/>
  <c r="V144" i="2"/>
  <c r="T63" i="2"/>
  <c r="T94" i="2"/>
  <c r="T153" i="2"/>
  <c r="V153" i="2" s="1"/>
  <c r="T157" i="2"/>
  <c r="V157" i="2" s="1"/>
  <c r="V167" i="2"/>
  <c r="G65" i="2"/>
  <c r="G102" i="2"/>
  <c r="I25" i="1" s="1"/>
  <c r="O150" i="2"/>
  <c r="J101" i="2"/>
  <c r="L24" i="1" s="1"/>
  <c r="O94" i="2"/>
  <c r="S148" i="2"/>
  <c r="V169" i="2"/>
  <c r="K67" i="2"/>
  <c r="K69" i="2" s="1"/>
  <c r="M8" i="1" s="1"/>
  <c r="K90" i="2"/>
  <c r="O65" i="2"/>
  <c r="Q25" i="1"/>
  <c r="O95" i="2"/>
  <c r="S171" i="2"/>
  <c r="L135" i="2"/>
  <c r="J102" i="2"/>
  <c r="L25" i="1" s="1"/>
  <c r="S17" i="2"/>
  <c r="S20" i="2" s="1"/>
  <c r="S22" i="2" s="1"/>
  <c r="X34" i="2"/>
  <c r="T147" i="2"/>
  <c r="V147" i="2" s="1"/>
  <c r="J90" i="2"/>
  <c r="P94" i="2"/>
  <c r="P95" i="2"/>
  <c r="K102" i="2"/>
  <c r="M25" i="1" s="1"/>
  <c r="V166" i="2"/>
  <c r="G135" i="2"/>
  <c r="L77" i="2"/>
  <c r="L94" i="2"/>
  <c r="M135" i="2"/>
  <c r="R94" i="2"/>
  <c r="N94" i="2"/>
  <c r="S95" i="2"/>
  <c r="S94" i="2"/>
  <c r="S90" i="2"/>
  <c r="L79" i="2"/>
  <c r="O80" i="2"/>
  <c r="S78" i="2"/>
  <c r="K135" i="2"/>
  <c r="O79" i="2"/>
  <c r="S80" i="2"/>
  <c r="P77" i="2"/>
  <c r="P135" i="2"/>
  <c r="H72" i="2"/>
  <c r="S79" i="2"/>
  <c r="T77" i="2"/>
  <c r="K78" i="2"/>
  <c r="N135" i="2"/>
  <c r="L72" i="2"/>
  <c r="N7" i="1" s="1"/>
  <c r="H77" i="2"/>
  <c r="O78" i="2"/>
  <c r="I63" i="2"/>
  <c r="I102" i="2" s="1"/>
  <c r="K25" i="1" s="1"/>
  <c r="I77" i="2"/>
  <c r="M63" i="2"/>
  <c r="M79" i="2"/>
  <c r="M77" i="2"/>
  <c r="O135" i="2"/>
  <c r="J159" i="2"/>
  <c r="G72" i="2"/>
  <c r="L80" i="2"/>
  <c r="P79" i="2"/>
  <c r="T79" i="2"/>
  <c r="P80" i="2"/>
  <c r="H78" i="2"/>
  <c r="L78" i="2"/>
  <c r="P78" i="2"/>
  <c r="H159" i="2"/>
  <c r="L159" i="2"/>
  <c r="L73" i="2" s="1"/>
  <c r="N9" i="1" s="1"/>
  <c r="T171" i="2"/>
  <c r="J72" i="2"/>
  <c r="N72" i="2"/>
  <c r="P7" i="1" s="1"/>
  <c r="R72" i="2"/>
  <c r="T7" i="1" s="1"/>
  <c r="G77" i="2"/>
  <c r="J77" i="2"/>
  <c r="N77" i="2"/>
  <c r="R77" i="2"/>
  <c r="P113" i="2"/>
  <c r="P117" i="2" s="1"/>
  <c r="P122" i="2"/>
  <c r="P127" i="2" s="1"/>
  <c r="K72" i="2"/>
  <c r="S72" i="2"/>
  <c r="U7" i="1" s="1"/>
  <c r="G78" i="2"/>
  <c r="N79" i="2"/>
  <c r="R79" i="2"/>
  <c r="K77" i="2"/>
  <c r="O77" i="2"/>
  <c r="S77" i="2"/>
  <c r="J78" i="2"/>
  <c r="N78" i="2"/>
  <c r="R78" i="2"/>
  <c r="H129" i="2"/>
  <c r="I129" i="2"/>
  <c r="J129" i="2"/>
  <c r="P69" i="2" l="1"/>
  <c r="R8" i="1" s="1"/>
  <c r="Q77" i="2"/>
  <c r="S12" i="1" s="1"/>
  <c r="P12" i="1"/>
  <c r="N18" i="3"/>
  <c r="Q12" i="1"/>
  <c r="O18" i="3"/>
  <c r="I12" i="1"/>
  <c r="G18" i="3"/>
  <c r="Q18" i="3"/>
  <c r="J12" i="1"/>
  <c r="H18" i="3"/>
  <c r="R12" i="1"/>
  <c r="P18" i="3"/>
  <c r="O12" i="1"/>
  <c r="M18" i="3"/>
  <c r="K12" i="1"/>
  <c r="I18" i="3"/>
  <c r="M12" i="1"/>
  <c r="K18" i="3"/>
  <c r="L12" i="1"/>
  <c r="J18" i="3"/>
  <c r="N12" i="1"/>
  <c r="L18" i="3"/>
  <c r="N90" i="2"/>
  <c r="G52" i="2"/>
  <c r="J18" i="2"/>
  <c r="I18" i="2"/>
  <c r="K18" i="2"/>
  <c r="H18" i="2"/>
  <c r="H20" i="2" s="1"/>
  <c r="U17" i="1"/>
  <c r="Y145" i="2"/>
  <c r="AD145" i="2" s="1"/>
  <c r="AF145" i="2" s="1"/>
  <c r="N22" i="2"/>
  <c r="S23" i="2" s="1"/>
  <c r="S49" i="2" s="1"/>
  <c r="S13" i="3" s="1"/>
  <c r="AA37" i="2"/>
  <c r="AD23" i="3"/>
  <c r="AD85" i="2" s="1"/>
  <c r="R18" i="1"/>
  <c r="N13" i="1"/>
  <c r="U20" i="1"/>
  <c r="P13" i="1"/>
  <c r="R142" i="2"/>
  <c r="R159" i="2" s="1"/>
  <c r="R173" i="2" s="1"/>
  <c r="R101" i="2"/>
  <c r="T24" i="1" s="1"/>
  <c r="R69" i="2"/>
  <c r="T8" i="1" s="1"/>
  <c r="P90" i="2"/>
  <c r="P142" i="2"/>
  <c r="R48" i="2"/>
  <c r="R49" i="2" s="1"/>
  <c r="R13" i="3" s="1"/>
  <c r="R90" i="2"/>
  <c r="N142" i="2"/>
  <c r="N159" i="2" s="1"/>
  <c r="N173" i="2" s="1"/>
  <c r="N101" i="2"/>
  <c r="P24" i="1" s="1"/>
  <c r="R95" i="2"/>
  <c r="M102" i="2"/>
  <c r="O25" i="1" s="1"/>
  <c r="T80" i="2"/>
  <c r="T102" i="2"/>
  <c r="V25" i="1" s="1"/>
  <c r="S142" i="2"/>
  <c r="S159" i="2" s="1"/>
  <c r="S101" i="2"/>
  <c r="U24" i="1" s="1"/>
  <c r="P48" i="2"/>
  <c r="U13" i="1"/>
  <c r="U21" i="1"/>
  <c r="R18" i="3"/>
  <c r="W20" i="3" s="1"/>
  <c r="W18" i="3" s="1"/>
  <c r="AB20" i="3" s="1"/>
  <c r="T12" i="1"/>
  <c r="T13" i="1"/>
  <c r="T21" i="1"/>
  <c r="H81" i="2"/>
  <c r="J7" i="1"/>
  <c r="J13" i="1" s="1"/>
  <c r="N97" i="2"/>
  <c r="P8" i="1"/>
  <c r="P18" i="1" s="1"/>
  <c r="T18" i="3"/>
  <c r="Y19" i="3" s="1"/>
  <c r="V12" i="1"/>
  <c r="K81" i="2"/>
  <c r="M7" i="1"/>
  <c r="M13" i="1" s="1"/>
  <c r="S18" i="3"/>
  <c r="X20" i="3" s="1"/>
  <c r="X18" i="3" s="1"/>
  <c r="AC19" i="3" s="1"/>
  <c r="U12" i="1"/>
  <c r="J81" i="2"/>
  <c r="L7" i="1"/>
  <c r="L13" i="1" s="1"/>
  <c r="G81" i="2"/>
  <c r="I7" i="1"/>
  <c r="I13" i="1" s="1"/>
  <c r="Y146" i="2"/>
  <c r="AA146" i="2" s="1"/>
  <c r="L15" i="2"/>
  <c r="Q53" i="2"/>
  <c r="Q15" i="2"/>
  <c r="L52" i="2"/>
  <c r="L23" i="2"/>
  <c r="R80" i="2"/>
  <c r="T161" i="2"/>
  <c r="T162" i="2" s="1"/>
  <c r="P171" i="2"/>
  <c r="P143" i="2"/>
  <c r="P87" i="2" s="1"/>
  <c r="U87" i="2" s="1"/>
  <c r="Z87" i="2" s="1"/>
  <c r="S53" i="2"/>
  <c r="S15" i="2"/>
  <c r="L54" i="2"/>
  <c r="S88" i="2"/>
  <c r="X88" i="2" s="1"/>
  <c r="AC88" i="2" s="1"/>
  <c r="O178" i="2"/>
  <c r="P177" i="2"/>
  <c r="P178" i="2" s="1"/>
  <c r="Q13" i="2"/>
  <c r="S52" i="2"/>
  <c r="S54" i="2"/>
  <c r="Q135" i="2"/>
  <c r="AA38" i="2"/>
  <c r="AA39" i="2" s="1"/>
  <c r="AB40" i="2"/>
  <c r="AE36" i="2"/>
  <c r="AF36" i="2" s="1"/>
  <c r="Q79" i="2"/>
  <c r="Q63" i="2"/>
  <c r="Q95" i="2" s="1"/>
  <c r="V168" i="2"/>
  <c r="AE24" i="3"/>
  <c r="O72" i="2"/>
  <c r="O96" i="2" s="1"/>
  <c r="P97" i="2"/>
  <c r="S89" i="2"/>
  <c r="X68" i="2"/>
  <c r="Y68" i="2" s="1"/>
  <c r="Z68" i="2" s="1"/>
  <c r="AE26" i="3"/>
  <c r="AE25" i="3"/>
  <c r="AB25" i="3"/>
  <c r="AB26" i="3"/>
  <c r="W85" i="2"/>
  <c r="AB24" i="3"/>
  <c r="AF38" i="2"/>
  <c r="Z77" i="2"/>
  <c r="AB12" i="1" s="1"/>
  <c r="AE21" i="3"/>
  <c r="AE20" i="3"/>
  <c r="AE19" i="3"/>
  <c r="X85" i="2"/>
  <c r="AC26" i="3"/>
  <c r="AC25" i="3"/>
  <c r="AC23" i="3" s="1"/>
  <c r="AC85" i="2" s="1"/>
  <c r="AC24" i="3"/>
  <c r="AB135" i="2"/>
  <c r="AE137" i="2"/>
  <c r="V171" i="2"/>
  <c r="V9" i="2"/>
  <c r="V12" i="2" s="1"/>
  <c r="W9" i="2" s="1"/>
  <c r="W12" i="2" s="1"/>
  <c r="AD146" i="2"/>
  <c r="AE136" i="2"/>
  <c r="AB88" i="2"/>
  <c r="AC135" i="2"/>
  <c r="P129" i="2"/>
  <c r="AE134" i="2"/>
  <c r="AC87" i="2"/>
  <c r="Z168" i="2"/>
  <c r="Z171" i="2" s="1"/>
  <c r="AE146" i="2"/>
  <c r="AE168" i="2" s="1"/>
  <c r="AE171" i="2" s="1"/>
  <c r="AE132" i="2"/>
  <c r="Z135" i="2"/>
  <c r="AE138" i="2"/>
  <c r="T9" i="2"/>
  <c r="T12" i="2" s="1"/>
  <c r="T14" i="2" s="1"/>
  <c r="S13" i="2"/>
  <c r="N95" i="2"/>
  <c r="O148" i="2"/>
  <c r="P150" i="2"/>
  <c r="P148" i="2" s="1"/>
  <c r="P159" i="2" s="1"/>
  <c r="O161" i="2"/>
  <c r="N89" i="2"/>
  <c r="N88" i="2"/>
  <c r="Q41" i="2"/>
  <c r="S21" i="2"/>
  <c r="O17" i="2"/>
  <c r="O20" i="2" s="1"/>
  <c r="U135" i="2"/>
  <c r="K129" i="2"/>
  <c r="L117" i="2"/>
  <c r="L129" i="2" s="1"/>
  <c r="T17" i="2"/>
  <c r="T20" i="2" s="1"/>
  <c r="T22" i="2" s="1"/>
  <c r="K142" i="2"/>
  <c r="K159" i="2" s="1"/>
  <c r="K101" i="2"/>
  <c r="M24" i="1" s="1"/>
  <c r="T65" i="2"/>
  <c r="T95" i="2"/>
  <c r="T148" i="2"/>
  <c r="T78" i="2"/>
  <c r="L81" i="2"/>
  <c r="L96" i="2"/>
  <c r="O67" i="2"/>
  <c r="O101" i="2" s="1"/>
  <c r="O90" i="2"/>
  <c r="S97" i="2"/>
  <c r="G67" i="2"/>
  <c r="G69" i="2" s="1"/>
  <c r="G90" i="2"/>
  <c r="T72" i="2"/>
  <c r="M95" i="2"/>
  <c r="R81" i="2"/>
  <c r="N81" i="2"/>
  <c r="S81" i="2"/>
  <c r="S96" i="2"/>
  <c r="H73" i="2"/>
  <c r="J9" i="1" s="1"/>
  <c r="H173" i="2"/>
  <c r="L74" i="2"/>
  <c r="N10" i="1" s="1"/>
  <c r="L82" i="2"/>
  <c r="N14" i="1" s="1"/>
  <c r="I65" i="2"/>
  <c r="I78" i="2"/>
  <c r="I72" i="2"/>
  <c r="J173" i="2"/>
  <c r="J73" i="2"/>
  <c r="L9" i="1" s="1"/>
  <c r="M65" i="2"/>
  <c r="M78" i="2"/>
  <c r="M80" i="2"/>
  <c r="M72" i="2"/>
  <c r="O7" i="1" s="1"/>
  <c r="Q78" i="2"/>
  <c r="L173" i="2"/>
  <c r="N80" i="2"/>
  <c r="P72" i="2" l="1"/>
  <c r="R73" i="2"/>
  <c r="X77" i="2"/>
  <c r="Q102" i="2"/>
  <c r="S25" i="1" s="1"/>
  <c r="T89" i="2"/>
  <c r="AA145" i="2"/>
  <c r="Y168" i="2"/>
  <c r="Y171" i="2" s="1"/>
  <c r="Q65" i="2"/>
  <c r="Q67" i="2" s="1"/>
  <c r="Q80" i="2"/>
  <c r="W21" i="3"/>
  <c r="U161" i="2"/>
  <c r="V161" i="2" s="1"/>
  <c r="N52" i="2"/>
  <c r="N73" i="2"/>
  <c r="P9" i="1" s="1"/>
  <c r="T88" i="2"/>
  <c r="Y88" i="2" s="1"/>
  <c r="AD88" i="2" s="1"/>
  <c r="N54" i="2"/>
  <c r="O22" i="2"/>
  <c r="T23" i="2" s="1"/>
  <c r="T49" i="2" s="1"/>
  <c r="T13" i="3" s="1"/>
  <c r="H22" i="2"/>
  <c r="I17" i="2"/>
  <c r="I20" i="2" s="1"/>
  <c r="M21" i="2"/>
  <c r="AF37" i="2"/>
  <c r="AE23" i="3"/>
  <c r="AE85" i="2" s="1"/>
  <c r="AB23" i="3"/>
  <c r="AB85" i="2" s="1"/>
  <c r="AE18" i="3"/>
  <c r="AE77" i="2" s="1"/>
  <c r="AG12" i="1" s="1"/>
  <c r="O13" i="1"/>
  <c r="O17" i="1"/>
  <c r="T20" i="1"/>
  <c r="U18" i="1"/>
  <c r="N17" i="1"/>
  <c r="T17" i="1"/>
  <c r="S73" i="2"/>
  <c r="S74" i="2" s="1"/>
  <c r="U10" i="1" s="1"/>
  <c r="U22" i="1" s="1"/>
  <c r="T159" i="2"/>
  <c r="S173" i="2"/>
  <c r="Y21" i="3"/>
  <c r="W19" i="3"/>
  <c r="Y20" i="3"/>
  <c r="Y18" i="3" s="1"/>
  <c r="AD21" i="3" s="1"/>
  <c r="W77" i="2"/>
  <c r="Y12" i="1" s="1"/>
  <c r="AB21" i="3"/>
  <c r="AB19" i="3"/>
  <c r="AB18" i="3" s="1"/>
  <c r="AB77" i="2" s="1"/>
  <c r="Z12" i="1"/>
  <c r="P173" i="2"/>
  <c r="AC21" i="3"/>
  <c r="P81" i="2"/>
  <c r="R7" i="1"/>
  <c r="AC20" i="3"/>
  <c r="AC18" i="3" s="1"/>
  <c r="AC77" i="2" s="1"/>
  <c r="AE12" i="1" s="1"/>
  <c r="O81" i="2"/>
  <c r="Q7" i="1"/>
  <c r="X19" i="3"/>
  <c r="I81" i="2"/>
  <c r="K7" i="1"/>
  <c r="T81" i="2"/>
  <c r="V7" i="1"/>
  <c r="L97" i="2"/>
  <c r="I8" i="1"/>
  <c r="N18" i="1" s="1"/>
  <c r="X21" i="3"/>
  <c r="T53" i="2"/>
  <c r="T15" i="2"/>
  <c r="Q72" i="2"/>
  <c r="Q81" i="2" s="1"/>
  <c r="AF39" i="2"/>
  <c r="P96" i="2"/>
  <c r="AA9" i="2"/>
  <c r="AA12" i="2" s="1"/>
  <c r="AA14" i="2" s="1"/>
  <c r="V14" i="2"/>
  <c r="V15" i="2" s="1"/>
  <c r="W13" i="2"/>
  <c r="W14" i="2"/>
  <c r="T54" i="2"/>
  <c r="T52" i="2"/>
  <c r="U52" i="2" s="1"/>
  <c r="AA68" i="2"/>
  <c r="AB68" i="2" s="1"/>
  <c r="AC68" i="2" s="1"/>
  <c r="AD68" i="2" s="1"/>
  <c r="AE68" i="2" s="1"/>
  <c r="V13" i="2"/>
  <c r="X9" i="2"/>
  <c r="X12" i="2" s="1"/>
  <c r="U9" i="2"/>
  <c r="U12" i="2" s="1"/>
  <c r="U14" i="2" s="1"/>
  <c r="U15" i="2" s="1"/>
  <c r="T13" i="2"/>
  <c r="AE135" i="2"/>
  <c r="AE87" i="2"/>
  <c r="AD168" i="2"/>
  <c r="AF146" i="2"/>
  <c r="O89" i="2"/>
  <c r="O88" i="2"/>
  <c r="P161" i="2"/>
  <c r="O162" i="2"/>
  <c r="T21" i="2"/>
  <c r="P17" i="2"/>
  <c r="P20" i="2" s="1"/>
  <c r="N96" i="2"/>
  <c r="G142" i="2"/>
  <c r="G159" i="2" s="1"/>
  <c r="G101" i="2"/>
  <c r="I24" i="1" s="1"/>
  <c r="I67" i="2"/>
  <c r="I90" i="2"/>
  <c r="O69" i="2"/>
  <c r="Q24" i="1"/>
  <c r="O142" i="2"/>
  <c r="T67" i="2"/>
  <c r="T90" i="2"/>
  <c r="U17" i="2"/>
  <c r="T96" i="2"/>
  <c r="K173" i="2"/>
  <c r="K73" i="2"/>
  <c r="M9" i="1" s="1"/>
  <c r="M81" i="2"/>
  <c r="M96" i="2"/>
  <c r="R96" i="2"/>
  <c r="M67" i="2"/>
  <c r="M90" i="2"/>
  <c r="J74" i="2"/>
  <c r="L10" i="1" s="1"/>
  <c r="J82" i="2"/>
  <c r="L14" i="1" s="1"/>
  <c r="H74" i="2"/>
  <c r="J10" i="1" s="1"/>
  <c r="H82" i="2"/>
  <c r="J14" i="1" s="1"/>
  <c r="T9" i="1" l="1"/>
  <c r="R82" i="2"/>
  <c r="T14" i="1" s="1"/>
  <c r="R74" i="2"/>
  <c r="T10" i="1" s="1"/>
  <c r="T22" i="1" s="1"/>
  <c r="S98" i="2"/>
  <c r="AA168" i="2"/>
  <c r="U9" i="1"/>
  <c r="N82" i="2"/>
  <c r="P14" i="1" s="1"/>
  <c r="Q90" i="2"/>
  <c r="O52" i="2"/>
  <c r="N74" i="2"/>
  <c r="P10" i="1" s="1"/>
  <c r="O54" i="2"/>
  <c r="S82" i="2"/>
  <c r="U14" i="1" s="1"/>
  <c r="J17" i="2"/>
  <c r="J20" i="2" s="1"/>
  <c r="I22" i="2"/>
  <c r="N21" i="2"/>
  <c r="P22" i="2"/>
  <c r="P54" i="2" s="1"/>
  <c r="M23" i="2"/>
  <c r="M49" i="2" s="1"/>
  <c r="M13" i="3" s="1"/>
  <c r="H54" i="2"/>
  <c r="H52" i="2"/>
  <c r="AD12" i="1"/>
  <c r="R13" i="1"/>
  <c r="R17" i="1"/>
  <c r="V17" i="1"/>
  <c r="Q13" i="1"/>
  <c r="Q17" i="1"/>
  <c r="K13" i="1"/>
  <c r="P17" i="1"/>
  <c r="T73" i="2"/>
  <c r="T173" i="2"/>
  <c r="AD20" i="3"/>
  <c r="Y77" i="2"/>
  <c r="AA12" i="1" s="1"/>
  <c r="T82" i="2"/>
  <c r="V14" i="1" s="1"/>
  <c r="T101" i="2"/>
  <c r="V24" i="1" s="1"/>
  <c r="M69" i="2"/>
  <c r="O8" i="1" s="1"/>
  <c r="M101" i="2"/>
  <c r="O24" i="1" s="1"/>
  <c r="AD19" i="3"/>
  <c r="O97" i="2"/>
  <c r="Q8" i="1"/>
  <c r="Q18" i="1" s="1"/>
  <c r="Q96" i="2"/>
  <c r="S7" i="1"/>
  <c r="S17" i="1" s="1"/>
  <c r="V13" i="1"/>
  <c r="V21" i="1"/>
  <c r="AA15" i="2"/>
  <c r="W15" i="2"/>
  <c r="W52" i="2"/>
  <c r="U18" i="2"/>
  <c r="V18" i="2" s="1"/>
  <c r="AB9" i="2"/>
  <c r="AB12" i="2" s="1"/>
  <c r="AB13" i="2" s="1"/>
  <c r="AA13" i="2"/>
  <c r="AF9" i="2"/>
  <c r="AF12" i="2" s="1"/>
  <c r="X13" i="2"/>
  <c r="X14" i="2"/>
  <c r="Y9" i="2"/>
  <c r="Y12" i="2" s="1"/>
  <c r="Z9" i="2" s="1"/>
  <c r="Z12" i="2" s="1"/>
  <c r="Z14" i="2" s="1"/>
  <c r="Z15" i="2" s="1"/>
  <c r="AF68" i="2"/>
  <c r="C27" i="1" s="1"/>
  <c r="D27" i="1" s="1"/>
  <c r="E27" i="1" s="1"/>
  <c r="U13" i="2"/>
  <c r="AA171" i="2"/>
  <c r="AD171" i="2"/>
  <c r="AF171" i="2" s="1"/>
  <c r="AF168" i="2"/>
  <c r="P162" i="2"/>
  <c r="P88" i="2"/>
  <c r="P89" i="2"/>
  <c r="AA121" i="2"/>
  <c r="AB121" i="2" s="1"/>
  <c r="AC121" i="2" s="1"/>
  <c r="AD121" i="2" s="1"/>
  <c r="AE121" i="2" s="1"/>
  <c r="P73" i="2"/>
  <c r="Q20" i="2"/>
  <c r="K82" i="2"/>
  <c r="M14" i="1" s="1"/>
  <c r="K74" i="2"/>
  <c r="M10" i="1" s="1"/>
  <c r="Q142" i="2"/>
  <c r="Q159" i="2" s="1"/>
  <c r="Q101" i="2"/>
  <c r="S24" i="1" s="1"/>
  <c r="I142" i="2"/>
  <c r="I159" i="2" s="1"/>
  <c r="I101" i="2"/>
  <c r="K24" i="1" s="1"/>
  <c r="G73" i="2"/>
  <c r="I9" i="1" s="1"/>
  <c r="G173" i="2"/>
  <c r="G175" i="2" s="1"/>
  <c r="L175" i="2" s="1"/>
  <c r="T69" i="2"/>
  <c r="V8" i="1" s="1"/>
  <c r="T142" i="2"/>
  <c r="M142" i="2"/>
  <c r="M159" i="2" s="1"/>
  <c r="P52" i="2" l="1"/>
  <c r="Q69" i="2"/>
  <c r="K17" i="2"/>
  <c r="K20" i="2" s="1"/>
  <c r="J22" i="2"/>
  <c r="O21" i="2"/>
  <c r="R97" i="2"/>
  <c r="M97" i="2"/>
  <c r="I54" i="2"/>
  <c r="I52" i="2"/>
  <c r="N23" i="2"/>
  <c r="N49" i="2" s="1"/>
  <c r="N13" i="3" s="1"/>
  <c r="AD18" i="3"/>
  <c r="AD77" i="2" s="1"/>
  <c r="V20" i="1"/>
  <c r="V18" i="1"/>
  <c r="O18" i="1"/>
  <c r="T18" i="1"/>
  <c r="V9" i="1"/>
  <c r="T74" i="2"/>
  <c r="V10" i="1" s="1"/>
  <c r="V22" i="1" s="1"/>
  <c r="Q97" i="2"/>
  <c r="S8" i="1"/>
  <c r="P98" i="2"/>
  <c r="R9" i="1"/>
  <c r="S13" i="1"/>
  <c r="S21" i="1"/>
  <c r="X15" i="2"/>
  <c r="U20" i="2"/>
  <c r="U22" i="2" s="1"/>
  <c r="X52" i="2"/>
  <c r="W18" i="2"/>
  <c r="AB14" i="2"/>
  <c r="AC9" i="2"/>
  <c r="AC12" i="2" s="1"/>
  <c r="AF14" i="2"/>
  <c r="AF15" i="2" s="1"/>
  <c r="AF13" i="2"/>
  <c r="Q21" i="2"/>
  <c r="Q22" i="2"/>
  <c r="Y13" i="2"/>
  <c r="Y14" i="2"/>
  <c r="Z13" i="2"/>
  <c r="P74" i="2"/>
  <c r="R10" i="1" s="1"/>
  <c r="P82" i="2"/>
  <c r="R14" i="1" s="1"/>
  <c r="V17" i="2"/>
  <c r="V20" i="2" s="1"/>
  <c r="Q174" i="2"/>
  <c r="M174" i="2"/>
  <c r="G74" i="2"/>
  <c r="I10" i="1" s="1"/>
  <c r="G82" i="2"/>
  <c r="I14" i="1" s="1"/>
  <c r="L98" i="2"/>
  <c r="Q173" i="2"/>
  <c r="Q73" i="2"/>
  <c r="S9" i="1" s="1"/>
  <c r="T97" i="2"/>
  <c r="I173" i="2"/>
  <c r="I73" i="2"/>
  <c r="K9" i="1" s="1"/>
  <c r="O159" i="2"/>
  <c r="M173" i="2"/>
  <c r="M73" i="2"/>
  <c r="O9" i="1" s="1"/>
  <c r="J54" i="2" l="1"/>
  <c r="J52" i="2"/>
  <c r="O23" i="2"/>
  <c r="O49" i="2" s="1"/>
  <c r="O13" i="3" s="1"/>
  <c r="K22" i="2"/>
  <c r="P21" i="2"/>
  <c r="AF12" i="1"/>
  <c r="S20" i="1"/>
  <c r="S18" i="1"/>
  <c r="U21" i="2"/>
  <c r="Y15" i="2"/>
  <c r="AB15" i="2"/>
  <c r="U23" i="2"/>
  <c r="U48" i="2" s="1"/>
  <c r="U46" i="2" s="1"/>
  <c r="U47" i="2" s="1"/>
  <c r="Q23" i="2"/>
  <c r="Q49" i="2" s="1"/>
  <c r="Q13" i="3" s="1"/>
  <c r="Y52" i="2"/>
  <c r="X18" i="2"/>
  <c r="AC14" i="2"/>
  <c r="AC13" i="2"/>
  <c r="AD9" i="2"/>
  <c r="AD12" i="2" s="1"/>
  <c r="Q52" i="2"/>
  <c r="Q54" i="2"/>
  <c r="V21" i="2"/>
  <c r="V22" i="2"/>
  <c r="AA17" i="2"/>
  <c r="W17" i="2"/>
  <c r="Q98" i="2"/>
  <c r="Q74" i="2"/>
  <c r="S10" i="1" s="1"/>
  <c r="S22" i="1" s="1"/>
  <c r="Q82" i="2"/>
  <c r="S14" i="1" s="1"/>
  <c r="N98" i="2"/>
  <c r="I74" i="2"/>
  <c r="K10" i="1" s="1"/>
  <c r="I82" i="2"/>
  <c r="K14" i="1" s="1"/>
  <c r="M175" i="2"/>
  <c r="N174" i="2" s="1"/>
  <c r="N175" i="2" s="1"/>
  <c r="O174" i="2" s="1"/>
  <c r="Q175" i="2"/>
  <c r="M98" i="2"/>
  <c r="R98" i="2"/>
  <c r="M82" i="2"/>
  <c r="O14" i="1" s="1"/>
  <c r="M74" i="2"/>
  <c r="O10" i="1" s="1"/>
  <c r="O173" i="2"/>
  <c r="O73" i="2"/>
  <c r="Q9" i="1" s="1"/>
  <c r="U58" i="2" l="1"/>
  <c r="K54" i="2"/>
  <c r="K52" i="2"/>
  <c r="P23" i="2"/>
  <c r="P49" i="2" s="1"/>
  <c r="P13" i="3" s="1"/>
  <c r="AC15" i="2"/>
  <c r="V52" i="2"/>
  <c r="V23" i="2"/>
  <c r="Y18" i="2"/>
  <c r="Z52" i="2"/>
  <c r="AE9" i="2"/>
  <c r="AE12" i="2" s="1"/>
  <c r="AD13" i="2"/>
  <c r="AD14" i="2"/>
  <c r="O175" i="2"/>
  <c r="P174" i="2" s="1"/>
  <c r="P175" i="2" s="1"/>
  <c r="V174" i="2"/>
  <c r="R174" i="2"/>
  <c r="R175" i="2" s="1"/>
  <c r="S174" i="2" s="1"/>
  <c r="S175" i="2" s="1"/>
  <c r="T174" i="2" s="1"/>
  <c r="T175" i="2" s="1"/>
  <c r="U174" i="2" s="1"/>
  <c r="O98" i="2"/>
  <c r="O74" i="2"/>
  <c r="Q10" i="1" s="1"/>
  <c r="T98" i="2"/>
  <c r="O82" i="2"/>
  <c r="Q14" i="1" s="1"/>
  <c r="AD15" i="2" l="1"/>
  <c r="Z18" i="2"/>
  <c r="AA18" i="2" s="1"/>
  <c r="AB52" i="2"/>
  <c r="AE14" i="2"/>
  <c r="AE15" i="2" s="1"/>
  <c r="AE13" i="2"/>
  <c r="AF121" i="2"/>
  <c r="AC52" i="2" l="1"/>
  <c r="AB18" i="2"/>
  <c r="AD52" i="2" l="1"/>
  <c r="AC18" i="2"/>
  <c r="AE52" i="2" l="1"/>
  <c r="AE18" i="2" s="1"/>
  <c r="AD18" i="2"/>
  <c r="AF18" i="2" l="1"/>
  <c r="V162" i="2"/>
  <c r="U164" i="2"/>
  <c r="V164" i="2" l="1"/>
  <c r="AA162" i="2" l="1"/>
  <c r="V40" i="2"/>
  <c r="V41" i="2" s="1"/>
  <c r="Z40" i="2"/>
  <c r="AA40" i="2" s="1"/>
  <c r="W6" i="1" l="1"/>
  <c r="W16" i="1" s="1"/>
  <c r="U53" i="2"/>
  <c r="U54" i="2"/>
  <c r="U93" i="2"/>
  <c r="AE40" i="2"/>
  <c r="AA41" i="2"/>
  <c r="U60" i="2"/>
  <c r="U59" i="2" s="1"/>
  <c r="U143" i="2"/>
  <c r="U62" i="2"/>
  <c r="V62" i="2" s="1"/>
  <c r="U108" i="2"/>
  <c r="V58" i="2"/>
  <c r="X6" i="1" s="1"/>
  <c r="X16" i="1" s="1"/>
  <c r="U110" i="2"/>
  <c r="U88" i="2"/>
  <c r="Z88" i="2" s="1"/>
  <c r="U61" i="2"/>
  <c r="V61" i="2" s="1"/>
  <c r="V47" i="2" l="1"/>
  <c r="V30" i="2" s="1"/>
  <c r="V42" i="2" s="1"/>
  <c r="V85" i="2"/>
  <c r="V23" i="3" s="1"/>
  <c r="V54" i="2"/>
  <c r="V53" i="2"/>
  <c r="V86" i="2"/>
  <c r="AF40" i="2"/>
  <c r="AF41" i="2" s="1"/>
  <c r="V110" i="2"/>
  <c r="U152" i="2"/>
  <c r="V152" i="2" s="1"/>
  <c r="V143" i="2"/>
  <c r="U89" i="2"/>
  <c r="U115" i="2"/>
  <c r="V115" i="2" s="1"/>
  <c r="U109" i="2"/>
  <c r="U120" i="2"/>
  <c r="U119" i="2"/>
  <c r="U124" i="2"/>
  <c r="V59" i="2"/>
  <c r="V93" i="2"/>
  <c r="V88" i="2"/>
  <c r="AE88" i="2"/>
  <c r="V108" i="2"/>
  <c r="U150" i="2"/>
  <c r="U94" i="2"/>
  <c r="V60" i="2"/>
  <c r="U63" i="2"/>
  <c r="U79" i="2"/>
  <c r="V46" i="2" l="1"/>
  <c r="V119" i="2"/>
  <c r="U154" i="2"/>
  <c r="V154" i="2" s="1"/>
  <c r="U122" i="2"/>
  <c r="V150" i="2"/>
  <c r="V120" i="2"/>
  <c r="U155" i="2"/>
  <c r="V155" i="2" s="1"/>
  <c r="V87" i="2"/>
  <c r="V89" i="2"/>
  <c r="U80" i="2"/>
  <c r="U72" i="2"/>
  <c r="W7" i="1" s="1"/>
  <c r="W17" i="1" s="1"/>
  <c r="U65" i="2"/>
  <c r="V63" i="2"/>
  <c r="U95" i="2"/>
  <c r="U78" i="2"/>
  <c r="V132" i="2"/>
  <c r="U151" i="2"/>
  <c r="V151" i="2" s="1"/>
  <c r="V109" i="2"/>
  <c r="V94" i="2"/>
  <c r="V77" i="2"/>
  <c r="V79" i="2"/>
  <c r="V124" i="2"/>
  <c r="U156" i="2"/>
  <c r="V156" i="2" s="1"/>
  <c r="V136" i="2"/>
  <c r="V48" i="2" l="1"/>
  <c r="V49" i="2" s="1"/>
  <c r="V13" i="3" s="1"/>
  <c r="V18" i="3"/>
  <c r="X12" i="1"/>
  <c r="W13" i="1"/>
  <c r="W21" i="1"/>
  <c r="V138" i="2"/>
  <c r="V78" i="2"/>
  <c r="V95" i="2"/>
  <c r="V80" i="2"/>
  <c r="V72" i="2"/>
  <c r="X7" i="1" s="1"/>
  <c r="X17" i="1" s="1"/>
  <c r="U148" i="2"/>
  <c r="V148" i="2" s="1"/>
  <c r="U96" i="2"/>
  <c r="U81" i="2"/>
  <c r="V122" i="2"/>
  <c r="U127" i="2"/>
  <c r="V127" i="2" s="1"/>
  <c r="V133" i="2"/>
  <c r="V137" i="2"/>
  <c r="U66" i="2"/>
  <c r="V65" i="2"/>
  <c r="V134" i="2"/>
  <c r="U177" i="2" l="1"/>
  <c r="U178" i="2" s="1"/>
  <c r="X13" i="1"/>
  <c r="X21" i="1"/>
  <c r="V135" i="2"/>
  <c r="V66" i="2"/>
  <c r="U67" i="2"/>
  <c r="V96" i="2"/>
  <c r="V81" i="2"/>
  <c r="V90" i="2" l="1"/>
  <c r="V67" i="2"/>
  <c r="U69" i="2"/>
  <c r="W8" i="1" s="1"/>
  <c r="U142" i="2"/>
  <c r="W20" i="1" l="1"/>
  <c r="W18" i="1"/>
  <c r="U159" i="2"/>
  <c r="U128" i="2"/>
  <c r="V142" i="2"/>
  <c r="V69" i="2"/>
  <c r="X8" i="1" s="1"/>
  <c r="U97" i="2"/>
  <c r="X20" i="1" l="1"/>
  <c r="X18" i="1"/>
  <c r="U102" i="2"/>
  <c r="W25" i="1" s="1"/>
  <c r="U101" i="2"/>
  <c r="W24" i="1" s="1"/>
  <c r="U73" i="2"/>
  <c r="W9" i="1" s="1"/>
  <c r="U173" i="2"/>
  <c r="U175" i="2" s="1"/>
  <c r="U106" i="2" s="1"/>
  <c r="V159" i="2"/>
  <c r="V97" i="2"/>
  <c r="V128" i="2"/>
  <c r="V102" i="2" l="1"/>
  <c r="X25" i="1" s="1"/>
  <c r="V101" i="2"/>
  <c r="X24" i="1" s="1"/>
  <c r="V73" i="2"/>
  <c r="X9" i="1" s="1"/>
  <c r="V173" i="2"/>
  <c r="V175" i="2" s="1"/>
  <c r="V106" i="2"/>
  <c r="U113" i="2"/>
  <c r="U82" i="2"/>
  <c r="W14" i="1" s="1"/>
  <c r="U74" i="2"/>
  <c r="W10" i="1" s="1"/>
  <c r="W22" i="1" s="1"/>
  <c r="U98" i="2"/>
  <c r="V74" i="2" l="1"/>
  <c r="X10" i="1" s="1"/>
  <c r="X22" i="1" s="1"/>
  <c r="V82" i="2"/>
  <c r="X14" i="1" s="1"/>
  <c r="V98" i="2"/>
  <c r="U117" i="2"/>
  <c r="V113" i="2"/>
  <c r="AA174" i="2"/>
  <c r="W174" i="2"/>
  <c r="U129" i="2" l="1"/>
  <c r="V117" i="2"/>
  <c r="V129" i="2" s="1"/>
  <c r="V8" i="3" l="1"/>
  <c r="X17" i="2"/>
  <c r="Y17" i="2"/>
  <c r="Z17" i="2"/>
  <c r="AB17" i="2"/>
  <c r="AC17" i="2"/>
  <c r="AD17" i="2"/>
  <c r="AE17" i="2"/>
  <c r="AF17" i="2"/>
  <c r="W19" i="2"/>
  <c r="X19" i="2"/>
  <c r="Y19" i="2"/>
  <c r="Z19" i="2"/>
  <c r="AA19" i="2"/>
  <c r="AB19" i="2"/>
  <c r="AC19" i="2"/>
  <c r="AD19" i="2"/>
  <c r="AE19" i="2"/>
  <c r="AF19" i="2"/>
  <c r="W20" i="2"/>
  <c r="X20" i="2"/>
  <c r="Y20" i="2"/>
  <c r="Z20" i="2"/>
  <c r="AA20" i="2"/>
  <c r="AB20" i="2"/>
  <c r="AC20" i="2"/>
  <c r="AD20" i="2"/>
  <c r="AE20" i="2"/>
  <c r="AF20" i="2"/>
  <c r="W21" i="2"/>
  <c r="X21" i="2"/>
  <c r="Y21" i="2"/>
  <c r="Z21" i="2"/>
  <c r="AA21" i="2"/>
  <c r="AB21" i="2"/>
  <c r="AC21" i="2"/>
  <c r="AD21" i="2"/>
  <c r="AE21" i="2"/>
  <c r="AF21" i="2"/>
  <c r="W22" i="2"/>
  <c r="X22" i="2"/>
  <c r="Y22" i="2"/>
  <c r="Z22" i="2"/>
  <c r="AA22" i="2"/>
  <c r="AB22" i="2"/>
  <c r="AC22" i="2"/>
  <c r="AD22" i="2"/>
  <c r="AE22" i="2"/>
  <c r="AF22" i="2"/>
  <c r="W23" i="2"/>
  <c r="X23" i="2"/>
  <c r="Y23" i="2"/>
  <c r="Z23" i="2"/>
  <c r="AA23" i="2"/>
  <c r="AB23" i="2"/>
  <c r="AC23" i="2"/>
  <c r="AD23" i="2"/>
  <c r="AE23" i="2"/>
  <c r="AF23" i="2"/>
  <c r="AA30" i="2"/>
  <c r="AF30" i="2"/>
  <c r="AA42" i="2"/>
  <c r="AF42" i="2"/>
  <c r="W46" i="2"/>
  <c r="X46" i="2"/>
  <c r="Y46" i="2"/>
  <c r="Z46" i="2"/>
  <c r="AA46" i="2"/>
  <c r="AB46" i="2"/>
  <c r="AC46" i="2"/>
  <c r="AD46" i="2"/>
  <c r="AE46" i="2"/>
  <c r="AF46" i="2"/>
  <c r="W47" i="2"/>
  <c r="X47" i="2"/>
  <c r="Y47" i="2"/>
  <c r="Z47" i="2"/>
  <c r="AA47" i="2"/>
  <c r="AB47" i="2"/>
  <c r="AC47" i="2"/>
  <c r="AD47" i="2"/>
  <c r="AE47" i="2"/>
  <c r="AF47" i="2"/>
  <c r="W48" i="2"/>
  <c r="X48" i="2"/>
  <c r="Y48" i="2"/>
  <c r="Z48" i="2"/>
  <c r="AA48" i="2"/>
  <c r="AB48" i="2"/>
  <c r="AC48" i="2"/>
  <c r="AD48" i="2"/>
  <c r="AE48" i="2"/>
  <c r="AF48" i="2"/>
  <c r="AA49" i="2"/>
  <c r="AF49" i="2"/>
  <c r="AA52" i="2"/>
  <c r="AF52" i="2"/>
  <c r="W53" i="2"/>
  <c r="X53" i="2"/>
  <c r="Y53" i="2"/>
  <c r="Z53" i="2"/>
  <c r="AA53" i="2"/>
  <c r="AB53" i="2"/>
  <c r="AC53" i="2"/>
  <c r="AD53" i="2"/>
  <c r="AE53" i="2"/>
  <c r="AF53" i="2"/>
  <c r="W54" i="2"/>
  <c r="X54" i="2"/>
  <c r="Y54" i="2"/>
  <c r="Z54" i="2"/>
  <c r="AA54" i="2"/>
  <c r="AB54" i="2"/>
  <c r="AC54" i="2"/>
  <c r="AD54" i="2"/>
  <c r="AE54" i="2"/>
  <c r="AF54" i="2"/>
  <c r="W58" i="2"/>
  <c r="X58" i="2"/>
  <c r="Y58" i="2"/>
  <c r="Z58" i="2"/>
  <c r="AA58" i="2"/>
  <c r="AB58" i="2"/>
  <c r="AC58" i="2"/>
  <c r="AD58" i="2"/>
  <c r="AE58" i="2"/>
  <c r="AF58" i="2"/>
  <c r="W59" i="2"/>
  <c r="X59" i="2"/>
  <c r="Y59" i="2"/>
  <c r="Z59" i="2"/>
  <c r="AA59" i="2"/>
  <c r="AB59" i="2"/>
  <c r="AC59" i="2"/>
  <c r="AD59" i="2"/>
  <c r="AE59" i="2"/>
  <c r="AF59" i="2"/>
  <c r="W60" i="2"/>
  <c r="X60" i="2"/>
  <c r="Y60" i="2"/>
  <c r="Z60" i="2"/>
  <c r="AA60" i="2"/>
  <c r="AB60" i="2"/>
  <c r="AC60" i="2"/>
  <c r="AD60" i="2"/>
  <c r="AE60" i="2"/>
  <c r="AF60" i="2"/>
  <c r="W61" i="2"/>
  <c r="X61" i="2"/>
  <c r="Y61" i="2"/>
  <c r="Z61" i="2"/>
  <c r="AA61" i="2"/>
  <c r="AB61" i="2"/>
  <c r="AC61" i="2"/>
  <c r="AD61" i="2"/>
  <c r="AE61" i="2"/>
  <c r="AF61" i="2"/>
  <c r="W62" i="2"/>
  <c r="X62" i="2"/>
  <c r="Y62" i="2"/>
  <c r="Z62" i="2"/>
  <c r="AA62" i="2"/>
  <c r="AB62" i="2"/>
  <c r="AC62" i="2"/>
  <c r="AD62" i="2"/>
  <c r="AE62" i="2"/>
  <c r="AF62" i="2"/>
  <c r="W63" i="2"/>
  <c r="X63" i="2"/>
  <c r="Y63" i="2"/>
  <c r="Z63" i="2"/>
  <c r="AA63" i="2"/>
  <c r="AB63" i="2"/>
  <c r="AC63" i="2"/>
  <c r="AD63" i="2"/>
  <c r="AE63" i="2"/>
  <c r="AF63" i="2"/>
  <c r="W65" i="2"/>
  <c r="X65" i="2"/>
  <c r="Y65" i="2"/>
  <c r="Z65" i="2"/>
  <c r="AA65" i="2"/>
  <c r="AB65" i="2"/>
  <c r="AC65" i="2"/>
  <c r="AD65" i="2"/>
  <c r="AE65" i="2"/>
  <c r="AF65" i="2"/>
  <c r="W66" i="2"/>
  <c r="X66" i="2"/>
  <c r="Y66" i="2"/>
  <c r="Z66" i="2"/>
  <c r="AA66" i="2"/>
  <c r="AB66" i="2"/>
  <c r="AC66" i="2"/>
  <c r="AD66" i="2"/>
  <c r="AE66" i="2"/>
  <c r="AF66" i="2"/>
  <c r="W67" i="2"/>
  <c r="X67" i="2"/>
  <c r="Y67" i="2"/>
  <c r="Z67" i="2"/>
  <c r="AA67" i="2"/>
  <c r="AB67" i="2"/>
  <c r="AC67" i="2"/>
  <c r="AD67" i="2"/>
  <c r="AE67" i="2"/>
  <c r="AF67" i="2"/>
  <c r="W69" i="2"/>
  <c r="X69" i="2"/>
  <c r="Y69" i="2"/>
  <c r="Z69" i="2"/>
  <c r="AA69" i="2"/>
  <c r="AB69" i="2"/>
  <c r="AC69" i="2"/>
  <c r="AD69" i="2"/>
  <c r="AE69" i="2"/>
  <c r="AF69" i="2"/>
  <c r="W72" i="2"/>
  <c r="X72" i="2"/>
  <c r="Y72" i="2"/>
  <c r="Z72" i="2"/>
  <c r="AA72" i="2"/>
  <c r="AB72" i="2"/>
  <c r="AC72" i="2"/>
  <c r="AD72" i="2"/>
  <c r="AE72" i="2"/>
  <c r="AF72" i="2"/>
  <c r="W73" i="2"/>
  <c r="X73" i="2"/>
  <c r="Y73" i="2"/>
  <c r="Z73" i="2"/>
  <c r="AA73" i="2"/>
  <c r="AB73" i="2"/>
  <c r="AC73" i="2"/>
  <c r="AD73" i="2"/>
  <c r="AE73" i="2"/>
  <c r="AF73" i="2"/>
  <c r="W74" i="2"/>
  <c r="X74" i="2"/>
  <c r="Y74" i="2"/>
  <c r="Z74" i="2"/>
  <c r="AA74" i="2"/>
  <c r="AB74" i="2"/>
  <c r="AC74" i="2"/>
  <c r="AD74" i="2"/>
  <c r="AE74" i="2"/>
  <c r="AF74" i="2"/>
  <c r="AA77" i="2"/>
  <c r="AF77" i="2"/>
  <c r="W78" i="2"/>
  <c r="X78" i="2"/>
  <c r="Y78" i="2"/>
  <c r="Z78" i="2"/>
  <c r="AA78" i="2"/>
  <c r="AB78" i="2"/>
  <c r="AC78" i="2"/>
  <c r="AD78" i="2"/>
  <c r="AE78" i="2"/>
  <c r="AF78" i="2"/>
  <c r="W79" i="2"/>
  <c r="X79" i="2"/>
  <c r="Y79" i="2"/>
  <c r="Z79" i="2"/>
  <c r="AA79" i="2"/>
  <c r="AB79" i="2"/>
  <c r="AC79" i="2"/>
  <c r="AD79" i="2"/>
  <c r="AE79" i="2"/>
  <c r="AF79" i="2"/>
  <c r="W80" i="2"/>
  <c r="X80" i="2"/>
  <c r="Y80" i="2"/>
  <c r="Z80" i="2"/>
  <c r="AA80" i="2"/>
  <c r="AB80" i="2"/>
  <c r="AC80" i="2"/>
  <c r="AD80" i="2"/>
  <c r="AE80" i="2"/>
  <c r="AF80" i="2"/>
  <c r="W81" i="2"/>
  <c r="X81" i="2"/>
  <c r="Y81" i="2"/>
  <c r="Z81" i="2"/>
  <c r="AA81" i="2"/>
  <c r="AB81" i="2"/>
  <c r="AC81" i="2"/>
  <c r="AD81" i="2"/>
  <c r="AE81" i="2"/>
  <c r="AF81" i="2"/>
  <c r="W82" i="2"/>
  <c r="X82" i="2"/>
  <c r="Y82" i="2"/>
  <c r="Z82" i="2"/>
  <c r="AA82" i="2"/>
  <c r="AB82" i="2"/>
  <c r="AC82" i="2"/>
  <c r="AD82" i="2"/>
  <c r="AE82" i="2"/>
  <c r="AF82" i="2"/>
  <c r="AA85" i="2"/>
  <c r="AF85" i="2"/>
  <c r="AA86" i="2"/>
  <c r="AF86" i="2"/>
  <c r="AA87" i="2"/>
  <c r="AF87" i="2"/>
  <c r="AA88" i="2"/>
  <c r="AF88" i="2"/>
  <c r="W89" i="2"/>
  <c r="X89" i="2"/>
  <c r="Y89" i="2"/>
  <c r="Z89" i="2"/>
  <c r="AA89" i="2"/>
  <c r="AB89" i="2"/>
  <c r="AC89" i="2"/>
  <c r="AD89" i="2"/>
  <c r="AE89" i="2"/>
  <c r="AF89" i="2"/>
  <c r="AA90" i="2"/>
  <c r="AF90" i="2"/>
  <c r="W93" i="2"/>
  <c r="X93" i="2"/>
  <c r="Y93" i="2"/>
  <c r="Z93" i="2"/>
  <c r="AA93" i="2"/>
  <c r="AB93" i="2"/>
  <c r="AC93" i="2"/>
  <c r="AD93" i="2"/>
  <c r="AE93" i="2"/>
  <c r="AF93" i="2"/>
  <c r="W94" i="2"/>
  <c r="X94" i="2"/>
  <c r="Y94" i="2"/>
  <c r="Z94" i="2"/>
  <c r="AA94" i="2"/>
  <c r="AB94" i="2"/>
  <c r="AC94" i="2"/>
  <c r="AD94" i="2"/>
  <c r="AE94" i="2"/>
  <c r="AF94" i="2"/>
  <c r="W95" i="2"/>
  <c r="X95" i="2"/>
  <c r="Y95" i="2"/>
  <c r="Z95" i="2"/>
  <c r="AA95" i="2"/>
  <c r="AB95" i="2"/>
  <c r="AC95" i="2"/>
  <c r="AD95" i="2"/>
  <c r="AE95" i="2"/>
  <c r="AF95" i="2"/>
  <c r="W96" i="2"/>
  <c r="X96" i="2"/>
  <c r="Y96" i="2"/>
  <c r="Z96" i="2"/>
  <c r="AA96" i="2"/>
  <c r="AB96" i="2"/>
  <c r="AC96" i="2"/>
  <c r="AD96" i="2"/>
  <c r="AE96" i="2"/>
  <c r="AF96" i="2"/>
  <c r="W97" i="2"/>
  <c r="X97" i="2"/>
  <c r="Y97" i="2"/>
  <c r="Z97" i="2"/>
  <c r="AA97" i="2"/>
  <c r="AB97" i="2"/>
  <c r="AC97" i="2"/>
  <c r="AD97" i="2"/>
  <c r="AE97" i="2"/>
  <c r="AF97" i="2"/>
  <c r="W98" i="2"/>
  <c r="X98" i="2"/>
  <c r="Y98" i="2"/>
  <c r="Z98" i="2"/>
  <c r="AA98" i="2"/>
  <c r="AB98" i="2"/>
  <c r="AC98" i="2"/>
  <c r="AD98" i="2"/>
  <c r="AE98" i="2"/>
  <c r="AF98" i="2"/>
  <c r="W101" i="2"/>
  <c r="X101" i="2"/>
  <c r="Y101" i="2"/>
  <c r="Z101" i="2"/>
  <c r="AA101" i="2"/>
  <c r="AB101" i="2"/>
  <c r="AC101" i="2"/>
  <c r="AD101" i="2"/>
  <c r="AE101" i="2"/>
  <c r="AF101" i="2"/>
  <c r="W102" i="2"/>
  <c r="X102" i="2"/>
  <c r="Y102" i="2"/>
  <c r="Z102" i="2"/>
  <c r="AA102" i="2"/>
  <c r="AB102" i="2"/>
  <c r="AC102" i="2"/>
  <c r="AD102" i="2"/>
  <c r="AE102" i="2"/>
  <c r="AF102" i="2"/>
  <c r="W106" i="2"/>
  <c r="X106" i="2"/>
  <c r="Y106" i="2"/>
  <c r="Z106" i="2"/>
  <c r="AA106" i="2"/>
  <c r="AB106" i="2"/>
  <c r="AC106" i="2"/>
  <c r="AD106" i="2"/>
  <c r="AE106" i="2"/>
  <c r="AF106" i="2"/>
  <c r="W108" i="2"/>
  <c r="X108" i="2"/>
  <c r="Y108" i="2"/>
  <c r="Z108" i="2"/>
  <c r="AA108" i="2"/>
  <c r="AB108" i="2"/>
  <c r="AC108" i="2"/>
  <c r="AD108" i="2"/>
  <c r="AE108" i="2"/>
  <c r="AF108" i="2"/>
  <c r="W109" i="2"/>
  <c r="X109" i="2"/>
  <c r="Y109" i="2"/>
  <c r="Z109" i="2"/>
  <c r="AA109" i="2"/>
  <c r="AB109" i="2"/>
  <c r="AC109" i="2"/>
  <c r="AD109" i="2"/>
  <c r="AE109" i="2"/>
  <c r="AF109" i="2"/>
  <c r="W110" i="2"/>
  <c r="X110" i="2"/>
  <c r="Y110" i="2"/>
  <c r="Z110" i="2"/>
  <c r="AA110" i="2"/>
  <c r="AB110" i="2"/>
  <c r="AC110" i="2"/>
  <c r="AD110" i="2"/>
  <c r="AE110" i="2"/>
  <c r="AF110" i="2"/>
  <c r="W113" i="2"/>
  <c r="X113" i="2"/>
  <c r="Y113" i="2"/>
  <c r="Z113" i="2"/>
  <c r="AA113" i="2"/>
  <c r="AB113" i="2"/>
  <c r="AC113" i="2"/>
  <c r="AD113" i="2"/>
  <c r="AE113" i="2"/>
  <c r="AF113" i="2"/>
  <c r="W115" i="2"/>
  <c r="X115" i="2"/>
  <c r="Y115" i="2"/>
  <c r="Z115" i="2"/>
  <c r="AA115" i="2"/>
  <c r="AB115" i="2"/>
  <c r="AC115" i="2"/>
  <c r="AD115" i="2"/>
  <c r="AE115" i="2"/>
  <c r="AF115" i="2"/>
  <c r="W117" i="2"/>
  <c r="X117" i="2"/>
  <c r="Y117" i="2"/>
  <c r="Z117" i="2"/>
  <c r="AA117" i="2"/>
  <c r="AB117" i="2"/>
  <c r="AC117" i="2"/>
  <c r="AD117" i="2"/>
  <c r="AE117" i="2"/>
  <c r="AF117" i="2"/>
  <c r="W119" i="2"/>
  <c r="X119" i="2"/>
  <c r="Y119" i="2"/>
  <c r="Z119" i="2"/>
  <c r="AA119" i="2"/>
  <c r="AB119" i="2"/>
  <c r="AC119" i="2"/>
  <c r="AD119" i="2"/>
  <c r="AE119" i="2"/>
  <c r="AF119" i="2"/>
  <c r="W120" i="2"/>
  <c r="X120" i="2"/>
  <c r="Y120" i="2"/>
  <c r="Z120" i="2"/>
  <c r="AA120" i="2"/>
  <c r="AB120" i="2"/>
  <c r="AC120" i="2"/>
  <c r="AD120" i="2"/>
  <c r="AE120" i="2"/>
  <c r="AF120" i="2"/>
  <c r="W122" i="2"/>
  <c r="X122" i="2"/>
  <c r="Y122" i="2"/>
  <c r="Z122" i="2"/>
  <c r="AA122" i="2"/>
  <c r="AB122" i="2"/>
  <c r="AC122" i="2"/>
  <c r="AD122" i="2"/>
  <c r="AE122" i="2"/>
  <c r="AF122" i="2"/>
  <c r="W124" i="2"/>
  <c r="X124" i="2"/>
  <c r="Y124" i="2"/>
  <c r="Z124" i="2"/>
  <c r="AA124" i="2"/>
  <c r="AB124" i="2"/>
  <c r="AC124" i="2"/>
  <c r="AD124" i="2"/>
  <c r="AE124" i="2"/>
  <c r="AF124" i="2"/>
  <c r="W127" i="2"/>
  <c r="X127" i="2"/>
  <c r="Y127" i="2"/>
  <c r="Z127" i="2"/>
  <c r="AA127" i="2"/>
  <c r="AB127" i="2"/>
  <c r="AC127" i="2"/>
  <c r="AD127" i="2"/>
  <c r="AE127" i="2"/>
  <c r="AF127" i="2"/>
  <c r="W128" i="2"/>
  <c r="X128" i="2"/>
  <c r="Y128" i="2"/>
  <c r="Z128" i="2"/>
  <c r="AA128" i="2"/>
  <c r="AB128" i="2"/>
  <c r="AC128" i="2"/>
  <c r="AD128" i="2"/>
  <c r="AE128" i="2"/>
  <c r="AF128" i="2"/>
  <c r="W129" i="2"/>
  <c r="X129" i="2"/>
  <c r="Y129" i="2"/>
  <c r="Z129" i="2"/>
  <c r="AA129" i="2"/>
  <c r="AB129" i="2"/>
  <c r="AC129" i="2"/>
  <c r="AD129" i="2"/>
  <c r="AE129" i="2"/>
  <c r="AF129" i="2"/>
  <c r="AA132" i="2"/>
  <c r="AF132" i="2"/>
  <c r="AA133" i="2"/>
  <c r="AF133" i="2"/>
  <c r="AA134" i="2"/>
  <c r="AF134" i="2"/>
  <c r="AA135" i="2"/>
  <c r="AF135" i="2"/>
  <c r="AA136" i="2"/>
  <c r="AF136" i="2"/>
  <c r="AA137" i="2"/>
  <c r="AF137" i="2"/>
  <c r="AA138" i="2"/>
  <c r="AF138" i="2"/>
  <c r="W142" i="2"/>
  <c r="X142" i="2"/>
  <c r="Y142" i="2"/>
  <c r="Z142" i="2"/>
  <c r="AA142" i="2"/>
  <c r="AB142" i="2"/>
  <c r="AC142" i="2"/>
  <c r="AD142" i="2"/>
  <c r="AE142" i="2"/>
  <c r="AF142" i="2"/>
  <c r="W143" i="2"/>
  <c r="X143" i="2"/>
  <c r="Y143" i="2"/>
  <c r="Z143" i="2"/>
  <c r="AA143" i="2"/>
  <c r="AB143" i="2"/>
  <c r="AC143" i="2"/>
  <c r="AD143" i="2"/>
  <c r="AE143" i="2"/>
  <c r="AF143" i="2"/>
  <c r="W148" i="2"/>
  <c r="X148" i="2"/>
  <c r="Y148" i="2"/>
  <c r="Z148" i="2"/>
  <c r="AA148" i="2"/>
  <c r="AB148" i="2"/>
  <c r="AC148" i="2"/>
  <c r="AD148" i="2"/>
  <c r="AE148" i="2"/>
  <c r="AF148" i="2"/>
  <c r="W150" i="2"/>
  <c r="X150" i="2"/>
  <c r="Y150" i="2"/>
  <c r="Z150" i="2"/>
  <c r="AA150" i="2"/>
  <c r="AB150" i="2"/>
  <c r="AC150" i="2"/>
  <c r="AD150" i="2"/>
  <c r="AE150" i="2"/>
  <c r="AF150" i="2"/>
  <c r="W151" i="2"/>
  <c r="X151" i="2"/>
  <c r="Y151" i="2"/>
  <c r="Z151" i="2"/>
  <c r="AA151" i="2"/>
  <c r="AB151" i="2"/>
  <c r="AC151" i="2"/>
  <c r="AD151" i="2"/>
  <c r="AE151" i="2"/>
  <c r="AF151" i="2"/>
  <c r="W152" i="2"/>
  <c r="X152" i="2"/>
  <c r="Y152" i="2"/>
  <c r="Z152" i="2"/>
  <c r="AA152" i="2"/>
  <c r="AB152" i="2"/>
  <c r="AC152" i="2"/>
  <c r="AD152" i="2"/>
  <c r="AE152" i="2"/>
  <c r="AF152" i="2"/>
  <c r="W154" i="2"/>
  <c r="X154" i="2"/>
  <c r="Y154" i="2"/>
  <c r="Z154" i="2"/>
  <c r="AA154" i="2"/>
  <c r="AB154" i="2"/>
  <c r="AC154" i="2"/>
  <c r="AD154" i="2"/>
  <c r="AE154" i="2"/>
  <c r="AF154" i="2"/>
  <c r="W155" i="2"/>
  <c r="X155" i="2"/>
  <c r="Y155" i="2"/>
  <c r="Z155" i="2"/>
  <c r="AA155" i="2"/>
  <c r="AB155" i="2"/>
  <c r="AC155" i="2"/>
  <c r="AD155" i="2"/>
  <c r="AE155" i="2"/>
  <c r="AF155" i="2"/>
  <c r="W156" i="2"/>
  <c r="X156" i="2"/>
  <c r="Y156" i="2"/>
  <c r="Z156" i="2"/>
  <c r="AA156" i="2"/>
  <c r="AB156" i="2"/>
  <c r="AC156" i="2"/>
  <c r="AD156" i="2"/>
  <c r="AE156" i="2"/>
  <c r="AF156" i="2"/>
  <c r="W159" i="2"/>
  <c r="X159" i="2"/>
  <c r="Y159" i="2"/>
  <c r="Z159" i="2"/>
  <c r="AA159" i="2"/>
  <c r="AB159" i="2"/>
  <c r="AC159" i="2"/>
  <c r="AD159" i="2"/>
  <c r="AE159" i="2"/>
  <c r="AF159" i="2"/>
  <c r="W161" i="2"/>
  <c r="X161" i="2"/>
  <c r="Y161" i="2"/>
  <c r="Z161" i="2"/>
  <c r="AA161" i="2"/>
  <c r="AB161" i="2"/>
  <c r="AC161" i="2"/>
  <c r="AD161" i="2"/>
  <c r="AE161" i="2"/>
  <c r="AF161" i="2"/>
  <c r="W164" i="2"/>
  <c r="X164" i="2"/>
  <c r="Y164" i="2"/>
  <c r="Z164" i="2"/>
  <c r="AA164" i="2"/>
  <c r="AB164" i="2"/>
  <c r="AC164" i="2"/>
  <c r="AD164" i="2"/>
  <c r="AE164" i="2"/>
  <c r="AF164" i="2"/>
  <c r="W173" i="2"/>
  <c r="X173" i="2"/>
  <c r="Y173" i="2"/>
  <c r="Z173" i="2"/>
  <c r="AA173" i="2"/>
  <c r="AB173" i="2"/>
  <c r="AC173" i="2"/>
  <c r="AD173" i="2"/>
  <c r="AE173" i="2"/>
  <c r="AF173" i="2"/>
  <c r="X174" i="2"/>
  <c r="Y174" i="2"/>
  <c r="Z174" i="2"/>
  <c r="AB174" i="2"/>
  <c r="AC174" i="2"/>
  <c r="AD174" i="2"/>
  <c r="AE174" i="2"/>
  <c r="AF174" i="2"/>
  <c r="W175" i="2"/>
  <c r="X175" i="2"/>
  <c r="Y175" i="2"/>
  <c r="Z175" i="2"/>
  <c r="AA175" i="2"/>
  <c r="AB175" i="2"/>
  <c r="AC175" i="2"/>
  <c r="AD175" i="2"/>
  <c r="AE175" i="2"/>
  <c r="AF175" i="2"/>
  <c r="AA8" i="3"/>
  <c r="AF8" i="3"/>
  <c r="AA13" i="3"/>
  <c r="AF13" i="3"/>
  <c r="AA18" i="3"/>
  <c r="AF18" i="3"/>
  <c r="AA23" i="3"/>
  <c r="AF23" i="3"/>
  <c r="Y6" i="1"/>
  <c r="Z6" i="1"/>
  <c r="AA6" i="1"/>
  <c r="AB6" i="1"/>
  <c r="AC6" i="1"/>
  <c r="AD6" i="1"/>
  <c r="AE6" i="1"/>
  <c r="AF6" i="1"/>
  <c r="AG6" i="1"/>
  <c r="AH6" i="1"/>
  <c r="Y7" i="1"/>
  <c r="Z7" i="1"/>
  <c r="AA7" i="1"/>
  <c r="AB7" i="1"/>
  <c r="AC7" i="1"/>
  <c r="AD7" i="1"/>
  <c r="AE7" i="1"/>
  <c r="AF7" i="1"/>
  <c r="AG7" i="1"/>
  <c r="AH7" i="1"/>
  <c r="Y8" i="1"/>
  <c r="Z8" i="1"/>
  <c r="AA8" i="1"/>
  <c r="AB8" i="1"/>
  <c r="AC8" i="1"/>
  <c r="AD8" i="1"/>
  <c r="AE8" i="1"/>
  <c r="AF8" i="1"/>
  <c r="AG8" i="1"/>
  <c r="AH8" i="1"/>
  <c r="Y9" i="1"/>
  <c r="Z9" i="1"/>
  <c r="AA9" i="1"/>
  <c r="AB9" i="1"/>
  <c r="AC9" i="1"/>
  <c r="AD9" i="1"/>
  <c r="AE9" i="1"/>
  <c r="AF9" i="1"/>
  <c r="AG9" i="1"/>
  <c r="AH9" i="1"/>
  <c r="Y10" i="1"/>
  <c r="Z10" i="1"/>
  <c r="AA10" i="1"/>
  <c r="AB10" i="1"/>
  <c r="AC10" i="1"/>
  <c r="AD10" i="1"/>
  <c r="AE10" i="1"/>
  <c r="AF10" i="1"/>
  <c r="AG10" i="1"/>
  <c r="AH10" i="1"/>
  <c r="AC12" i="1"/>
  <c r="AH12" i="1"/>
  <c r="C13" i="1"/>
  <c r="D13" i="1"/>
  <c r="E13" i="1"/>
  <c r="Y13" i="1"/>
  <c r="Z13" i="1"/>
  <c r="AA13" i="1"/>
  <c r="AB13" i="1"/>
  <c r="AC13" i="1"/>
  <c r="AD13" i="1"/>
  <c r="AE13" i="1"/>
  <c r="AF13" i="1"/>
  <c r="AG13" i="1"/>
  <c r="AH13" i="1"/>
  <c r="Y14" i="1"/>
  <c r="Z14" i="1"/>
  <c r="AA14" i="1"/>
  <c r="AB14" i="1"/>
  <c r="AC14" i="1"/>
  <c r="AD14" i="1"/>
  <c r="AE14" i="1"/>
  <c r="AF14" i="1"/>
  <c r="AG14" i="1"/>
  <c r="AH14" i="1"/>
  <c r="C15" i="1"/>
  <c r="D15" i="1"/>
  <c r="E15" i="1"/>
  <c r="C16" i="1"/>
  <c r="D16" i="1"/>
  <c r="E16" i="1"/>
  <c r="Y16" i="1"/>
  <c r="Z16" i="1"/>
  <c r="AA16" i="1"/>
  <c r="AB16" i="1"/>
  <c r="AC16" i="1"/>
  <c r="AD16" i="1"/>
  <c r="AE16" i="1"/>
  <c r="AF16" i="1"/>
  <c r="AG16" i="1"/>
  <c r="AH16" i="1"/>
  <c r="Y17" i="1"/>
  <c r="Z17" i="1"/>
  <c r="AA17" i="1"/>
  <c r="AB17" i="1"/>
  <c r="AC17" i="1"/>
  <c r="AD17" i="1"/>
  <c r="AE17" i="1"/>
  <c r="AF17" i="1"/>
  <c r="AG17" i="1"/>
  <c r="AH17" i="1"/>
  <c r="Y18" i="1"/>
  <c r="Z18" i="1"/>
  <c r="AA18" i="1"/>
  <c r="AB18" i="1"/>
  <c r="AC18" i="1"/>
  <c r="AD18" i="1"/>
  <c r="AE18" i="1"/>
  <c r="AF18" i="1"/>
  <c r="AG18" i="1"/>
  <c r="AH18" i="1"/>
  <c r="E19" i="1"/>
  <c r="Y20" i="1"/>
  <c r="Z20" i="1"/>
  <c r="AA20" i="1"/>
  <c r="AB20" i="1"/>
  <c r="AC20" i="1"/>
  <c r="AD20" i="1"/>
  <c r="AE20" i="1"/>
  <c r="AF20" i="1"/>
  <c r="AG20" i="1"/>
  <c r="AH20" i="1"/>
  <c r="Y21" i="1"/>
  <c r="Z21" i="1"/>
  <c r="AA21" i="1"/>
  <c r="AB21" i="1"/>
  <c r="AC21" i="1"/>
  <c r="AD21" i="1"/>
  <c r="AE21" i="1"/>
  <c r="AF21" i="1"/>
  <c r="AG21" i="1"/>
  <c r="AH21" i="1"/>
  <c r="C22" i="1"/>
  <c r="D22" i="1"/>
  <c r="E22" i="1"/>
  <c r="Y22" i="1"/>
  <c r="Z22" i="1"/>
  <c r="AA22" i="1"/>
  <c r="AB22" i="1"/>
  <c r="AC22" i="1"/>
  <c r="AD22" i="1"/>
  <c r="AE22" i="1"/>
  <c r="AF22" i="1"/>
  <c r="AG22" i="1"/>
  <c r="AH22" i="1"/>
  <c r="C24" i="1"/>
  <c r="D24" i="1"/>
  <c r="E24" i="1"/>
  <c r="Y24" i="1"/>
  <c r="Z24" i="1"/>
  <c r="AA24" i="1"/>
  <c r="AB24" i="1"/>
  <c r="AC24" i="1"/>
  <c r="AD24" i="1"/>
  <c r="AE24" i="1"/>
  <c r="AF24" i="1"/>
  <c r="AG24" i="1"/>
  <c r="AH24" i="1"/>
  <c r="C25" i="1"/>
  <c r="D25" i="1"/>
  <c r="E25" i="1"/>
  <c r="Y25" i="1"/>
  <c r="Z25" i="1"/>
  <c r="AA25" i="1"/>
  <c r="AB25" i="1"/>
  <c r="AC25" i="1"/>
  <c r="AD25" i="1"/>
  <c r="AE25" i="1"/>
  <c r="AF25" i="1"/>
  <c r="AG25" i="1"/>
  <c r="AH25" i="1"/>
  <c r="C26" i="1"/>
  <c r="D26" i="1"/>
  <c r="E26" i="1"/>
  <c r="C28" i="1"/>
  <c r="D28" i="1"/>
  <c r="E28" i="1"/>
  <c r="C29" i="1"/>
  <c r="D29" i="1"/>
  <c r="E29" i="1"/>
  <c r="E32" i="1"/>
  <c r="E34" i="1"/>
  <c r="E35" i="1"/>
</calcChain>
</file>

<file path=xl/sharedStrings.xml><?xml version="1.0" encoding="utf-8"?>
<sst xmlns="http://schemas.openxmlformats.org/spreadsheetml/2006/main" count="264" uniqueCount="183">
  <si>
    <t>ULTA</t>
  </si>
  <si>
    <t>Price</t>
  </si>
  <si>
    <t>Market Cap</t>
  </si>
  <si>
    <t>Enterprise Value</t>
  </si>
  <si>
    <t>1Q</t>
  </si>
  <si>
    <t>2Q</t>
  </si>
  <si>
    <t>3Q</t>
  </si>
  <si>
    <t>4Q</t>
  </si>
  <si>
    <t>2018E</t>
  </si>
  <si>
    <t>2017E</t>
  </si>
  <si>
    <t>2016E</t>
  </si>
  <si>
    <t>4QE</t>
  </si>
  <si>
    <t>1QE</t>
  </si>
  <si>
    <t>2QE</t>
  </si>
  <si>
    <t>3QE</t>
  </si>
  <si>
    <t>TRADING STATISTICS</t>
  </si>
  <si>
    <t>Scenario Drivers</t>
  </si>
  <si>
    <t>SUMMARY FINANCIALS</t>
  </si>
  <si>
    <t>Financial Dashboard - FY End 1/31</t>
  </si>
  <si>
    <t>Earnings Model - FY End 1/31</t>
  </si>
  <si>
    <t>SEGMENT DATA</t>
  </si>
  <si>
    <t>INCOME STATEMENT</t>
  </si>
  <si>
    <t>BALANCE SHEET</t>
  </si>
  <si>
    <t>CASH FLOW</t>
  </si>
  <si>
    <t>Stores: BOP</t>
  </si>
  <si>
    <t>(+) Opened</t>
  </si>
  <si>
    <t>(-) Closed</t>
  </si>
  <si>
    <t>Stores EOP</t>
  </si>
  <si>
    <t>Gross Sq. Feet EOP</t>
  </si>
  <si>
    <t>Gross Sq. Feet BOP (m)</t>
  </si>
  <si>
    <t>Avg Store Size</t>
  </si>
  <si>
    <t>Net Sales</t>
  </si>
  <si>
    <t>Total</t>
  </si>
  <si>
    <t>Retail</t>
  </si>
  <si>
    <t>Salon</t>
  </si>
  <si>
    <t>Transactions</t>
  </si>
  <si>
    <t>Ticket</t>
  </si>
  <si>
    <t>Salon Sales</t>
  </si>
  <si>
    <t>E-Commerce Sales</t>
  </si>
  <si>
    <t>y/y %</t>
  </si>
  <si>
    <t>2-yr stack%</t>
  </si>
  <si>
    <t>Earnings per Share</t>
  </si>
  <si>
    <t>(-) COGS</t>
  </si>
  <si>
    <t>Gross Profit</t>
  </si>
  <si>
    <t>(-) SG&amp;A</t>
  </si>
  <si>
    <t>(-) Pre-Opening Expenses</t>
  </si>
  <si>
    <t>EBIT</t>
  </si>
  <si>
    <t>(+/-) Net interest</t>
  </si>
  <si>
    <t>EBT</t>
  </si>
  <si>
    <t>(-) Taxes</t>
  </si>
  <si>
    <t>Net Income</t>
  </si>
  <si>
    <t>Diluted Shares Out</t>
  </si>
  <si>
    <t>Cash/Equivalents</t>
  </si>
  <si>
    <t>Short-term Investments</t>
  </si>
  <si>
    <t>AR</t>
  </si>
  <si>
    <t>Inventory</t>
  </si>
  <si>
    <t>Prepaid/other</t>
  </si>
  <si>
    <t>Prepaid income taxes</t>
  </si>
  <si>
    <t>Deferred taxes</t>
  </si>
  <si>
    <t>Current Assets</t>
  </si>
  <si>
    <t>Accounts Receivable</t>
  </si>
  <si>
    <t>Total Assets</t>
  </si>
  <si>
    <t>Current Liabilities</t>
  </si>
  <si>
    <t>Total Liabilities</t>
  </si>
  <si>
    <t>Total Equity</t>
  </si>
  <si>
    <t xml:space="preserve">check </t>
  </si>
  <si>
    <t>Net PP&amp;E</t>
  </si>
  <si>
    <t>Deferred comp plan</t>
  </si>
  <si>
    <t>Accounts Payable</t>
  </si>
  <si>
    <t>Accrued Liabilities</t>
  </si>
  <si>
    <t>Accrued Taxes</t>
  </si>
  <si>
    <t>Deferred rent</t>
  </si>
  <si>
    <t>Other long-term liabilities</t>
  </si>
  <si>
    <t>D&amp;A</t>
  </si>
  <si>
    <t>SBC</t>
  </si>
  <si>
    <t>Excess tax from SBC</t>
  </si>
  <si>
    <t>Inv</t>
  </si>
  <si>
    <t>Income taxes</t>
  </si>
  <si>
    <t>AP</t>
  </si>
  <si>
    <t>Accrued Liab</t>
  </si>
  <si>
    <t>Deferred Rent</t>
  </si>
  <si>
    <t>Other assets/liabilities</t>
  </si>
  <si>
    <t>Working Capital</t>
  </si>
  <si>
    <t>Deferred income tax</t>
  </si>
  <si>
    <t>Loss on disposal of PP&amp;E</t>
  </si>
  <si>
    <t>Cash From Operations</t>
  </si>
  <si>
    <t>Capex</t>
  </si>
  <si>
    <t>Other</t>
  </si>
  <si>
    <t>Cash from Investing</t>
  </si>
  <si>
    <t>Repurchase</t>
  </si>
  <si>
    <t>Stock options exercised</t>
  </si>
  <si>
    <t>Purchase of treasury shares</t>
  </si>
  <si>
    <t>Cash from Financing</t>
  </si>
  <si>
    <t>Net Change</t>
  </si>
  <si>
    <t>Cash: BOP</t>
  </si>
  <si>
    <t>Cash: EOP</t>
  </si>
  <si>
    <t>DSO</t>
  </si>
  <si>
    <t>DIO</t>
  </si>
  <si>
    <t>DPO</t>
  </si>
  <si>
    <t>Margins %</t>
  </si>
  <si>
    <t>Gross Margin %</t>
  </si>
  <si>
    <t>EBIT Margin %</t>
  </si>
  <si>
    <t>Growth y/y %</t>
  </si>
  <si>
    <t>EBITDA</t>
  </si>
  <si>
    <t>FCF (CFO - Capex)</t>
  </si>
  <si>
    <t>FCF/Share</t>
  </si>
  <si>
    <t>% of Sales</t>
  </si>
  <si>
    <t>FCF Conversion %</t>
  </si>
  <si>
    <t>EBITDA Margin %</t>
  </si>
  <si>
    <t>Incremental Gross Margin %</t>
  </si>
  <si>
    <t>Incremental EBIT Margin %</t>
  </si>
  <si>
    <t>SG&amp;A/Sales %</t>
  </si>
  <si>
    <t>Effective Tax Rate %</t>
  </si>
  <si>
    <t>Pre-Opening/Sales %</t>
  </si>
  <si>
    <t>Revenue %</t>
  </si>
  <si>
    <t>EPS</t>
  </si>
  <si>
    <t>FCF</t>
  </si>
  <si>
    <t>Cash Taxes</t>
  </si>
  <si>
    <t>Retail+Salon Comp</t>
  </si>
  <si>
    <t>E-Commerce Comp</t>
  </si>
  <si>
    <t>Total Comp</t>
  </si>
  <si>
    <t>Sales/SqFt</t>
  </si>
  <si>
    <t>Return Metrics</t>
  </si>
  <si>
    <t>ROE</t>
  </si>
  <si>
    <t>ROIC</t>
  </si>
  <si>
    <t>Accrued Liabilities/COGS %</t>
  </si>
  <si>
    <t>Deferred rent / COGS %</t>
  </si>
  <si>
    <t>Prepaid+Other / Sales %</t>
  </si>
  <si>
    <t>Sales/Store ($m)</t>
  </si>
  <si>
    <t>growth y/y %</t>
  </si>
  <si>
    <t>Balance (Retail)</t>
  </si>
  <si>
    <t>Capex/Sales %</t>
  </si>
  <si>
    <t>Capex/D&amp;A %</t>
  </si>
  <si>
    <t>D&amp;A/Sales %</t>
  </si>
  <si>
    <t>Revenue Growth y/y %</t>
  </si>
  <si>
    <t>1. Bear</t>
  </si>
  <si>
    <t>2. Base</t>
  </si>
  <si>
    <t>3. Bull</t>
  </si>
  <si>
    <t>CASE TOGGLE:</t>
  </si>
  <si>
    <t>1QA</t>
  </si>
  <si>
    <t>2QA</t>
  </si>
  <si>
    <t>3QA</t>
  </si>
  <si>
    <t>Average Stores Open</t>
  </si>
  <si>
    <t>Average Sq. Footage</t>
  </si>
  <si>
    <t>Same-Store Sales</t>
  </si>
  <si>
    <t>New Store Sales</t>
  </si>
  <si>
    <t>% of book</t>
  </si>
  <si>
    <t>New Store Sales Growth %</t>
  </si>
  <si>
    <t>Revenue</t>
  </si>
  <si>
    <t>Net Debt (Cash)</t>
  </si>
  <si>
    <t>FCF/Net Income %</t>
  </si>
  <si>
    <t>P/E</t>
  </si>
  <si>
    <t>EV/EBITDA</t>
  </si>
  <si>
    <t>FCF Yield %</t>
  </si>
  <si>
    <t>New Store Productivity %</t>
  </si>
  <si>
    <t>EPS Valuation</t>
  </si>
  <si>
    <t>2018 EPS</t>
  </si>
  <si>
    <t>P/E Multiple</t>
  </si>
  <si>
    <t>Bear</t>
  </si>
  <si>
    <t>Base</t>
  </si>
  <si>
    <t>Bull</t>
  </si>
  <si>
    <t>Share Price</t>
  </si>
  <si>
    <t>Diluted Shares</t>
  </si>
  <si>
    <t>EPS Growth y/y %</t>
  </si>
  <si>
    <t>EBITDA Growth y/y %</t>
  </si>
  <si>
    <t>Upside/(Downside)</t>
  </si>
  <si>
    <t>Probability</t>
  </si>
  <si>
    <t>EBITDA Valuation</t>
  </si>
  <si>
    <t>EBITDA Multiple</t>
  </si>
  <si>
    <t>2018 EBITDA</t>
  </si>
  <si>
    <t>Shares Outstanding</t>
  </si>
  <si>
    <t>Weighted Average Target Price:</t>
  </si>
  <si>
    <t>Weighted Average Price (P/E Multiple)</t>
  </si>
  <si>
    <t>Weighted Average (EBITDA Multiple)</t>
  </si>
  <si>
    <t>STORE DATA:</t>
  </si>
  <si>
    <t>SSS DATA:</t>
  </si>
  <si>
    <t>STORE PROFITABILITY:</t>
  </si>
  <si>
    <t>Working Capital Metrics:</t>
  </si>
  <si>
    <t>SSS Growth %</t>
  </si>
  <si>
    <t>Cash Conversion Cycle (Days)</t>
  </si>
  <si>
    <t>Add: Net Cash (2018)</t>
  </si>
  <si>
    <t>2-year stack</t>
  </si>
  <si>
    <t>3-year stack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</si>
</sst>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0.0"/>
    <numFmt numFmtId="165" formatCode="_(* #,##0.0_);_(* \(#,##0.0\);_(* &quot;-&quot;?_);_(@_)"/>
    <numFmt numFmtId="166" formatCode="m/d/yy;@"/>
    <numFmt numFmtId="167" formatCode="0.0%"/>
    <numFmt numFmtId="168" formatCode="_(* #,##0.000_);_(* \(#,##0.000\);_(* &quot;-&quot;?_);_(@_)"/>
    <numFmt numFmtId="169" formatCode="_(* #,##0.0_);_(* \(#,##0.0\);_(* &quot;-&quot;??_);_(@_)"/>
    <numFmt numFmtId="170" formatCode="&quot;$&quot;#,##0.0_);[Red]\(&quot;$&quot;#,##0.0\)"/>
    <numFmt numFmtId="171" formatCode="0.0\x"/>
    <numFmt numFmtId="172" formatCode="#,##0.0_);\(#,##0.0\)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B0F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color theme="1"/>
      <name val="Calibri"/>
      <family val="2"/>
      <scheme val="minor"/>
    </font>
    <font>
      <i/>
      <sz val="11"/>
      <name val="Calibri"/>
      <family val="2"/>
      <scheme val="minor"/>
    </font>
    <font>
      <i/>
      <sz val="11"/>
      <color rgb="FF00B050"/>
      <name val="Calibri"/>
      <family val="2"/>
      <scheme val="minor"/>
    </font>
    <font>
      <sz val="11"/>
      <color theme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01">
    <xf numFmtId="0" fontId="0" fillId="0" borderId="0" xfId="0"/>
    <xf numFmtId="18" fontId="0" fillId="0" borderId="0" xfId="0" applyNumberFormat="1"/>
    <xf numFmtId="0" fontId="0" fillId="0" borderId="0" xfId="0" applyAlignment="1">
      <alignment horizontal="center"/>
    </xf>
    <xf numFmtId="0" fontId="2" fillId="0" borderId="0" xfId="0" applyFont="1"/>
    <xf numFmtId="0" fontId="2" fillId="0" borderId="1" xfId="0" applyFont="1" applyBorder="1"/>
    <xf numFmtId="0" fontId="0" fillId="0" borderId="1" xfId="0" applyBorder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/>
    <xf numFmtId="0" fontId="3" fillId="2" borderId="1" xfId="0" applyFont="1" applyFill="1" applyBorder="1"/>
    <xf numFmtId="0" fontId="3" fillId="2" borderId="7" xfId="0" applyFont="1" applyFill="1" applyBorder="1"/>
    <xf numFmtId="0" fontId="7" fillId="0" borderId="0" xfId="0" applyFont="1" applyAlignment="1">
      <alignment horizontal="center"/>
    </xf>
    <xf numFmtId="0" fontId="0" fillId="0" borderId="0" xfId="0" applyBorder="1"/>
    <xf numFmtId="0" fontId="0" fillId="0" borderId="0" xfId="0" applyAlignment="1">
      <alignment horizontal="left" indent="1"/>
    </xf>
    <xf numFmtId="164" fontId="0" fillId="0" borderId="0" xfId="0" applyNumberFormat="1"/>
    <xf numFmtId="165" fontId="0" fillId="0" borderId="0" xfId="0" applyNumberFormat="1" applyAlignment="1">
      <alignment horizontal="right"/>
    </xf>
    <xf numFmtId="165" fontId="5" fillId="0" borderId="0" xfId="0" applyNumberFormat="1" applyFont="1" applyAlignment="1">
      <alignment horizontal="right"/>
    </xf>
    <xf numFmtId="165" fontId="4" fillId="0" borderId="0" xfId="0" applyNumberFormat="1" applyFont="1" applyAlignment="1">
      <alignment horizontal="right"/>
    </xf>
    <xf numFmtId="9" fontId="0" fillId="0" borderId="0" xfId="0" applyNumberFormat="1"/>
    <xf numFmtId="9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167" fontId="4" fillId="0" borderId="0" xfId="0" applyNumberFormat="1" applyFont="1"/>
    <xf numFmtId="167" fontId="4" fillId="0" borderId="0" xfId="0" applyNumberFormat="1" applyFont="1" applyAlignment="1">
      <alignment horizontal="right"/>
    </xf>
    <xf numFmtId="0" fontId="10" fillId="0" borderId="0" xfId="0" applyFont="1" applyAlignment="1">
      <alignment horizontal="left" indent="1"/>
    </xf>
    <xf numFmtId="167" fontId="10" fillId="0" borderId="0" xfId="0" applyNumberFormat="1" applyFont="1" applyAlignment="1">
      <alignment horizontal="right"/>
    </xf>
    <xf numFmtId="167" fontId="5" fillId="0" borderId="0" xfId="0" applyNumberFormat="1" applyFont="1" applyAlignment="1">
      <alignment horizontal="left" indent="1"/>
    </xf>
    <xf numFmtId="167" fontId="5" fillId="0" borderId="0" xfId="0" applyNumberFormat="1" applyFont="1"/>
    <xf numFmtId="167" fontId="5" fillId="0" borderId="0" xfId="0" applyNumberFormat="1" applyFont="1" applyAlignment="1">
      <alignment horizontal="right"/>
    </xf>
    <xf numFmtId="8" fontId="0" fillId="0" borderId="0" xfId="0" applyNumberFormat="1"/>
    <xf numFmtId="8" fontId="0" fillId="0" borderId="0" xfId="0" applyNumberFormat="1" applyAlignment="1">
      <alignment horizontal="right"/>
    </xf>
    <xf numFmtId="8" fontId="5" fillId="0" borderId="0" xfId="0" applyNumberFormat="1" applyFont="1" applyAlignment="1">
      <alignment horizontal="right"/>
    </xf>
    <xf numFmtId="0" fontId="2" fillId="0" borderId="0" xfId="0" applyFont="1" applyAlignment="1">
      <alignment horizontal="left" indent="1"/>
    </xf>
    <xf numFmtId="0" fontId="0" fillId="0" borderId="0" xfId="0" applyFont="1" applyAlignment="1">
      <alignment horizontal="left" indent="1"/>
    </xf>
    <xf numFmtId="0" fontId="0" fillId="0" borderId="0" xfId="0" applyFont="1"/>
    <xf numFmtId="165" fontId="0" fillId="0" borderId="0" xfId="0" applyNumberFormat="1" applyFont="1" applyAlignment="1">
      <alignment horizontal="right"/>
    </xf>
    <xf numFmtId="165" fontId="11" fillId="0" borderId="0" xfId="0" applyNumberFormat="1" applyFont="1" applyAlignment="1">
      <alignment horizontal="right"/>
    </xf>
    <xf numFmtId="165" fontId="2" fillId="0" borderId="0" xfId="0" applyNumberFormat="1" applyFont="1" applyAlignment="1">
      <alignment horizontal="right"/>
    </xf>
    <xf numFmtId="165" fontId="12" fillId="0" borderId="0" xfId="0" applyNumberFormat="1" applyFont="1" applyAlignment="1">
      <alignment horizontal="right"/>
    </xf>
    <xf numFmtId="0" fontId="10" fillId="0" borderId="0" xfId="0" applyFont="1" applyAlignment="1">
      <alignment horizontal="left" indent="2"/>
    </xf>
    <xf numFmtId="0" fontId="13" fillId="0" borderId="0" xfId="0" applyFont="1"/>
    <xf numFmtId="0" fontId="5" fillId="0" borderId="0" xfId="0" applyFont="1"/>
    <xf numFmtId="164" fontId="5" fillId="0" borderId="0" xfId="0" applyNumberFormat="1" applyFont="1" applyAlignment="1">
      <alignment horizontal="right"/>
    </xf>
    <xf numFmtId="0" fontId="9" fillId="0" borderId="0" xfId="0" applyFont="1"/>
    <xf numFmtId="167" fontId="14" fillId="0" borderId="0" xfId="0" applyNumberFormat="1" applyFont="1" applyAlignment="1">
      <alignment horizontal="right"/>
    </xf>
    <xf numFmtId="43" fontId="0" fillId="0" borderId="0" xfId="0" applyNumberFormat="1" applyAlignment="1">
      <alignment horizontal="right"/>
    </xf>
    <xf numFmtId="8" fontId="2" fillId="0" borderId="0" xfId="0" applyNumberFormat="1" applyFont="1"/>
    <xf numFmtId="8" fontId="12" fillId="0" borderId="0" xfId="0" applyNumberFormat="1" applyFont="1" applyAlignment="1">
      <alignment horizontal="right"/>
    </xf>
    <xf numFmtId="8" fontId="2" fillId="0" borderId="0" xfId="0" applyNumberFormat="1" applyFont="1" applyAlignment="1">
      <alignment horizontal="right"/>
    </xf>
    <xf numFmtId="167" fontId="0" fillId="0" borderId="0" xfId="0" applyNumberFormat="1"/>
    <xf numFmtId="167" fontId="2" fillId="0" borderId="0" xfId="0" applyNumberFormat="1" applyFont="1"/>
    <xf numFmtId="167" fontId="2" fillId="0" borderId="8" xfId="0" applyNumberFormat="1" applyFont="1" applyBorder="1"/>
    <xf numFmtId="167" fontId="2" fillId="0" borderId="9" xfId="0" applyNumberFormat="1" applyFont="1" applyBorder="1"/>
    <xf numFmtId="167" fontId="2" fillId="0" borderId="10" xfId="0" applyNumberFormat="1" applyFont="1" applyBorder="1"/>
    <xf numFmtId="0" fontId="9" fillId="0" borderId="0" xfId="0" applyFont="1" applyAlignment="1">
      <alignment horizontal="left"/>
    </xf>
    <xf numFmtId="8" fontId="5" fillId="0" borderId="0" xfId="1" applyNumberFormat="1" applyFont="1" applyAlignment="1">
      <alignment horizontal="right"/>
    </xf>
    <xf numFmtId="9" fontId="5" fillId="0" borderId="0" xfId="1" applyNumberFormat="1" applyFont="1" applyAlignment="1">
      <alignment horizontal="right"/>
    </xf>
    <xf numFmtId="167" fontId="5" fillId="0" borderId="0" xfId="2" applyNumberFormat="1" applyFont="1" applyAlignment="1">
      <alignment horizontal="right"/>
    </xf>
    <xf numFmtId="164" fontId="0" fillId="0" borderId="1" xfId="0" applyNumberFormat="1" applyBorder="1"/>
    <xf numFmtId="0" fontId="2" fillId="0" borderId="1" xfId="0" applyFont="1" applyBorder="1" applyAlignment="1">
      <alignment horizontal="center"/>
    </xf>
    <xf numFmtId="171" fontId="0" fillId="0" borderId="0" xfId="0" applyNumberFormat="1"/>
    <xf numFmtId="0" fontId="0" fillId="0" borderId="0" xfId="0" applyFill="1" applyBorder="1"/>
    <xf numFmtId="8" fontId="0" fillId="0" borderId="0" xfId="0" applyNumberFormat="1" applyAlignment="1"/>
    <xf numFmtId="0" fontId="0" fillId="0" borderId="0" xfId="0" applyAlignment="1"/>
    <xf numFmtId="171" fontId="4" fillId="0" borderId="1" xfId="0" applyNumberFormat="1" applyFont="1" applyBorder="1" applyAlignment="1"/>
    <xf numFmtId="0" fontId="0" fillId="0" borderId="8" xfId="0" applyBorder="1"/>
    <xf numFmtId="0" fontId="0" fillId="0" borderId="9" xfId="0" applyBorder="1" applyAlignment="1"/>
    <xf numFmtId="8" fontId="0" fillId="0" borderId="10" xfId="0" applyNumberFormat="1" applyBorder="1" applyAlignment="1"/>
    <xf numFmtId="0" fontId="0" fillId="0" borderId="1" xfId="0" applyFill="1" applyBorder="1"/>
    <xf numFmtId="164" fontId="0" fillId="0" borderId="1" xfId="0" applyNumberFormat="1" applyBorder="1" applyAlignment="1"/>
    <xf numFmtId="0" fontId="0" fillId="0" borderId="0" xfId="0" applyBorder="1" applyAlignment="1"/>
    <xf numFmtId="8" fontId="0" fillId="0" borderId="0" xfId="0" applyNumberFormat="1" applyBorder="1" applyAlignment="1"/>
    <xf numFmtId="170" fontId="0" fillId="0" borderId="0" xfId="0" applyNumberFormat="1" applyAlignment="1"/>
    <xf numFmtId="164" fontId="0" fillId="0" borderId="0" xfId="0" applyNumberFormat="1" applyAlignment="1"/>
    <xf numFmtId="167" fontId="5" fillId="0" borderId="0" xfId="1" applyNumberFormat="1" applyFont="1" applyAlignment="1">
      <alignment horizontal="right"/>
    </xf>
    <xf numFmtId="9" fontId="2" fillId="0" borderId="1" xfId="0" applyNumberFormat="1" applyFont="1" applyBorder="1"/>
    <xf numFmtId="165" fontId="4" fillId="0" borderId="1" xfId="0" applyNumberFormat="1" applyFont="1" applyBorder="1" applyAlignment="1">
      <alignment horizontal="right"/>
    </xf>
    <xf numFmtId="165" fontId="0" fillId="0" borderId="1" xfId="0" applyNumberFormat="1" applyBorder="1" applyAlignment="1">
      <alignment horizontal="right"/>
    </xf>
    <xf numFmtId="165" fontId="0" fillId="0" borderId="11" xfId="0" applyNumberFormat="1" applyBorder="1" applyAlignment="1">
      <alignment horizontal="right"/>
    </xf>
    <xf numFmtId="165" fontId="0" fillId="0" borderId="0" xfId="0" applyNumberFormat="1" applyBorder="1" applyAlignment="1">
      <alignment horizontal="right"/>
    </xf>
    <xf numFmtId="165" fontId="2" fillId="0" borderId="11" xfId="0" applyNumberFormat="1" applyFont="1" applyBorder="1" applyAlignment="1">
      <alignment horizontal="right"/>
    </xf>
    <xf numFmtId="165" fontId="2" fillId="0" borderId="0" xfId="0" applyNumberFormat="1" applyFont="1" applyBorder="1" applyAlignment="1">
      <alignment horizontal="right"/>
    </xf>
    <xf numFmtId="167" fontId="10" fillId="0" borderId="11" xfId="0" applyNumberFormat="1" applyFont="1" applyBorder="1" applyAlignment="1">
      <alignment horizontal="right"/>
    </xf>
    <xf numFmtId="167" fontId="10" fillId="0" borderId="0" xfId="0" applyNumberFormat="1" applyFont="1" applyBorder="1" applyAlignment="1">
      <alignment horizontal="right"/>
    </xf>
    <xf numFmtId="9" fontId="0" fillId="0" borderId="11" xfId="0" applyNumberFormat="1" applyBorder="1" applyAlignment="1">
      <alignment horizontal="right"/>
    </xf>
    <xf numFmtId="9" fontId="0" fillId="0" borderId="0" xfId="0" applyNumberFormat="1" applyBorder="1" applyAlignment="1">
      <alignment horizontal="right"/>
    </xf>
    <xf numFmtId="167" fontId="4" fillId="0" borderId="11" xfId="0" applyNumberFormat="1" applyFont="1" applyBorder="1" applyAlignment="1">
      <alignment horizontal="right"/>
    </xf>
    <xf numFmtId="167" fontId="4" fillId="0" borderId="0" xfId="0" applyNumberFormat="1" applyFont="1" applyBorder="1" applyAlignment="1">
      <alignment horizontal="right"/>
    </xf>
    <xf numFmtId="167" fontId="5" fillId="0" borderId="0" xfId="0" applyNumberFormat="1" applyFont="1" applyBorder="1" applyAlignment="1">
      <alignment horizontal="right"/>
    </xf>
    <xf numFmtId="167" fontId="5" fillId="0" borderId="11" xfId="0" applyNumberFormat="1" applyFont="1" applyBorder="1" applyAlignment="1">
      <alignment horizontal="right"/>
    </xf>
    <xf numFmtId="165" fontId="4" fillId="0" borderId="11" xfId="0" applyNumberFormat="1" applyFont="1" applyBorder="1" applyAlignment="1">
      <alignment horizontal="right"/>
    </xf>
    <xf numFmtId="165" fontId="4" fillId="0" borderId="0" xfId="0" applyNumberFormat="1" applyFont="1" applyBorder="1" applyAlignment="1">
      <alignment horizontal="right"/>
    </xf>
    <xf numFmtId="165" fontId="5" fillId="0" borderId="11" xfId="0" applyNumberFormat="1" applyFont="1" applyBorder="1" applyAlignment="1">
      <alignment horizontal="right"/>
    </xf>
    <xf numFmtId="165" fontId="5" fillId="0" borderId="0" xfId="0" applyNumberFormat="1" applyFont="1" applyBorder="1" applyAlignment="1">
      <alignment horizontal="right"/>
    </xf>
    <xf numFmtId="167" fontId="5" fillId="0" borderId="11" xfId="2" applyNumberFormat="1" applyFont="1" applyBorder="1" applyAlignment="1">
      <alignment horizontal="right"/>
    </xf>
    <xf numFmtId="167" fontId="5" fillId="0" borderId="0" xfId="2" applyNumberFormat="1" applyFont="1" applyBorder="1" applyAlignment="1">
      <alignment horizontal="right"/>
    </xf>
    <xf numFmtId="9" fontId="5" fillId="0" borderId="11" xfId="1" applyNumberFormat="1" applyFont="1" applyBorder="1" applyAlignment="1">
      <alignment horizontal="right"/>
    </xf>
    <xf numFmtId="9" fontId="5" fillId="0" borderId="0" xfId="1" applyNumberFormat="1" applyFont="1" applyBorder="1" applyAlignment="1">
      <alignment horizontal="right"/>
    </xf>
    <xf numFmtId="8" fontId="0" fillId="0" borderId="11" xfId="0" applyNumberFormat="1" applyBorder="1" applyAlignment="1">
      <alignment horizontal="right"/>
    </xf>
    <xf numFmtId="8" fontId="0" fillId="0" borderId="0" xfId="0" applyNumberFormat="1" applyBorder="1" applyAlignment="1">
      <alignment horizontal="right"/>
    </xf>
    <xf numFmtId="8" fontId="12" fillId="0" borderId="11" xfId="0" applyNumberFormat="1" applyFont="1" applyBorder="1" applyAlignment="1">
      <alignment horizontal="right"/>
    </xf>
    <xf numFmtId="8" fontId="12" fillId="0" borderId="0" xfId="0" applyNumberFormat="1" applyFont="1" applyBorder="1" applyAlignment="1">
      <alignment horizontal="right"/>
    </xf>
    <xf numFmtId="165" fontId="4" fillId="0" borderId="12" xfId="0" applyNumberFormat="1" applyFont="1" applyBorder="1" applyAlignment="1">
      <alignment horizontal="right"/>
    </xf>
    <xf numFmtId="165" fontId="12" fillId="0" borderId="11" xfId="0" applyNumberFormat="1" applyFont="1" applyBorder="1" applyAlignment="1">
      <alignment horizontal="right"/>
    </xf>
    <xf numFmtId="165" fontId="12" fillId="0" borderId="0" xfId="0" applyNumberFormat="1" applyFont="1" applyBorder="1" applyAlignment="1">
      <alignment horizontal="right"/>
    </xf>
    <xf numFmtId="165" fontId="11" fillId="0" borderId="11" xfId="0" applyNumberFormat="1" applyFont="1" applyBorder="1" applyAlignment="1">
      <alignment horizontal="right"/>
    </xf>
    <xf numFmtId="165" fontId="11" fillId="0" borderId="0" xfId="0" applyNumberFormat="1" applyFont="1" applyBorder="1" applyAlignment="1">
      <alignment horizontal="right"/>
    </xf>
    <xf numFmtId="164" fontId="5" fillId="0" borderId="11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/>
    </xf>
    <xf numFmtId="9" fontId="4" fillId="0" borderId="0" xfId="0" applyNumberFormat="1" applyFont="1" applyBorder="1" applyAlignment="1">
      <alignment horizontal="right"/>
    </xf>
    <xf numFmtId="0" fontId="0" fillId="0" borderId="11" xfId="0" applyBorder="1"/>
    <xf numFmtId="165" fontId="0" fillId="0" borderId="14" xfId="0" applyNumberFormat="1" applyBorder="1" applyAlignment="1">
      <alignment horizontal="right"/>
    </xf>
    <xf numFmtId="165" fontId="2" fillId="0" borderId="14" xfId="0" applyNumberFormat="1" applyFont="1" applyBorder="1" applyAlignment="1">
      <alignment horizontal="right"/>
    </xf>
    <xf numFmtId="167" fontId="10" fillId="0" borderId="14" xfId="0" applyNumberFormat="1" applyFont="1" applyBorder="1" applyAlignment="1">
      <alignment horizontal="right"/>
    </xf>
    <xf numFmtId="9" fontId="0" fillId="0" borderId="14" xfId="0" applyNumberFormat="1" applyBorder="1" applyAlignment="1">
      <alignment horizontal="right"/>
    </xf>
    <xf numFmtId="167" fontId="5" fillId="0" borderId="14" xfId="0" applyNumberFormat="1" applyFont="1" applyBorder="1" applyAlignment="1">
      <alignment horizontal="right"/>
    </xf>
    <xf numFmtId="167" fontId="4" fillId="0" borderId="14" xfId="0" applyNumberFormat="1" applyFont="1" applyBorder="1" applyAlignment="1">
      <alignment horizontal="right"/>
    </xf>
    <xf numFmtId="165" fontId="4" fillId="0" borderId="14" xfId="0" applyNumberFormat="1" applyFont="1" applyBorder="1" applyAlignment="1">
      <alignment horizontal="right"/>
    </xf>
    <xf numFmtId="165" fontId="5" fillId="0" borderId="14" xfId="0" applyNumberFormat="1" applyFont="1" applyBorder="1" applyAlignment="1">
      <alignment horizontal="right"/>
    </xf>
    <xf numFmtId="167" fontId="5" fillId="0" borderId="14" xfId="2" applyNumberFormat="1" applyFont="1" applyBorder="1" applyAlignment="1">
      <alignment horizontal="right"/>
    </xf>
    <xf numFmtId="9" fontId="5" fillId="0" borderId="14" xfId="1" applyNumberFormat="1" applyFont="1" applyBorder="1" applyAlignment="1">
      <alignment horizontal="right"/>
    </xf>
    <xf numFmtId="8" fontId="0" fillId="0" borderId="14" xfId="0" applyNumberFormat="1" applyBorder="1" applyAlignment="1">
      <alignment horizontal="right"/>
    </xf>
    <xf numFmtId="8" fontId="12" fillId="0" borderId="14" xfId="0" applyNumberFormat="1" applyFont="1" applyBorder="1" applyAlignment="1">
      <alignment horizontal="right"/>
    </xf>
    <xf numFmtId="165" fontId="4" fillId="0" borderId="13" xfId="0" applyNumberFormat="1" applyFont="1" applyBorder="1" applyAlignment="1">
      <alignment horizontal="right"/>
    </xf>
    <xf numFmtId="165" fontId="12" fillId="0" borderId="14" xfId="0" applyNumberFormat="1" applyFont="1" applyBorder="1" applyAlignment="1">
      <alignment horizontal="right"/>
    </xf>
    <xf numFmtId="165" fontId="11" fillId="0" borderId="14" xfId="0" applyNumberFormat="1" applyFont="1" applyBorder="1" applyAlignment="1">
      <alignment horizontal="right"/>
    </xf>
    <xf numFmtId="164" fontId="5" fillId="0" borderId="14" xfId="0" applyNumberFormat="1" applyFont="1" applyBorder="1" applyAlignment="1">
      <alignment horizontal="right"/>
    </xf>
    <xf numFmtId="0" fontId="0" fillId="0" borderId="14" xfId="0" applyBorder="1"/>
    <xf numFmtId="167" fontId="4" fillId="3" borderId="0" xfId="0" applyNumberFormat="1" applyFont="1" applyFill="1" applyBorder="1" applyAlignment="1">
      <alignment horizontal="right"/>
    </xf>
    <xf numFmtId="165" fontId="0" fillId="3" borderId="0" xfId="0" applyNumberFormat="1" applyFill="1" applyBorder="1" applyAlignment="1">
      <alignment horizontal="right"/>
    </xf>
    <xf numFmtId="169" fontId="5" fillId="0" borderId="0" xfId="0" applyNumberFormat="1" applyFont="1" applyBorder="1" applyAlignment="1">
      <alignment horizontal="right"/>
    </xf>
    <xf numFmtId="169" fontId="0" fillId="0" borderId="0" xfId="0" applyNumberFormat="1" applyBorder="1" applyAlignment="1">
      <alignment horizontal="right"/>
    </xf>
    <xf numFmtId="168" fontId="4" fillId="0" borderId="11" xfId="0" applyNumberFormat="1" applyFont="1" applyBorder="1" applyAlignment="1">
      <alignment horizontal="right"/>
    </xf>
    <xf numFmtId="168" fontId="4" fillId="0" borderId="0" xfId="0" applyNumberFormat="1" applyFont="1" applyBorder="1" applyAlignment="1">
      <alignment horizontal="right"/>
    </xf>
    <xf numFmtId="165" fontId="0" fillId="0" borderId="0" xfId="0" applyNumberFormat="1" applyFont="1" applyBorder="1" applyAlignment="1">
      <alignment horizontal="right"/>
    </xf>
    <xf numFmtId="167" fontId="4" fillId="3" borderId="14" xfId="0" applyNumberFormat="1" applyFont="1" applyFill="1" applyBorder="1" applyAlignment="1">
      <alignment horizontal="right"/>
    </xf>
    <xf numFmtId="167" fontId="5" fillId="3" borderId="14" xfId="0" applyNumberFormat="1" applyFont="1" applyFill="1" applyBorder="1" applyAlignment="1">
      <alignment horizontal="right"/>
    </xf>
    <xf numFmtId="165" fontId="0" fillId="3" borderId="14" xfId="0" applyNumberFormat="1" applyFill="1" applyBorder="1" applyAlignment="1">
      <alignment horizontal="right"/>
    </xf>
    <xf numFmtId="9" fontId="8" fillId="0" borderId="14" xfId="1" applyNumberFormat="1" applyFont="1" applyBorder="1" applyAlignment="1">
      <alignment horizontal="right"/>
    </xf>
    <xf numFmtId="169" fontId="5" fillId="0" borderId="14" xfId="0" applyNumberFormat="1" applyFont="1" applyBorder="1" applyAlignment="1">
      <alignment horizontal="right"/>
    </xf>
    <xf numFmtId="169" fontId="0" fillId="0" borderId="14" xfId="0" applyNumberFormat="1" applyBorder="1" applyAlignment="1">
      <alignment horizontal="right"/>
    </xf>
    <xf numFmtId="165" fontId="0" fillId="0" borderId="13" xfId="0" applyNumberFormat="1" applyBorder="1" applyAlignment="1">
      <alignment horizontal="right"/>
    </xf>
    <xf numFmtId="167" fontId="10" fillId="3" borderId="14" xfId="0" applyNumberFormat="1" applyFont="1" applyFill="1" applyBorder="1" applyAlignment="1">
      <alignment horizontal="right"/>
    </xf>
    <xf numFmtId="165" fontId="0" fillId="0" borderId="14" xfId="0" applyNumberFormat="1" applyFont="1" applyBorder="1" applyAlignment="1">
      <alignment horizontal="right"/>
    </xf>
    <xf numFmtId="167" fontId="4" fillId="0" borderId="14" xfId="2" applyNumberFormat="1" applyFont="1" applyBorder="1" applyAlignment="1">
      <alignment horizontal="right"/>
    </xf>
    <xf numFmtId="169" fontId="2" fillId="0" borderId="14" xfId="0" applyNumberFormat="1" applyFont="1" applyBorder="1" applyAlignment="1">
      <alignment horizontal="right"/>
    </xf>
    <xf numFmtId="167" fontId="16" fillId="0" borderId="11" xfId="0" applyNumberFormat="1" applyFont="1" applyBorder="1" applyAlignment="1">
      <alignment horizontal="right"/>
    </xf>
    <xf numFmtId="167" fontId="16" fillId="0" borderId="0" xfId="0" applyNumberFormat="1" applyFont="1" applyBorder="1" applyAlignment="1">
      <alignment horizontal="right"/>
    </xf>
    <xf numFmtId="165" fontId="0" fillId="3" borderId="11" xfId="0" applyNumberFormat="1" applyFill="1" applyBorder="1" applyAlignment="1">
      <alignment horizontal="right"/>
    </xf>
    <xf numFmtId="167" fontId="15" fillId="0" borderId="11" xfId="0" applyNumberFormat="1" applyFont="1" applyBorder="1" applyAlignment="1">
      <alignment horizontal="right"/>
    </xf>
    <xf numFmtId="167" fontId="15" fillId="0" borderId="0" xfId="0" applyNumberFormat="1" applyFont="1" applyBorder="1" applyAlignment="1">
      <alignment horizontal="right"/>
    </xf>
    <xf numFmtId="169" fontId="0" fillId="0" borderId="11" xfId="0" applyNumberFormat="1" applyBorder="1" applyAlignment="1">
      <alignment horizontal="right"/>
    </xf>
    <xf numFmtId="169" fontId="5" fillId="0" borderId="11" xfId="0" applyNumberFormat="1" applyFont="1" applyBorder="1" applyAlignment="1">
      <alignment horizontal="right"/>
    </xf>
    <xf numFmtId="165" fontId="0" fillId="0" borderId="12" xfId="0" applyNumberFormat="1" applyBorder="1" applyAlignment="1">
      <alignment horizontal="right"/>
    </xf>
    <xf numFmtId="167" fontId="4" fillId="3" borderId="11" xfId="0" applyNumberFormat="1" applyFont="1" applyFill="1" applyBorder="1" applyAlignment="1">
      <alignment horizontal="right"/>
    </xf>
    <xf numFmtId="165" fontId="0" fillId="0" borderId="11" xfId="0" applyNumberFormat="1" applyFont="1" applyBorder="1" applyAlignment="1">
      <alignment horizontal="right"/>
    </xf>
    <xf numFmtId="164" fontId="4" fillId="0" borderId="11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167" fontId="16" fillId="0" borderId="14" xfId="0" applyNumberFormat="1" applyFont="1" applyBorder="1" applyAlignment="1">
      <alignment horizontal="right"/>
    </xf>
    <xf numFmtId="167" fontId="15" fillId="0" borderId="14" xfId="0" applyNumberFormat="1" applyFont="1" applyBorder="1" applyAlignment="1">
      <alignment horizontal="right"/>
    </xf>
    <xf numFmtId="164" fontId="4" fillId="0" borderId="14" xfId="0" applyNumberFormat="1" applyFont="1" applyBorder="1" applyAlignment="1">
      <alignment horizontal="right"/>
    </xf>
    <xf numFmtId="0" fontId="3" fillId="2" borderId="15" xfId="0" applyFont="1" applyFill="1" applyBorder="1"/>
    <xf numFmtId="0" fontId="3" fillId="2" borderId="16" xfId="0" applyFont="1" applyFill="1" applyBorder="1"/>
    <xf numFmtId="0" fontId="3" fillId="2" borderId="17" xfId="0" applyFont="1" applyFill="1" applyBorder="1"/>
    <xf numFmtId="0" fontId="3" fillId="2" borderId="18" xfId="0" applyFont="1" applyFill="1" applyBorder="1"/>
    <xf numFmtId="0" fontId="3" fillId="2" borderId="19" xfId="0" applyFont="1" applyFill="1" applyBorder="1" applyAlignment="1">
      <alignment horizontal="center"/>
    </xf>
    <xf numFmtId="0" fontId="3" fillId="2" borderId="20" xfId="0" applyFont="1" applyFill="1" applyBorder="1" applyAlignment="1">
      <alignment horizontal="center"/>
    </xf>
    <xf numFmtId="0" fontId="3" fillId="2" borderId="21" xfId="0" applyFont="1" applyFill="1" applyBorder="1" applyAlignment="1">
      <alignment horizontal="left"/>
    </xf>
    <xf numFmtId="0" fontId="6" fillId="2" borderId="22" xfId="0" applyFont="1" applyFill="1" applyBorder="1" applyAlignment="1">
      <alignment horizontal="center"/>
    </xf>
    <xf numFmtId="166" fontId="6" fillId="2" borderId="22" xfId="0" applyNumberFormat="1" applyFont="1" applyFill="1" applyBorder="1" applyAlignment="1">
      <alignment horizontal="center"/>
    </xf>
    <xf numFmtId="166" fontId="6" fillId="2" borderId="23" xfId="0" applyNumberFormat="1" applyFont="1" applyFill="1" applyBorder="1" applyAlignment="1">
      <alignment horizontal="center"/>
    </xf>
    <xf numFmtId="0" fontId="0" fillId="0" borderId="0" xfId="0" applyFill="1" applyBorder="1" applyAlignment="1">
      <alignment horizontal="left" indent="1"/>
    </xf>
    <xf numFmtId="167" fontId="10" fillId="0" borderId="0" xfId="0" applyNumberFormat="1" applyFont="1"/>
    <xf numFmtId="0" fontId="10" fillId="0" borderId="0" xfId="0" applyFont="1" applyBorder="1" applyAlignment="1">
      <alignment horizontal="left" indent="1"/>
    </xf>
    <xf numFmtId="3" fontId="0" fillId="0" borderId="0" xfId="0" applyNumberFormat="1"/>
    <xf numFmtId="3" fontId="5" fillId="0" borderId="0" xfId="0" applyNumberFormat="1" applyFont="1" applyAlignment="1">
      <alignment horizontal="right"/>
    </xf>
    <xf numFmtId="3" fontId="5" fillId="0" borderId="11" xfId="0" applyNumberFormat="1" applyFont="1" applyBorder="1" applyAlignment="1">
      <alignment horizontal="right"/>
    </xf>
    <xf numFmtId="3" fontId="5" fillId="0" borderId="0" xfId="0" applyNumberFormat="1" applyFont="1" applyBorder="1" applyAlignment="1">
      <alignment horizontal="right"/>
    </xf>
    <xf numFmtId="3" fontId="5" fillId="0" borderId="14" xfId="0" applyNumberFormat="1" applyFont="1" applyBorder="1" applyAlignment="1">
      <alignment horizontal="right"/>
    </xf>
    <xf numFmtId="170" fontId="0" fillId="0" borderId="1" xfId="0" applyNumberFormat="1" applyBorder="1" applyAlignment="1"/>
    <xf numFmtId="172" fontId="0" fillId="0" borderId="1" xfId="0" applyNumberFormat="1" applyBorder="1"/>
    <xf numFmtId="14" fontId="0" fillId="0" borderId="1" xfId="0" applyNumberFormat="1" applyBorder="1"/>
    <xf numFmtId="167" fontId="14" fillId="3" borderId="14" xfId="0" applyNumberFormat="1" applyFont="1" applyFill="1" applyBorder="1" applyAlignment="1">
      <alignment horizontal="right"/>
    </xf>
    <xf numFmtId="167" fontId="14" fillId="0" borderId="11" xfId="0" applyNumberFormat="1" applyFont="1" applyBorder="1" applyAlignment="1">
      <alignment horizontal="right"/>
    </xf>
    <xf numFmtId="167" fontId="14" fillId="0" borderId="0" xfId="0" applyNumberFormat="1" applyFont="1" applyBorder="1" applyAlignment="1">
      <alignment horizontal="right"/>
    </xf>
    <xf numFmtId="167" fontId="14" fillId="0" borderId="14" xfId="0" applyNumberFormat="1" applyFont="1" applyBorder="1" applyAlignment="1">
      <alignment horizontal="right"/>
    </xf>
    <xf numFmtId="0" fontId="12" fillId="4" borderId="8" xfId="0" applyFont="1" applyFill="1" applyBorder="1"/>
    <xf numFmtId="0" fontId="12" fillId="4" borderId="9" xfId="0" applyFont="1" applyFill="1" applyBorder="1" applyAlignment="1"/>
    <xf numFmtId="8" fontId="12" fillId="4" borderId="10" xfId="0" applyNumberFormat="1" applyFont="1" applyFill="1" applyBorder="1" applyAlignment="1"/>
    <xf numFmtId="0" fontId="2" fillId="4" borderId="0" xfId="0" applyFont="1" applyFill="1"/>
    <xf numFmtId="165" fontId="12" fillId="4" borderId="0" xfId="0" applyNumberFormat="1" applyFont="1" applyFill="1" applyAlignment="1">
      <alignment horizontal="right"/>
    </xf>
    <xf numFmtId="165" fontId="12" fillId="4" borderId="11" xfId="0" applyNumberFormat="1" applyFont="1" applyFill="1" applyBorder="1" applyAlignment="1">
      <alignment horizontal="right"/>
    </xf>
    <xf numFmtId="165" fontId="12" fillId="4" borderId="0" xfId="0" applyNumberFormat="1" applyFont="1" applyFill="1" applyBorder="1" applyAlignment="1">
      <alignment horizontal="right"/>
    </xf>
    <xf numFmtId="165" fontId="12" fillId="4" borderId="14" xfId="0" applyNumberFormat="1" applyFont="1" applyFill="1" applyBorder="1" applyAlignment="1">
      <alignment horizontal="right"/>
    </xf>
    <xf numFmtId="8" fontId="12" fillId="4" borderId="0" xfId="0" applyNumberFormat="1" applyFont="1" applyFill="1" applyAlignment="1">
      <alignment horizontal="left"/>
    </xf>
    <xf numFmtId="8" fontId="12" fillId="4" borderId="0" xfId="0" applyNumberFormat="1" applyFont="1" applyFill="1" applyAlignment="1">
      <alignment horizontal="right"/>
    </xf>
    <xf numFmtId="8" fontId="12" fillId="4" borderId="11" xfId="0" applyNumberFormat="1" applyFont="1" applyFill="1" applyBorder="1" applyAlignment="1">
      <alignment horizontal="right"/>
    </xf>
    <xf numFmtId="8" fontId="12" fillId="4" borderId="0" xfId="0" applyNumberFormat="1" applyFont="1" applyFill="1" applyBorder="1" applyAlignment="1">
      <alignment horizontal="right"/>
    </xf>
    <xf numFmtId="8" fontId="12" fillId="4" borderId="14" xfId="0" applyNumberFormat="1" applyFont="1" applyFill="1" applyBorder="1" applyAlignment="1">
      <alignment horizontal="right"/>
    </xf>
    <xf numFmtId="0" fontId="4" fillId="4" borderId="2" xfId="0" applyFont="1" applyFill="1" applyBorder="1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AH56"/>
  <sheetViews>
    <sheetView showGridLines="0" tabSelected="1" view="pageBreakPreview" zoomScaleNormal="100" zoomScaleSheetLayoutView="100" workbookViewId="0"/>
  </sheetViews>
  <sheetFormatPr defaultRowHeight="15" outlineLevelCol="1" x14ac:dyDescent="0.25"/>
  <cols>
    <col min="1" max="1" width="4.28515625" customWidth="1"/>
    <col min="2" max="2" width="19.140625" customWidth="1"/>
    <col min="3" max="5" width="9.5703125" customWidth="1"/>
    <col min="6" max="6" width="6.5703125" customWidth="1"/>
    <col min="8" max="8" width="11.7109375" customWidth="1"/>
    <col min="10" max="13" width="0" hidden="1" customWidth="1" outlineLevel="1"/>
    <col min="14" max="14" width="8.7109375" collapsed="1"/>
    <col min="15" max="18" width="0" hidden="1" customWidth="1" outlineLevel="1"/>
    <col min="19" max="19" width="8.7109375" collapsed="1"/>
    <col min="20" max="23" width="0" hidden="1" customWidth="1" outlineLevel="1"/>
    <col min="24" max="24" width="8.7109375" collapsed="1"/>
    <col min="25" max="28" width="0" hidden="1" customWidth="1" outlineLevel="1"/>
    <col min="29" max="29" width="8.7109375" collapsed="1"/>
    <col min="30" max="33" width="0" hidden="1" customWidth="1" outlineLevel="1"/>
    <col min="34" max="34" width="8.7109375" collapsed="1"/>
  </cols>
  <sheetData>
    <row r="2" spans="1:34" ht="15.75" thickBot="1" x14ac:dyDescent="0.3">
      <c r="A2" s="1"/>
      <c r="B2" s="6" t="s">
        <v>0</v>
      </c>
      <c r="C2" s="7"/>
      <c r="D2" s="7"/>
      <c r="E2" s="7"/>
      <c r="F2" s="7"/>
      <c r="G2" s="7"/>
      <c r="H2" s="7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9"/>
    </row>
    <row r="3" spans="1:34" x14ac:dyDescent="0.25">
      <c r="B3" s="10" t="s">
        <v>18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2"/>
    </row>
    <row r="5" spans="1:34" x14ac:dyDescent="0.25">
      <c r="B5" s="4" t="s">
        <v>15</v>
      </c>
      <c r="C5" s="5"/>
      <c r="D5" s="5"/>
      <c r="E5" s="182">
        <v>42736</v>
      </c>
      <c r="G5" s="4" t="s">
        <v>17</v>
      </c>
      <c r="H5" s="5"/>
      <c r="I5" s="60">
        <v>2013</v>
      </c>
      <c r="J5" s="60"/>
      <c r="K5" s="60"/>
      <c r="L5" s="60"/>
      <c r="M5" s="60"/>
      <c r="N5" s="60">
        <f>I5+1</f>
        <v>2014</v>
      </c>
      <c r="O5" s="60"/>
      <c r="P5" s="60"/>
      <c r="Q5" s="60"/>
      <c r="R5" s="60"/>
      <c r="S5" s="60">
        <f>N5+1</f>
        <v>2015</v>
      </c>
      <c r="T5" s="60"/>
      <c r="U5" s="60"/>
      <c r="V5" s="60"/>
      <c r="W5" s="60"/>
      <c r="X5" s="60" t="s">
        <v>10</v>
      </c>
      <c r="Y5" s="60"/>
      <c r="Z5" s="60"/>
      <c r="AA5" s="60"/>
      <c r="AB5" s="60"/>
      <c r="AC5" s="60" t="s">
        <v>9</v>
      </c>
      <c r="AD5" s="60"/>
      <c r="AE5" s="60"/>
      <c r="AF5" s="60"/>
      <c r="AG5" s="60"/>
      <c r="AH5" s="60" t="s">
        <v>8</v>
      </c>
    </row>
    <row r="6" spans="1:34" x14ac:dyDescent="0.25">
      <c r="B6" t="s">
        <v>1</v>
      </c>
      <c r="E6" s="30">
        <v>265.02</v>
      </c>
      <c r="G6" t="s">
        <v>148</v>
      </c>
      <c r="I6" s="16">
        <f>Model!G58</f>
        <v>2670.5729999999999</v>
      </c>
      <c r="J6" s="16">
        <f>Model!H58</f>
        <v>713.77</v>
      </c>
      <c r="K6" s="16">
        <f>Model!I58</f>
        <v>734.23599999999999</v>
      </c>
      <c r="L6" s="16">
        <f>Model!J58</f>
        <v>745.72199999999998</v>
      </c>
      <c r="M6" s="16">
        <f>Model!K58</f>
        <v>1047.6410000000001</v>
      </c>
      <c r="N6" s="16">
        <f>Model!L58</f>
        <v>3241.4</v>
      </c>
      <c r="O6" s="16">
        <f>Model!M58</f>
        <v>868.12199999999996</v>
      </c>
      <c r="P6" s="16">
        <f>Model!N58</f>
        <v>876.99900000000002</v>
      </c>
      <c r="Q6" s="16">
        <f>Model!O58</f>
        <v>910.7</v>
      </c>
      <c r="R6" s="16">
        <f>Model!P58</f>
        <v>1268.3</v>
      </c>
      <c r="S6" s="16">
        <f>Model!Q58</f>
        <v>3924.1210000000001</v>
      </c>
      <c r="T6" s="16">
        <f>Model!R58</f>
        <v>1073.7159999999999</v>
      </c>
      <c r="U6" s="16">
        <f>Model!S58</f>
        <v>1069.2149999999999</v>
      </c>
      <c r="V6" s="16">
        <f>Model!T58</f>
        <v>1131.2</v>
      </c>
      <c r="W6" s="16">
        <f>Model!U58</f>
        <v>1542.2191593919258</v>
      </c>
      <c r="X6" s="16">
        <f>Model!V58</f>
        <v>4816.3501593919254</v>
      </c>
      <c r="Y6" s="16">
        <f ca="1">Model!W58</f>
        <v>1219.710313794398</v>
      </c>
      <c r="Z6" s="16">
        <f ca="1">Model!X58</f>
        <v>1205.3891420587242</v>
      </c>
      <c r="AA6" s="16">
        <f ca="1">Model!Y58</f>
        <v>1264.1617624285682</v>
      </c>
      <c r="AB6" s="16">
        <f ca="1">Model!Z58</f>
        <v>1708.1482729779586</v>
      </c>
      <c r="AC6" s="16">
        <f ca="1">Model!AA58</f>
        <v>5397.4094912596483</v>
      </c>
      <c r="AD6" s="16">
        <f ca="1">Model!AB58</f>
        <v>1339.1855908688267</v>
      </c>
      <c r="AE6" s="16">
        <f ca="1">Model!AC58</f>
        <v>1312.2222646156822</v>
      </c>
      <c r="AF6" s="16">
        <f ca="1">Model!AD58</f>
        <v>1364.2116728594676</v>
      </c>
      <c r="AG6" s="16">
        <f ca="1">Model!AE58</f>
        <v>1827.0774497485033</v>
      </c>
      <c r="AH6" s="16">
        <f ca="1">Model!AF58</f>
        <v>5842.6969780924801</v>
      </c>
    </row>
    <row r="7" spans="1:34" x14ac:dyDescent="0.25">
      <c r="B7" s="5" t="s">
        <v>162</v>
      </c>
      <c r="C7" s="5"/>
      <c r="D7" s="5"/>
      <c r="E7" s="59">
        <f>Model!T68</f>
        <v>62.692</v>
      </c>
      <c r="G7" t="s">
        <v>103</v>
      </c>
      <c r="I7" s="16">
        <f>Model!G72</f>
        <v>433.87099999999987</v>
      </c>
      <c r="J7" s="16">
        <f>Model!H72</f>
        <v>713.77</v>
      </c>
      <c r="K7" s="16">
        <f>Model!I72</f>
        <v>734.23599999999999</v>
      </c>
      <c r="L7" s="16">
        <f>Model!J72</f>
        <v>745.72199999999998</v>
      </c>
      <c r="M7" s="16">
        <f>Model!K72</f>
        <v>137.46700000000007</v>
      </c>
      <c r="N7" s="16">
        <f>Model!L72</f>
        <v>542.21600000000024</v>
      </c>
      <c r="O7" s="16">
        <f>Model!M72</f>
        <v>145.54899999999995</v>
      </c>
      <c r="P7" s="16">
        <f>Model!N72</f>
        <v>157.23099999999999</v>
      </c>
      <c r="Q7" s="16">
        <f>Model!O72</f>
        <v>153.08200000000005</v>
      </c>
      <c r="R7" s="16">
        <f>Model!P72</f>
        <v>215.48899999999998</v>
      </c>
      <c r="S7" s="16">
        <f>Model!Q72</f>
        <v>671.35100000000011</v>
      </c>
      <c r="T7" s="16">
        <f>Model!R72</f>
        <v>195.05099999999996</v>
      </c>
      <c r="U7" s="16">
        <f>Model!S72</f>
        <v>193.43399999999997</v>
      </c>
      <c r="V7" s="16">
        <f>Model!T72</f>
        <v>193.09100000000007</v>
      </c>
      <c r="W7" s="16">
        <f>Model!U72</f>
        <v>268.75859193719572</v>
      </c>
      <c r="X7" s="16">
        <f>Model!V72</f>
        <v>850.3345919371958</v>
      </c>
      <c r="Y7" s="16">
        <f ca="1">Model!W72</f>
        <v>221.57229324692105</v>
      </c>
      <c r="Z7" s="16">
        <f ca="1">Model!X72</f>
        <v>218.06955879312139</v>
      </c>
      <c r="AA7" s="16">
        <f ca="1">Model!Y72</f>
        <v>215.78700395075563</v>
      </c>
      <c r="AB7" s="16">
        <f ca="1">Model!Z72</f>
        <v>297.6746345483848</v>
      </c>
      <c r="AC7" s="16">
        <f ca="1">Model!AA72</f>
        <v>953.10349053918299</v>
      </c>
      <c r="AD7" s="16">
        <f ca="1">Model!AB72</f>
        <v>243.27614442231976</v>
      </c>
      <c r="AE7" s="16">
        <f ca="1">Model!AC72</f>
        <v>237.39697023860487</v>
      </c>
      <c r="AF7" s="16">
        <f ca="1">Model!AD72</f>
        <v>232.86509558354635</v>
      </c>
      <c r="AG7" s="16">
        <f ca="1">Model!AE72</f>
        <v>318.4001182738653</v>
      </c>
      <c r="AH7" s="16">
        <f ca="1">Model!AF72</f>
        <v>1031.9383285183362</v>
      </c>
    </row>
    <row r="8" spans="1:34" x14ac:dyDescent="0.25">
      <c r="B8" t="s">
        <v>2</v>
      </c>
      <c r="E8" s="16">
        <f>E7*E6</f>
        <v>16614.633839999999</v>
      </c>
      <c r="G8" t="s">
        <v>115</v>
      </c>
      <c r="I8" s="30">
        <f>Model!G69</f>
        <v>3.1468484820278904</v>
      </c>
      <c r="J8" s="30">
        <f>Model!H69</f>
        <v>0</v>
      </c>
      <c r="K8" s="30">
        <f>Model!I69</f>
        <v>0</v>
      </c>
      <c r="L8" s="30">
        <f>Model!J69</f>
        <v>0</v>
      </c>
      <c r="M8" s="30">
        <f>Model!K69</f>
        <v>1.3496450500332535</v>
      </c>
      <c r="N8" s="30">
        <f>Model!L69</f>
        <v>3.9782679308904774</v>
      </c>
      <c r="O8" s="30">
        <f>Model!M69</f>
        <v>1.0370381844938417</v>
      </c>
      <c r="P8" s="30">
        <f>Model!N69</f>
        <v>1.1515137401024689</v>
      </c>
      <c r="Q8" s="30">
        <f>Model!O69</f>
        <v>1.107078322636925</v>
      </c>
      <c r="R8" s="30">
        <f>Model!P69</f>
        <v>1.6856816796160512</v>
      </c>
      <c r="S8" s="30">
        <f>Model!Q69</f>
        <v>4.9813119268492869</v>
      </c>
      <c r="T8" s="30">
        <f>Model!R69</f>
        <v>1.45221441541012</v>
      </c>
      <c r="U8" s="30">
        <f>Model!S69</f>
        <v>1.4328880964131623</v>
      </c>
      <c r="V8" s="30">
        <f>Model!T69</f>
        <v>1.3961909015504383</v>
      </c>
      <c r="W8" s="30">
        <f>Model!U69</f>
        <v>2.1408387628012187</v>
      </c>
      <c r="X8" s="30">
        <f>Model!V69</f>
        <v>6.422132176174939</v>
      </c>
      <c r="Y8" s="30">
        <f ca="1">Model!W69</f>
        <v>1.6831190480131901</v>
      </c>
      <c r="Z8" s="30">
        <f ca="1">Model!X69</f>
        <v>1.6312477346744398</v>
      </c>
      <c r="AA8" s="30">
        <f ca="1">Model!Y69</f>
        <v>1.5701970806427683</v>
      </c>
      <c r="AB8" s="30">
        <f ca="1">Model!Z69</f>
        <v>2.3709459078144532</v>
      </c>
      <c r="AC8" s="30">
        <f ca="1">Model!AA69</f>
        <v>7.2555097711448511</v>
      </c>
      <c r="AD8" s="30">
        <f ca="1">Model!AB69</f>
        <v>1.8476769075797146</v>
      </c>
      <c r="AE8" s="30">
        <f ca="1">Model!AC69</f>
        <v>1.7756036404047622</v>
      </c>
      <c r="AF8" s="30">
        <f ca="1">Model!AD69</f>
        <v>1.6942998177196218</v>
      </c>
      <c r="AG8" s="30">
        <f ca="1">Model!AE69</f>
        <v>2.5358744892671297</v>
      </c>
      <c r="AH8" s="30">
        <f ca="1">Model!AF69</f>
        <v>7.8534548549712282</v>
      </c>
    </row>
    <row r="9" spans="1:34" x14ac:dyDescent="0.25">
      <c r="B9" s="5" t="s">
        <v>149</v>
      </c>
      <c r="C9" s="5"/>
      <c r="D9" s="5"/>
      <c r="E9" s="181">
        <f>-Model!T106</f>
        <v>-133.108</v>
      </c>
      <c r="G9" t="s">
        <v>116</v>
      </c>
      <c r="I9" s="16">
        <f>Model!G73</f>
        <v>83.107999999999834</v>
      </c>
      <c r="J9" s="16">
        <f>Model!H73</f>
        <v>713.77</v>
      </c>
      <c r="K9" s="16">
        <f>Model!I73</f>
        <v>734.23599999999999</v>
      </c>
      <c r="L9" s="16">
        <f>Model!J73</f>
        <v>745.72199999999998</v>
      </c>
      <c r="M9" s="16">
        <f>Model!K73</f>
        <v>87.264000000000067</v>
      </c>
      <c r="N9" s="16">
        <f>Model!L73</f>
        <v>147.58900000000023</v>
      </c>
      <c r="O9" s="16">
        <f>Model!M73</f>
        <v>11.671999999999954</v>
      </c>
      <c r="P9" s="16">
        <f>Model!N73</f>
        <v>250.51999999999995</v>
      </c>
      <c r="Q9" s="16">
        <f>Model!O73</f>
        <v>-345.12799999999987</v>
      </c>
      <c r="R9" s="16">
        <f>Model!P73</f>
        <v>159.64999999999998</v>
      </c>
      <c r="S9" s="16">
        <f>Model!Q73</f>
        <v>76.71200000000016</v>
      </c>
      <c r="T9" s="16">
        <f>Model!R73</f>
        <v>112.60799999999992</v>
      </c>
      <c r="U9" s="16">
        <f>Model!S73</f>
        <v>-42.577999999999989</v>
      </c>
      <c r="V9" s="16">
        <f>Model!T73</f>
        <v>-28.214999999999947</v>
      </c>
      <c r="W9" s="16">
        <f>Model!U73</f>
        <v>121.11385823323374</v>
      </c>
      <c r="X9" s="16">
        <f>Model!V73</f>
        <v>162.92885823323377</v>
      </c>
      <c r="Y9" s="16">
        <f ca="1">Model!W73</f>
        <v>113.72784372951426</v>
      </c>
      <c r="Z9" s="16">
        <f ca="1">Model!X73</f>
        <v>12.059778678600935</v>
      </c>
      <c r="AA9" s="16">
        <f ca="1">Model!Y73</f>
        <v>-29.962931896885465</v>
      </c>
      <c r="AB9" s="16">
        <f ca="1">Model!Z73</f>
        <v>136.60054856301127</v>
      </c>
      <c r="AC9" s="16">
        <f ca="1">Model!AA73</f>
        <v>232.42523907424101</v>
      </c>
      <c r="AD9" s="16">
        <f ca="1">Model!AB73</f>
        <v>127.02811537906176</v>
      </c>
      <c r="AE9" s="16">
        <f ca="1">Model!AC73</f>
        <v>14.866162517066101</v>
      </c>
      <c r="AF9" s="16">
        <f ca="1">Model!AD73</f>
        <v>-29.941397169801718</v>
      </c>
      <c r="AG9" s="16">
        <f ca="1">Model!AE73</f>
        <v>148.84289048703096</v>
      </c>
      <c r="AH9" s="16">
        <f ca="1">Model!AF73</f>
        <v>260.79577121335706</v>
      </c>
    </row>
    <row r="10" spans="1:34" x14ac:dyDescent="0.25">
      <c r="B10" t="s">
        <v>3</v>
      </c>
      <c r="E10" s="16">
        <f>E8+E9</f>
        <v>16481.525839999998</v>
      </c>
      <c r="G10" t="s">
        <v>105</v>
      </c>
      <c r="I10" s="30">
        <f>Model!G74</f>
        <v>1.2892756860737475</v>
      </c>
      <c r="J10" s="30" t="e">
        <f>Model!H74</f>
        <v>#DIV/0!</v>
      </c>
      <c r="K10" s="30" t="e">
        <f>Model!I74</f>
        <v>#DIV/0!</v>
      </c>
      <c r="L10" s="30" t="e">
        <f>Model!J74</f>
        <v>#DIV/0!</v>
      </c>
      <c r="M10" s="30">
        <f>Model!K74</f>
        <v>1.3496450500332535</v>
      </c>
      <c r="N10" s="30">
        <f>Model!L74</f>
        <v>2.2828571870504746</v>
      </c>
      <c r="O10" s="30">
        <f>Model!M74</f>
        <v>0.18080706374409347</v>
      </c>
      <c r="P10" s="30">
        <f>Model!N74</f>
        <v>3.8894581586710135</v>
      </c>
      <c r="Q10" s="30">
        <f>Model!O74</f>
        <v>-5.3761605084428918</v>
      </c>
      <c r="R10" s="30">
        <f>Model!P74</f>
        <v>2.4958181562368091</v>
      </c>
      <c r="S10" s="30">
        <f>Model!Q74</f>
        <v>1.1933667278553897</v>
      </c>
      <c r="T10" s="30">
        <f>Model!R74</f>
        <v>1.777974263835161</v>
      </c>
      <c r="U10" s="30">
        <f>Model!S74</f>
        <v>-0.67785331062041276</v>
      </c>
      <c r="V10" s="30">
        <f>Model!T74</f>
        <v>-0.45005742359471618</v>
      </c>
      <c r="W10" s="30">
        <f>Model!U74</f>
        <v>1.9318869749447096</v>
      </c>
      <c r="X10" s="30">
        <f>Model!V74</f>
        <v>2.5909841806725784</v>
      </c>
      <c r="Y10" s="30">
        <f ca="1">Model!W74</f>
        <v>1.8140726684347965</v>
      </c>
      <c r="Z10" s="30">
        <f ca="1">Model!X74</f>
        <v>0.19236551200473642</v>
      </c>
      <c r="AA10" s="30">
        <f ca="1">Model!Y74</f>
        <v>-0.47793868271686124</v>
      </c>
      <c r="AB10" s="30">
        <f ca="1">Model!Z74</f>
        <v>2.1789151496683989</v>
      </c>
      <c r="AC10" s="30">
        <f ca="1">Model!AA74</f>
        <v>3.7074146473910705</v>
      </c>
      <c r="AD10" s="30">
        <f ca="1">Model!AB74</f>
        <v>2.0262252819986881</v>
      </c>
      <c r="AE10" s="30">
        <f ca="1">Model!AC74</f>
        <v>0.23713013649374881</v>
      </c>
      <c r="AF10" s="30">
        <f ca="1">Model!AD74</f>
        <v>-0.47759518231675041</v>
      </c>
      <c r="AG10" s="30">
        <f ca="1">Model!AE74</f>
        <v>2.3741927277329</v>
      </c>
      <c r="AH10" s="30">
        <f ca="1">Model!AF74</f>
        <v>4.1599529639085855</v>
      </c>
    </row>
    <row r="11" spans="1:34" x14ac:dyDescent="0.25"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</row>
    <row r="12" spans="1:34" x14ac:dyDescent="0.25">
      <c r="B12" s="4" t="s">
        <v>155</v>
      </c>
      <c r="C12" s="60" t="s">
        <v>158</v>
      </c>
      <c r="D12" s="60" t="s">
        <v>159</v>
      </c>
      <c r="E12" s="60" t="s">
        <v>160</v>
      </c>
      <c r="G12" t="s">
        <v>100</v>
      </c>
      <c r="I12" s="50">
        <f>Model!G77</f>
        <v>0.35245170231257483</v>
      </c>
      <c r="J12" s="50">
        <f>Model!H77</f>
        <v>1</v>
      </c>
      <c r="K12" s="50">
        <f>Model!I77</f>
        <v>1</v>
      </c>
      <c r="L12" s="50">
        <f>Model!J77</f>
        <v>1</v>
      </c>
      <c r="M12" s="50">
        <f>Model!K77</f>
        <v>0.33383286832035025</v>
      </c>
      <c r="N12" s="50">
        <f>Model!L77</f>
        <v>0.35071820818164995</v>
      </c>
      <c r="O12" s="50">
        <f>Model!M77</f>
        <v>0.34924123567885618</v>
      </c>
      <c r="P12" s="50">
        <f>Model!N77</f>
        <v>0.34945877931445762</v>
      </c>
      <c r="Q12" s="50">
        <f>Model!O77</f>
        <v>0.36854946744262657</v>
      </c>
      <c r="R12" s="50">
        <f>Model!P77</f>
        <v>0.34616494520223917</v>
      </c>
      <c r="S12" s="50">
        <f>Model!Q77</f>
        <v>0.35277658359668324</v>
      </c>
      <c r="T12" s="50">
        <f>Model!R77</f>
        <v>0.363625018161227</v>
      </c>
      <c r="U12" s="50">
        <f>Model!S77</f>
        <v>0.3599257399119915</v>
      </c>
      <c r="V12" s="50">
        <f>Model!T77</f>
        <v>0.37749381188118819</v>
      </c>
      <c r="W12" s="50">
        <f>Model!U77</f>
        <v>0.36</v>
      </c>
      <c r="X12" s="50">
        <f>Model!V77</f>
        <v>0.36490035799286236</v>
      </c>
      <c r="Y12" s="50">
        <f>Model!W77</f>
        <v>0.363625018161227</v>
      </c>
      <c r="Z12" s="50">
        <f>Model!X77</f>
        <v>0.3599257399119915</v>
      </c>
      <c r="AA12" s="50">
        <f>Model!Y77</f>
        <v>0.37749381188118819</v>
      </c>
      <c r="AB12" s="50">
        <f>Model!Z77</f>
        <v>0.36</v>
      </c>
      <c r="AC12" s="50">
        <f ca="1">Model!AA77</f>
        <v>0.3648999372453231</v>
      </c>
      <c r="AD12" s="50">
        <f>Model!AB77</f>
        <v>0.363625018161227</v>
      </c>
      <c r="AE12" s="50">
        <f>Model!AC77</f>
        <v>0.3599257399119915</v>
      </c>
      <c r="AF12" s="50">
        <f>Model!AD77</f>
        <v>0.37749381188118819</v>
      </c>
      <c r="AG12" s="50">
        <f>Model!AE77</f>
        <v>0.36</v>
      </c>
      <c r="AH12" s="50">
        <f ca="1">Model!AF77</f>
        <v>0.36489883162274922</v>
      </c>
    </row>
    <row r="13" spans="1:34" x14ac:dyDescent="0.25">
      <c r="B13" t="s">
        <v>156</v>
      </c>
      <c r="C13" s="63">
        <f ca="1">IF(CASE=1,$AH$8,C13)</f>
        <v>8.606012538912756</v>
      </c>
      <c r="D13" s="63">
        <f ca="1">IF(CASE=2,$AH$8,D13)</f>
        <v>7.8534548549712282</v>
      </c>
      <c r="E13" s="63">
        <f ca="1">IF(CASE=3,$AH$8,E13)</f>
        <v>10.158756222283536</v>
      </c>
      <c r="G13" t="s">
        <v>108</v>
      </c>
      <c r="I13" s="50">
        <f>I7/I6</f>
        <v>0.16246363608109565</v>
      </c>
      <c r="J13" s="50">
        <f t="shared" ref="J13:AH13" si="0">J7/J6</f>
        <v>1</v>
      </c>
      <c r="K13" s="50">
        <f t="shared" si="0"/>
        <v>1</v>
      </c>
      <c r="L13" s="50">
        <f t="shared" si="0"/>
        <v>1</v>
      </c>
      <c r="M13" s="50">
        <f t="shared" si="0"/>
        <v>0.13121575043359324</v>
      </c>
      <c r="N13" s="50">
        <f t="shared" si="0"/>
        <v>0.16727833652125632</v>
      </c>
      <c r="O13" s="50">
        <f t="shared" si="0"/>
        <v>0.16765961466245521</v>
      </c>
      <c r="P13" s="50">
        <f t="shared" si="0"/>
        <v>0.17928298663966549</v>
      </c>
      <c r="Q13" s="50">
        <f t="shared" si="0"/>
        <v>0.16809267596354457</v>
      </c>
      <c r="R13" s="50">
        <f t="shared" si="0"/>
        <v>0.16990380824726009</v>
      </c>
      <c r="S13" s="50">
        <f t="shared" si="0"/>
        <v>0.1710831546733651</v>
      </c>
      <c r="T13" s="50">
        <f t="shared" si="0"/>
        <v>0.18165976850489327</v>
      </c>
      <c r="U13" s="50">
        <f t="shared" si="0"/>
        <v>0.18091216453192294</v>
      </c>
      <c r="V13" s="50">
        <f t="shared" si="0"/>
        <v>0.17069572135785013</v>
      </c>
      <c r="W13" s="50">
        <f t="shared" si="0"/>
        <v>0.17426744461089644</v>
      </c>
      <c r="X13" s="50">
        <f t="shared" si="0"/>
        <v>0.17655165504921519</v>
      </c>
      <c r="Y13" s="50">
        <f t="shared" ca="1" si="0"/>
        <v>0.18165976850489327</v>
      </c>
      <c r="Z13" s="50">
        <f t="shared" ca="1" si="0"/>
        <v>0.18091216453192296</v>
      </c>
      <c r="AA13" s="50">
        <f t="shared" ca="1" si="0"/>
        <v>0.17069572135785016</v>
      </c>
      <c r="AB13" s="50">
        <f t="shared" ca="1" si="0"/>
        <v>0.17426744461089644</v>
      </c>
      <c r="AC13" s="50">
        <f t="shared" ca="1" si="0"/>
        <v>0.17658535860260391</v>
      </c>
      <c r="AD13" s="50">
        <f t="shared" ca="1" si="0"/>
        <v>0.18165976850489327</v>
      </c>
      <c r="AE13" s="50">
        <f t="shared" ca="1" si="0"/>
        <v>0.18091216453192296</v>
      </c>
      <c r="AF13" s="50">
        <f t="shared" ca="1" si="0"/>
        <v>0.17069572135785019</v>
      </c>
      <c r="AG13" s="50">
        <f t="shared" ca="1" si="0"/>
        <v>0.17426744461089649</v>
      </c>
      <c r="AH13" s="50">
        <f t="shared" ca="1" si="0"/>
        <v>0.17662020337314202</v>
      </c>
    </row>
    <row r="14" spans="1:34" x14ac:dyDescent="0.25">
      <c r="B14" s="5" t="s">
        <v>157</v>
      </c>
      <c r="C14" s="65">
        <v>25</v>
      </c>
      <c r="D14" s="65">
        <v>30</v>
      </c>
      <c r="E14" s="65">
        <v>35</v>
      </c>
      <c r="G14" t="s">
        <v>150</v>
      </c>
      <c r="I14" s="50">
        <f>Model!G82</f>
        <v>0.40970376979920975</v>
      </c>
      <c r="J14" s="50">
        <f>Model!H82</f>
        <v>1</v>
      </c>
      <c r="K14" s="50">
        <f>Model!I82</f>
        <v>1</v>
      </c>
      <c r="L14" s="50">
        <f>Model!J82</f>
        <v>1</v>
      </c>
      <c r="M14" s="50">
        <f>Model!K82</f>
        <v>1</v>
      </c>
      <c r="N14" s="50">
        <f>Model!L82</f>
        <v>0.57383193558295365</v>
      </c>
      <c r="O14" s="50">
        <f>Model!M82</f>
        <v>0.17434947569682971</v>
      </c>
      <c r="P14" s="50">
        <f>Model!N82</f>
        <v>3.3776914883576685</v>
      </c>
      <c r="Q14" s="50">
        <f>Model!O82</f>
        <v>-4.8561699732657901</v>
      </c>
      <c r="R14" s="50">
        <f>Model!P82</f>
        <v>1.4805987313128322</v>
      </c>
      <c r="S14" s="50">
        <f>Model!Q82</f>
        <v>0.23971526156749925</v>
      </c>
      <c r="T14" s="50">
        <f>Model!R82</f>
        <v>1.2243193876663474</v>
      </c>
      <c r="U14" s="50">
        <f>Model!S82</f>
        <v>-0.47306786365050452</v>
      </c>
      <c r="V14" s="50">
        <f>Model!T82</f>
        <v>-0.32234662401462261</v>
      </c>
      <c r="W14" s="50">
        <f>Model!U82</f>
        <v>0.90239723257668303</v>
      </c>
      <c r="X14" s="50">
        <f>Model!V82</f>
        <v>0.40356549191608865</v>
      </c>
      <c r="Y14" s="50">
        <f ca="1">Model!W82</f>
        <v>1.077804134280453</v>
      </c>
      <c r="Z14" s="50">
        <f ca="1">Model!X82</f>
        <v>0.11792538185080037</v>
      </c>
      <c r="AA14" s="50">
        <f ca="1">Model!Y82</f>
        <v>-0.30438133442536691</v>
      </c>
      <c r="AB14" s="50">
        <f ca="1">Model!Z82</f>
        <v>0.919006689476493</v>
      </c>
      <c r="AC14" s="50">
        <f ca="1">Model!AA82</f>
        <v>0.51097920950164688</v>
      </c>
      <c r="AD14" s="50">
        <f ca="1">Model!AB82</f>
        <v>1.0966339805874694</v>
      </c>
      <c r="AE14" s="50">
        <f ca="1">Model!AC82</f>
        <v>0.13354902586237841</v>
      </c>
      <c r="AF14" s="50">
        <f ca="1">Model!AD82</f>
        <v>-0.28188351159687391</v>
      </c>
      <c r="AG14" s="50">
        <f ca="1">Model!AE82</f>
        <v>0.93624220669495517</v>
      </c>
      <c r="AH14" s="50">
        <f ca="1">Model!AF82</f>
        <v>0.52969718941916877</v>
      </c>
    </row>
    <row r="15" spans="1:34" x14ac:dyDescent="0.25">
      <c r="B15" s="62" t="s">
        <v>161</v>
      </c>
      <c r="C15" s="63">
        <f ca="1">C14*C13</f>
        <v>215.15031347281891</v>
      </c>
      <c r="D15" s="63">
        <f ca="1">D14*D13</f>
        <v>235.60364564913684</v>
      </c>
      <c r="E15" s="63">
        <f ca="1">E14*E13</f>
        <v>355.55646777992376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</row>
    <row r="16" spans="1:34" x14ac:dyDescent="0.25">
      <c r="B16" s="62" t="s">
        <v>165</v>
      </c>
      <c r="C16" s="50">
        <f ca="1">C15/$E$6-1</f>
        <v>-0.18817329457090437</v>
      </c>
      <c r="D16" s="50">
        <f ca="1">D15/$E$6-1</f>
        <v>-0.11099673364600082</v>
      </c>
      <c r="E16" s="50">
        <f ca="1">E15/$E$6-1</f>
        <v>0.34162126548910954</v>
      </c>
      <c r="G16" t="s">
        <v>134</v>
      </c>
      <c r="N16" s="50">
        <f>N6/I6-1</f>
        <v>0.2137470123452907</v>
      </c>
      <c r="O16" s="50">
        <f t="shared" ref="O16:AH16" si="1">O6/J6-1</f>
        <v>0.21624893172870818</v>
      </c>
      <c r="P16" s="50">
        <f t="shared" si="1"/>
        <v>0.1944374833159912</v>
      </c>
      <c r="Q16" s="50">
        <f t="shared" si="1"/>
        <v>0.22123257728751478</v>
      </c>
      <c r="R16" s="50">
        <f t="shared" si="1"/>
        <v>0.21062463191112202</v>
      </c>
      <c r="S16" s="50">
        <f t="shared" si="1"/>
        <v>0.21062534707225278</v>
      </c>
      <c r="T16" s="50">
        <f t="shared" si="1"/>
        <v>0.23682616037837989</v>
      </c>
      <c r="U16" s="50">
        <f t="shared" si="1"/>
        <v>0.21917470829499219</v>
      </c>
      <c r="V16" s="50">
        <f t="shared" si="1"/>
        <v>0.24212144504227506</v>
      </c>
      <c r="W16" s="50">
        <f t="shared" si="1"/>
        <v>0.21597347582742721</v>
      </c>
      <c r="X16" s="50">
        <f t="shared" si="1"/>
        <v>0.22737045045041304</v>
      </c>
      <c r="Y16" s="50">
        <f t="shared" ca="1" si="1"/>
        <v>0.13597107037093425</v>
      </c>
      <c r="Z16" s="50">
        <f t="shared" ca="1" si="1"/>
        <v>0.12735898959397729</v>
      </c>
      <c r="AA16" s="50">
        <f t="shared" ca="1" si="1"/>
        <v>0.11754045476358566</v>
      </c>
      <c r="AB16" s="50">
        <f t="shared" ca="1" si="1"/>
        <v>0.10759113746936988</v>
      </c>
      <c r="AC16" s="50">
        <f t="shared" ca="1" si="1"/>
        <v>0.12064308296494008</v>
      </c>
      <c r="AD16" s="50">
        <f t="shared" ca="1" si="1"/>
        <v>9.7953813887785346E-2</v>
      </c>
      <c r="AE16" s="50">
        <f t="shared" ca="1" si="1"/>
        <v>8.8629571006831886E-2</v>
      </c>
      <c r="AF16" s="50">
        <f t="shared" ca="1" si="1"/>
        <v>7.914328166254192E-2</v>
      </c>
      <c r="AG16" s="50">
        <f t="shared" ca="1" si="1"/>
        <v>6.9624621382080365E-2</v>
      </c>
      <c r="AH16" s="50">
        <f t="shared" ca="1" si="1"/>
        <v>8.2500223033644682E-2</v>
      </c>
    </row>
    <row r="17" spans="2:34" x14ac:dyDescent="0.25">
      <c r="B17" s="62" t="s">
        <v>166</v>
      </c>
      <c r="C17" s="23">
        <v>0.25</v>
      </c>
      <c r="D17" s="23">
        <v>0.5</v>
      </c>
      <c r="E17" s="23">
        <v>0.25</v>
      </c>
      <c r="G17" t="s">
        <v>164</v>
      </c>
      <c r="N17" s="50">
        <f>N7/I7-1</f>
        <v>0.2497170818054224</v>
      </c>
      <c r="O17" s="50">
        <f t="shared" ref="O17:AH17" si="2">O7/J7-1</f>
        <v>-0.79608417277274202</v>
      </c>
      <c r="P17" s="50">
        <f t="shared" si="2"/>
        <v>-0.78585768063674344</v>
      </c>
      <c r="Q17" s="50">
        <f t="shared" si="2"/>
        <v>-0.79471974810988533</v>
      </c>
      <c r="R17" s="50">
        <f t="shared" si="2"/>
        <v>0.56756894381924283</v>
      </c>
      <c r="S17" s="50">
        <f t="shared" si="2"/>
        <v>0.23816154447673954</v>
      </c>
      <c r="T17" s="50">
        <f t="shared" si="2"/>
        <v>0.34010539405973272</v>
      </c>
      <c r="U17" s="50">
        <f t="shared" si="2"/>
        <v>0.23025357594876317</v>
      </c>
      <c r="V17" s="50">
        <f t="shared" si="2"/>
        <v>0.26135665852288326</v>
      </c>
      <c r="W17" s="50">
        <f t="shared" si="2"/>
        <v>0.24720330010903457</v>
      </c>
      <c r="X17" s="50">
        <f t="shared" si="2"/>
        <v>0.26660210819257824</v>
      </c>
      <c r="Y17" s="50">
        <f t="shared" ca="1" si="2"/>
        <v>0.13597107037093425</v>
      </c>
      <c r="Z17" s="50">
        <f t="shared" ca="1" si="2"/>
        <v>0.12735898959397729</v>
      </c>
      <c r="AA17" s="50">
        <f t="shared" ca="1" si="2"/>
        <v>0.11754045476358588</v>
      </c>
      <c r="AB17" s="50">
        <f t="shared" ca="1" si="2"/>
        <v>0.10759113746936988</v>
      </c>
      <c r="AC17" s="50">
        <f t="shared" ca="1" si="2"/>
        <v>0.12085701272938154</v>
      </c>
      <c r="AD17" s="50">
        <f t="shared" ca="1" si="2"/>
        <v>9.7953813887785346E-2</v>
      </c>
      <c r="AE17" s="50">
        <f t="shared" ca="1" si="2"/>
        <v>8.8629571006832109E-2</v>
      </c>
      <c r="AF17" s="50">
        <f t="shared" ca="1" si="2"/>
        <v>7.914328166254192E-2</v>
      </c>
      <c r="AG17" s="50">
        <f t="shared" ca="1" si="2"/>
        <v>6.9624621382080587E-2</v>
      </c>
      <c r="AH17" s="50">
        <f t="shared" ca="1" si="2"/>
        <v>8.2713827786482286E-2</v>
      </c>
    </row>
    <row r="18" spans="2:34" x14ac:dyDescent="0.25">
      <c r="C18" s="64"/>
      <c r="D18" s="64"/>
      <c r="E18" s="64"/>
      <c r="G18" t="s">
        <v>163</v>
      </c>
      <c r="N18" s="50">
        <f>N8/I8-1</f>
        <v>0.26420701651539447</v>
      </c>
      <c r="O18" s="50" t="e">
        <f t="shared" ref="O18:AH18" si="3">O8/J8-1</f>
        <v>#DIV/0!</v>
      </c>
      <c r="P18" s="50" t="e">
        <f t="shared" si="3"/>
        <v>#DIV/0!</v>
      </c>
      <c r="Q18" s="50" t="e">
        <f t="shared" si="3"/>
        <v>#DIV/0!</v>
      </c>
      <c r="R18" s="50">
        <f t="shared" si="3"/>
        <v>0.2489814855946888</v>
      </c>
      <c r="S18" s="50">
        <f t="shared" si="3"/>
        <v>0.25213083014604609</v>
      </c>
      <c r="T18" s="50">
        <f t="shared" si="3"/>
        <v>0.40034806540794632</v>
      </c>
      <c r="U18" s="50">
        <f t="shared" si="3"/>
        <v>0.2443517141928806</v>
      </c>
      <c r="V18" s="50">
        <f t="shared" si="3"/>
        <v>0.26114916442847758</v>
      </c>
      <c r="W18" s="50">
        <f t="shared" si="3"/>
        <v>0.27001366194407406</v>
      </c>
      <c r="X18" s="50">
        <f t="shared" si="3"/>
        <v>0.2892451367198321</v>
      </c>
      <c r="Y18" s="50">
        <f t="shared" ca="1" si="3"/>
        <v>0.15900174943371592</v>
      </c>
      <c r="Z18" s="50">
        <f t="shared" ca="1" si="3"/>
        <v>0.13843344693686532</v>
      </c>
      <c r="AA18" s="50">
        <f t="shared" ca="1" si="3"/>
        <v>0.12462921717875397</v>
      </c>
      <c r="AB18" s="50">
        <f t="shared" ca="1" si="3"/>
        <v>0.10748457521020716</v>
      </c>
      <c r="AC18" s="50">
        <f t="shared" ca="1" si="3"/>
        <v>0.12976649687491748</v>
      </c>
      <c r="AD18" s="50">
        <f t="shared" ca="1" si="3"/>
        <v>9.7769590190767586E-2</v>
      </c>
      <c r="AE18" s="50">
        <f t="shared" ca="1" si="3"/>
        <v>8.8494164719335133E-2</v>
      </c>
      <c r="AF18" s="50">
        <f t="shared" ca="1" si="3"/>
        <v>7.9036407981379897E-2</v>
      </c>
      <c r="AG18" s="50">
        <f t="shared" ca="1" si="3"/>
        <v>6.9562355222480887E-2</v>
      </c>
      <c r="AH18" s="50">
        <f t="shared" ca="1" si="3"/>
        <v>8.2412553037197078E-2</v>
      </c>
    </row>
    <row r="19" spans="2:34" x14ac:dyDescent="0.25">
      <c r="B19" s="66" t="s">
        <v>172</v>
      </c>
      <c r="C19" s="67"/>
      <c r="D19" s="67"/>
      <c r="E19" s="68">
        <f ca="1">(C15*C17)+D17*D15+E17*E15</f>
        <v>260.47851813775412</v>
      </c>
    </row>
    <row r="20" spans="2:34" x14ac:dyDescent="0.25">
      <c r="C20" s="64"/>
      <c r="D20" s="64"/>
      <c r="E20" s="64"/>
      <c r="G20" t="s">
        <v>151</v>
      </c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61">
        <f t="shared" ref="S20:AH20" si="4">$E$6/S8</f>
        <v>53.202851757092617</v>
      </c>
      <c r="T20" s="61">
        <f t="shared" si="4"/>
        <v>182.49371249021493</v>
      </c>
      <c r="U20" s="61">
        <f t="shared" si="4"/>
        <v>184.95512710546205</v>
      </c>
      <c r="V20" s="61">
        <f t="shared" si="4"/>
        <v>189.81644967439715</v>
      </c>
      <c r="W20" s="61">
        <f t="shared" si="4"/>
        <v>123.79260157510873</v>
      </c>
      <c r="X20" s="61">
        <f t="shared" si="4"/>
        <v>41.266668565804494</v>
      </c>
      <c r="Y20" s="61">
        <f t="shared" ca="1" si="4"/>
        <v>157.45766784164104</v>
      </c>
      <c r="Z20" s="61">
        <f t="shared" ca="1" si="4"/>
        <v>162.46459343153785</v>
      </c>
      <c r="AA20" s="61">
        <f t="shared" ca="1" si="4"/>
        <v>168.78136080313732</v>
      </c>
      <c r="AB20" s="61">
        <f t="shared" ca="1" si="4"/>
        <v>111.77817221663079</v>
      </c>
      <c r="AC20" s="61">
        <f t="shared" ca="1" si="4"/>
        <v>36.526723601694265</v>
      </c>
      <c r="AD20" s="61">
        <f t="shared" ca="1" si="4"/>
        <v>143.43416801541974</v>
      </c>
      <c r="AE20" s="61">
        <f t="shared" ca="1" si="4"/>
        <v>149.2562833108332</v>
      </c>
      <c r="AF20" s="61">
        <f t="shared" ca="1" si="4"/>
        <v>156.41859677273266</v>
      </c>
      <c r="AG20" s="61">
        <f t="shared" ca="1" si="4"/>
        <v>104.50832685989559</v>
      </c>
      <c r="AH20" s="61">
        <f t="shared" ca="1" si="4"/>
        <v>33.74565778935402</v>
      </c>
    </row>
    <row r="21" spans="2:34" x14ac:dyDescent="0.25">
      <c r="B21" s="4" t="s">
        <v>167</v>
      </c>
      <c r="C21" s="60" t="s">
        <v>158</v>
      </c>
      <c r="D21" s="60" t="s">
        <v>159</v>
      </c>
      <c r="E21" s="60" t="s">
        <v>160</v>
      </c>
      <c r="G21" t="s">
        <v>152</v>
      </c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61">
        <f t="shared" ref="S21:AH21" si="5">$E$10/S7</f>
        <v>24.549789662933392</v>
      </c>
      <c r="T21" s="61">
        <f t="shared" si="5"/>
        <v>84.498545713685147</v>
      </c>
      <c r="U21" s="61">
        <f t="shared" si="5"/>
        <v>85.204906272940647</v>
      </c>
      <c r="V21" s="61">
        <f t="shared" si="5"/>
        <v>85.356261244698061</v>
      </c>
      <c r="W21" s="61">
        <f t="shared" si="5"/>
        <v>61.324647227841737</v>
      </c>
      <c r="X21" s="61">
        <f t="shared" si="5"/>
        <v>19.382400758803065</v>
      </c>
      <c r="Y21" s="61">
        <f t="shared" ca="1" si="5"/>
        <v>74.384416925418194</v>
      </c>
      <c r="Z21" s="61">
        <f t="shared" ca="1" si="5"/>
        <v>75.579213949965947</v>
      </c>
      <c r="AA21" s="61">
        <f t="shared" ca="1" si="5"/>
        <v>76.378676835242672</v>
      </c>
      <c r="AB21" s="61">
        <f t="shared" ca="1" si="5"/>
        <v>55.367585703111189</v>
      </c>
      <c r="AC21" s="61">
        <f t="shared" ca="1" si="5"/>
        <v>17.292482929294682</v>
      </c>
      <c r="AD21" s="61">
        <f t="shared" ca="1" si="5"/>
        <v>67.74822035730962</v>
      </c>
      <c r="AE21" s="61">
        <f t="shared" ca="1" si="5"/>
        <v>69.426015940450355</v>
      </c>
      <c r="AF21" s="61">
        <f t="shared" ca="1" si="5"/>
        <v>70.777141583620576</v>
      </c>
      <c r="AG21" s="61">
        <f t="shared" ca="1" si="5"/>
        <v>51.763566952647153</v>
      </c>
      <c r="AH21" s="61">
        <f t="shared" ca="1" si="5"/>
        <v>15.971425214590372</v>
      </c>
    </row>
    <row r="22" spans="2:34" x14ac:dyDescent="0.25">
      <c r="B22" t="s">
        <v>169</v>
      </c>
      <c r="C22" s="73">
        <f ca="1">IF(CASE=1,$AH$7,C22)</f>
        <v>1130.3792679573539</v>
      </c>
      <c r="D22" s="73">
        <f ca="1">IF(CASE=2,$AH$7,D22)</f>
        <v>1031.9383285183362</v>
      </c>
      <c r="E22" s="73">
        <f ca="1">IF(CASE=3,$AH$7,E22)</f>
        <v>1334.5850248919849</v>
      </c>
      <c r="G22" t="s">
        <v>153</v>
      </c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>
        <f t="shared" ref="S22:AH22" si="6">S10/$E$6</f>
        <v>4.5029308273163903E-3</v>
      </c>
      <c r="T22" s="50">
        <f t="shared" si="6"/>
        <v>6.708830517829451E-3</v>
      </c>
      <c r="U22" s="50">
        <f t="shared" si="6"/>
        <v>-2.5577439839272989E-3</v>
      </c>
      <c r="V22" s="50">
        <f t="shared" si="6"/>
        <v>-1.6982017341888016E-3</v>
      </c>
      <c r="W22" s="50">
        <f t="shared" si="6"/>
        <v>7.2895893704049116E-3</v>
      </c>
      <c r="X22" s="50">
        <f t="shared" si="6"/>
        <v>9.7765609413349129E-3</v>
      </c>
      <c r="Y22" s="50">
        <f t="shared" ca="1" si="6"/>
        <v>6.8450406325364001E-3</v>
      </c>
      <c r="Z22" s="50">
        <f t="shared" ca="1" si="6"/>
        <v>7.2585281112646756E-4</v>
      </c>
      <c r="AA22" s="50">
        <f t="shared" ca="1" si="6"/>
        <v>-1.8034060928113398E-3</v>
      </c>
      <c r="AB22" s="50">
        <f t="shared" ca="1" si="6"/>
        <v>8.2217008137815979E-3</v>
      </c>
      <c r="AC22" s="50">
        <f t="shared" ca="1" si="6"/>
        <v>1.3989188164633124E-2</v>
      </c>
      <c r="AD22" s="50">
        <f t="shared" ca="1" si="6"/>
        <v>7.645556116514558E-3</v>
      </c>
      <c r="AE22" s="50">
        <f t="shared" ca="1" si="6"/>
        <v>8.9476317445381036E-4</v>
      </c>
      <c r="AF22" s="50">
        <f t="shared" ca="1" si="6"/>
        <v>-1.8021099627075331E-3</v>
      </c>
      <c r="AG22" s="50">
        <f t="shared" ca="1" si="6"/>
        <v>8.9585417241449701E-3</v>
      </c>
      <c r="AH22" s="50">
        <f t="shared" ca="1" si="6"/>
        <v>1.5696751052405804E-2</v>
      </c>
    </row>
    <row r="23" spans="2:34" x14ac:dyDescent="0.25">
      <c r="B23" s="5" t="s">
        <v>168</v>
      </c>
      <c r="C23" s="65">
        <v>10</v>
      </c>
      <c r="D23" s="65">
        <v>15</v>
      </c>
      <c r="E23" s="65">
        <v>20</v>
      </c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50"/>
      <c r="X23" s="50"/>
      <c r="Y23" s="50"/>
      <c r="Z23" s="50"/>
      <c r="AA23" s="50"/>
      <c r="AB23" s="50"/>
      <c r="AC23" s="50"/>
      <c r="AD23" s="50"/>
      <c r="AE23" s="50"/>
      <c r="AF23" s="50"/>
      <c r="AG23" s="50"/>
      <c r="AH23" s="50"/>
    </row>
    <row r="24" spans="2:34" x14ac:dyDescent="0.25">
      <c r="B24" s="62" t="s">
        <v>3</v>
      </c>
      <c r="C24" s="74">
        <f ca="1">C23*C22</f>
        <v>11303.79267957354</v>
      </c>
      <c r="D24" s="74">
        <f ca="1">D23*D22</f>
        <v>15479.074927775044</v>
      </c>
      <c r="E24" s="74">
        <f ca="1">E23*E22</f>
        <v>26691.700497839698</v>
      </c>
      <c r="G24" t="s">
        <v>123</v>
      </c>
      <c r="I24" s="50">
        <f>Model!G101</f>
        <v>0.20222332104468757</v>
      </c>
      <c r="J24" s="50" t="e">
        <f>Model!H101</f>
        <v>#DIV/0!</v>
      </c>
      <c r="K24" s="50" t="e">
        <f>Model!I101</f>
        <v>#DIV/0!</v>
      </c>
      <c r="L24" s="50" t="e">
        <f>Model!J101</f>
        <v>#DIV/0!</v>
      </c>
      <c r="M24" s="50">
        <f>Model!K101</f>
        <v>6.9950597550799284E-2</v>
      </c>
      <c r="N24" s="50">
        <f>Model!L101</f>
        <v>0.20617005568697319</v>
      </c>
      <c r="O24" s="50">
        <f>Model!M101</f>
        <v>0.20551579642129406</v>
      </c>
      <c r="P24" s="50">
        <f>Model!N101</f>
        <v>0.22077573190433919</v>
      </c>
      <c r="Q24" s="50">
        <f>Model!O101</f>
        <v>0.20687562356321221</v>
      </c>
      <c r="R24" s="50">
        <f>Model!P101</f>
        <v>0.298923130448282</v>
      </c>
      <c r="S24" s="50">
        <f>Model!Q101</f>
        <v>0.22178675238376427</v>
      </c>
      <c r="T24" s="50">
        <f>Model!R101</f>
        <v>0.27878104521674807</v>
      </c>
      <c r="U24" s="50">
        <f>Model!S101</f>
        <v>0.25864388977374686</v>
      </c>
      <c r="V24" s="50">
        <f>Model!T101</f>
        <v>0.24111552775183828</v>
      </c>
      <c r="W24" s="50">
        <f>Model!U101</f>
        <v>0.33767675357252092</v>
      </c>
      <c r="X24" s="50">
        <f>Model!V101</f>
        <v>0.25393880910507355</v>
      </c>
      <c r="Y24" s="50">
        <f ca="1">Model!W101</f>
        <v>0.24836794153069064</v>
      </c>
      <c r="Z24" s="50">
        <f ca="1">Model!X101</f>
        <v>0.22644151727873685</v>
      </c>
      <c r="AA24" s="50">
        <f ca="1">Model!Y101</f>
        <v>0.20612524082431358</v>
      </c>
      <c r="AB24" s="50">
        <f ca="1">Model!Z101</f>
        <v>0.28827598383470338</v>
      </c>
      <c r="AC24" s="50">
        <f ca="1">Model!AA101</f>
        <v>0.22054375118864694</v>
      </c>
      <c r="AD24" s="50">
        <f ca="1">Model!AB101</f>
        <v>0.21231516684753687</v>
      </c>
      <c r="AE24" s="50">
        <f ca="1">Model!AC101</f>
        <v>0.19372202655485957</v>
      </c>
      <c r="AF24" s="50">
        <f ca="1">Model!AD101</f>
        <v>0.17629485493027131</v>
      </c>
      <c r="AG24" s="50">
        <f ca="1">Model!AE101</f>
        <v>0.2471920972443491</v>
      </c>
      <c r="AH24" s="50">
        <f ca="1">Model!AF101</f>
        <v>0.1913848639227404</v>
      </c>
    </row>
    <row r="25" spans="2:34" x14ac:dyDescent="0.25">
      <c r="B25" s="69" t="s">
        <v>180</v>
      </c>
      <c r="C25" s="180">
        <f ca="1">IF(CASE=1,Model!$AF$106,C25)</f>
        <v>762.61259937151021</v>
      </c>
      <c r="D25" s="180">
        <f ca="1">IF(CASE=2,Model!$AF$106,D25)</f>
        <v>769.5638685208321</v>
      </c>
      <c r="E25" s="180">
        <f ca="1">IF(CASE=3,Model!$AF$106,E25)</f>
        <v>787.77938375359486</v>
      </c>
      <c r="G25" t="s">
        <v>124</v>
      </c>
      <c r="I25" s="50">
        <f>Model!G102</f>
        <v>0.20210568501057713</v>
      </c>
      <c r="J25" s="50" t="e">
        <f>Model!H102</f>
        <v>#DIV/0!</v>
      </c>
      <c r="K25" s="50" t="e">
        <f>Model!I102</f>
        <v>#DIV/0!</v>
      </c>
      <c r="L25" s="50" t="e">
        <f>Model!J102</f>
        <v>#DIV/0!</v>
      </c>
      <c r="M25" s="50">
        <f>Model!K102</f>
        <v>6.9765428546006536E-2</v>
      </c>
      <c r="N25" s="50">
        <f>Model!L102</f>
        <v>0.20545342759050253</v>
      </c>
      <c r="O25" s="50">
        <f>Model!M102</f>
        <v>0.20456106555332548</v>
      </c>
      <c r="P25" s="50">
        <f>Model!N102</f>
        <v>0.21995417435326528</v>
      </c>
      <c r="Q25" s="50">
        <f>Model!O102</f>
        <v>0.20605184698422827</v>
      </c>
      <c r="R25" s="50">
        <f>Model!P102</f>
        <v>0.2981663139014446</v>
      </c>
      <c r="S25" s="50">
        <f>Model!Q102</f>
        <v>0.22099459000919</v>
      </c>
      <c r="T25" s="50">
        <f>Model!R102</f>
        <v>0.27782627408902694</v>
      </c>
      <c r="U25" s="50">
        <f>Model!S102</f>
        <v>0.25793121384085627</v>
      </c>
      <c r="V25" s="50">
        <f>Model!T102</f>
        <v>0.24053429415929126</v>
      </c>
      <c r="W25" s="50">
        <f>Model!U102</f>
        <v>0.33714588436588339</v>
      </c>
      <c r="X25" s="50">
        <f>Model!V102</f>
        <v>0.2533192520333461</v>
      </c>
      <c r="Y25" s="50">
        <f ca="1">Model!W102</f>
        <v>0.24762649620464572</v>
      </c>
      <c r="Z25" s="50">
        <f ca="1">Model!X102</f>
        <v>0.22589238662139244</v>
      </c>
      <c r="AA25" s="50">
        <f ca="1">Model!Y102</f>
        <v>0.20568341882063917</v>
      </c>
      <c r="AB25" s="50">
        <f ca="1">Model!Z102</f>
        <v>0.2878667635553333</v>
      </c>
      <c r="AC25" s="50">
        <f ca="1">Model!AA102</f>
        <v>0.22006616590999828</v>
      </c>
      <c r="AD25" s="50">
        <f ca="1">Model!AB102</f>
        <v>0.21173779790722583</v>
      </c>
      <c r="AE25" s="50">
        <f ca="1">Model!AC102</f>
        <v>0.19329043540277932</v>
      </c>
      <c r="AF25" s="50">
        <f ca="1">Model!AD102</f>
        <v>0.17594465205770651</v>
      </c>
      <c r="AG25" s="50">
        <f ca="1">Model!AE102</f>
        <v>0.24686401920729165</v>
      </c>
      <c r="AH25" s="50">
        <f ca="1">Model!AF102</f>
        <v>0.19100197664015556</v>
      </c>
    </row>
    <row r="26" spans="2:34" x14ac:dyDescent="0.25">
      <c r="B26" s="62" t="s">
        <v>2</v>
      </c>
      <c r="C26" s="74">
        <f ca="1">C24+C25</f>
        <v>12066.405278945051</v>
      </c>
      <c r="D26" s="74">
        <f ca="1">D24+D25</f>
        <v>16248.638796295876</v>
      </c>
      <c r="E26" s="74">
        <f ca="1">E24+E25</f>
        <v>27479.479881593292</v>
      </c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</row>
    <row r="27" spans="2:34" x14ac:dyDescent="0.25">
      <c r="B27" s="69" t="s">
        <v>170</v>
      </c>
      <c r="C27" s="70">
        <f>Model!AF68</f>
        <v>62.692</v>
      </c>
      <c r="D27" s="70">
        <f>C27</f>
        <v>62.692</v>
      </c>
      <c r="E27" s="70">
        <f>D27</f>
        <v>62.692</v>
      </c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</row>
    <row r="28" spans="2:34" x14ac:dyDescent="0.25">
      <c r="B28" s="62" t="s">
        <v>161</v>
      </c>
      <c r="C28" s="63">
        <f ca="1">C26/C27</f>
        <v>192.47121289710091</v>
      </c>
      <c r="D28" s="63">
        <f ca="1">D26/D27</f>
        <v>259.18201359497027</v>
      </c>
      <c r="E28" s="63">
        <f ca="1">E26/E27</f>
        <v>438.32514326538143</v>
      </c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50"/>
      <c r="X28" s="50"/>
      <c r="Y28" s="50"/>
      <c r="Z28" s="50"/>
      <c r="AA28" s="50"/>
      <c r="AB28" s="50"/>
      <c r="AC28" s="50"/>
      <c r="AD28" s="50"/>
      <c r="AE28" s="50"/>
      <c r="AF28" s="50"/>
      <c r="AG28" s="50"/>
      <c r="AH28" s="50"/>
    </row>
    <row r="29" spans="2:34" x14ac:dyDescent="0.25">
      <c r="B29" s="62" t="s">
        <v>165</v>
      </c>
      <c r="C29" s="50">
        <f ca="1">C28/$E$6-1</f>
        <v>-0.27374834768281286</v>
      </c>
      <c r="D29" s="50">
        <f ca="1">D28/$E$6-1</f>
        <v>-2.2028474851066737E-2</v>
      </c>
      <c r="E29" s="50">
        <f ca="1">E28/$E$6-1</f>
        <v>0.65393231931696261</v>
      </c>
    </row>
    <row r="30" spans="2:34" x14ac:dyDescent="0.25">
      <c r="B30" s="62" t="s">
        <v>166</v>
      </c>
      <c r="C30" s="23">
        <v>0.25</v>
      </c>
      <c r="D30" s="23">
        <v>0.5</v>
      </c>
      <c r="E30" s="23">
        <v>0.25</v>
      </c>
    </row>
    <row r="31" spans="2:34" x14ac:dyDescent="0.25">
      <c r="C31" s="64"/>
      <c r="D31" s="64"/>
      <c r="E31" s="64"/>
    </row>
    <row r="32" spans="2:34" x14ac:dyDescent="0.25">
      <c r="B32" s="66" t="s">
        <v>173</v>
      </c>
      <c r="C32" s="67"/>
      <c r="D32" s="67"/>
      <c r="E32" s="68">
        <f ca="1">(C28*C30)+D30*D28+E30*E28</f>
        <v>287.29009583810574</v>
      </c>
    </row>
    <row r="33" spans="2:5" x14ac:dyDescent="0.25">
      <c r="B33" s="14"/>
      <c r="C33" s="71"/>
      <c r="D33" s="71"/>
      <c r="E33" s="72"/>
    </row>
    <row r="34" spans="2:5" x14ac:dyDescent="0.25">
      <c r="B34" s="187" t="s">
        <v>171</v>
      </c>
      <c r="C34" s="188"/>
      <c r="D34" s="188"/>
      <c r="E34" s="189">
        <f ca="1">AVERAGE(E32,E19)</f>
        <v>273.8843069879299</v>
      </c>
    </row>
    <row r="35" spans="2:5" x14ac:dyDescent="0.25">
      <c r="B35" s="172" t="s">
        <v>165</v>
      </c>
      <c r="C35" s="50"/>
      <c r="D35" s="50"/>
      <c r="E35" s="173">
        <f ca="1">E34/$E$6-1</f>
        <v>3.3447690694777377E-2</v>
      </c>
    </row>
    <row r="36" spans="2:5" x14ac:dyDescent="0.25">
      <c r="C36" s="64"/>
      <c r="D36" s="64"/>
      <c r="E36" s="64"/>
    </row>
    <row r="37" spans="2:5" x14ac:dyDescent="0.25">
      <c r="C37" s="64"/>
      <c r="D37" s="64"/>
      <c r="E37" s="64"/>
    </row>
    <row r="38" spans="2:5" x14ac:dyDescent="0.25">
      <c r="C38" s="64"/>
      <c r="D38" s="64"/>
      <c r="E38" s="64"/>
    </row>
    <row r="39" spans="2:5" x14ac:dyDescent="0.25">
      <c r="C39" s="64"/>
      <c r="D39" s="64"/>
      <c r="E39" s="64"/>
    </row>
    <row r="40" spans="2:5" x14ac:dyDescent="0.25">
      <c r="C40" s="64"/>
      <c r="D40" s="64"/>
      <c r="E40" s="64"/>
    </row>
    <row r="41" spans="2:5" x14ac:dyDescent="0.25">
      <c r="C41" s="64"/>
      <c r="D41" s="64"/>
      <c r="E41" s="64"/>
    </row>
    <row r="42" spans="2:5" x14ac:dyDescent="0.25">
      <c r="C42" s="64"/>
      <c r="D42" s="64"/>
      <c r="E42" s="64"/>
    </row>
    <row r="43" spans="2:5" x14ac:dyDescent="0.25">
      <c r="C43" s="64"/>
      <c r="D43" s="64"/>
      <c r="E43" s="64"/>
    </row>
    <row r="44" spans="2:5" x14ac:dyDescent="0.25">
      <c r="C44" s="64"/>
      <c r="D44" s="64"/>
      <c r="E44" s="64"/>
    </row>
    <row r="45" spans="2:5" x14ac:dyDescent="0.25">
      <c r="C45" s="64"/>
      <c r="D45" s="64"/>
      <c r="E45" s="64"/>
    </row>
    <row r="46" spans="2:5" x14ac:dyDescent="0.25">
      <c r="C46" s="64"/>
      <c r="D46" s="64"/>
      <c r="E46" s="64"/>
    </row>
    <row r="47" spans="2:5" x14ac:dyDescent="0.25">
      <c r="C47" s="64"/>
      <c r="D47" s="64"/>
      <c r="E47" s="64"/>
    </row>
    <row r="48" spans="2:5" x14ac:dyDescent="0.25">
      <c r="C48" s="64"/>
      <c r="D48" s="64"/>
      <c r="E48" s="64"/>
    </row>
    <row r="49" spans="3:5" x14ac:dyDescent="0.25">
      <c r="C49" s="64"/>
      <c r="D49" s="64"/>
      <c r="E49" s="64"/>
    </row>
    <row r="50" spans="3:5" x14ac:dyDescent="0.25">
      <c r="C50" s="64"/>
      <c r="D50" s="64"/>
      <c r="E50" s="64"/>
    </row>
    <row r="51" spans="3:5" x14ac:dyDescent="0.25">
      <c r="C51" s="64"/>
      <c r="D51" s="64"/>
      <c r="E51" s="64"/>
    </row>
    <row r="52" spans="3:5" x14ac:dyDescent="0.25">
      <c r="C52" s="64"/>
      <c r="D52" s="64"/>
      <c r="E52" s="64"/>
    </row>
    <row r="53" spans="3:5" x14ac:dyDescent="0.25">
      <c r="C53" s="64"/>
      <c r="D53" s="64"/>
      <c r="E53" s="64"/>
    </row>
    <row r="54" spans="3:5" x14ac:dyDescent="0.25">
      <c r="C54" s="64"/>
      <c r="D54" s="64"/>
      <c r="E54" s="64"/>
    </row>
    <row r="55" spans="3:5" x14ac:dyDescent="0.25">
      <c r="C55" s="64"/>
      <c r="D55" s="64"/>
      <c r="E55" s="64"/>
    </row>
    <row r="56" spans="3:5" x14ac:dyDescent="0.25">
      <c r="C56" s="64"/>
      <c r="D56" s="64"/>
      <c r="E56" s="64"/>
    </row>
  </sheetData>
  <pageMargins left="0.7" right="0.7" top="0.75" bottom="0.75" header="0.3" footer="0.3"/>
  <pageSetup scale="7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AF250"/>
  <sheetViews>
    <sheetView showGridLines="0" view="pageBreakPreview" zoomScaleNormal="100" zoomScaleSheetLayoutView="100" workbookViewId="0">
      <pane xSplit="6" ySplit="4" topLeftCell="G5" activePane="bottomRight" state="frozen"/>
      <selection pane="topRight" activeCell="G1" sqref="G1"/>
      <selection pane="bottomLeft" activeCell="A5" sqref="A5"/>
      <selection pane="bottomRight"/>
    </sheetView>
  </sheetViews>
  <sheetFormatPr defaultRowHeight="15" outlineLevelCol="1" x14ac:dyDescent="0.25"/>
  <cols>
    <col min="1" max="1" width="4.28515625" customWidth="1"/>
    <col min="2" max="2" width="25.85546875" customWidth="1"/>
    <col min="3" max="6" width="9.7109375" hidden="1" customWidth="1"/>
    <col min="7" max="11" width="9.7109375" hidden="1" customWidth="1" outlineLevel="1"/>
    <col min="12" max="12" width="9.7109375" customWidth="1" collapsed="1"/>
    <col min="13" max="13" width="9.7109375" style="111" customWidth="1" outlineLevel="1"/>
    <col min="14" max="15" width="9.7109375" style="14" customWidth="1" outlineLevel="1"/>
    <col min="16" max="16" width="9.7109375" style="128" customWidth="1" outlineLevel="1"/>
    <col min="17" max="17" width="9.7109375" customWidth="1"/>
    <col min="18" max="18" width="9.7109375" style="111" customWidth="1" outlineLevel="1"/>
    <col min="19" max="20" width="9.7109375" style="14" customWidth="1" outlineLevel="1"/>
    <col min="21" max="21" width="9.7109375" style="128" customWidth="1" outlineLevel="1"/>
    <col min="22" max="22" width="9.7109375" customWidth="1"/>
    <col min="23" max="23" width="9.7109375" style="111" customWidth="1" outlineLevel="1"/>
    <col min="24" max="25" width="9.7109375" style="14" customWidth="1" outlineLevel="1"/>
    <col min="26" max="26" width="9.7109375" style="128" customWidth="1" outlineLevel="1"/>
    <col min="27" max="27" width="9.7109375" customWidth="1"/>
    <col min="28" max="28" width="9.7109375" style="111" customWidth="1" outlineLevel="1"/>
    <col min="29" max="30" width="9.7109375" style="14" customWidth="1" outlineLevel="1"/>
    <col min="31" max="31" width="9.7109375" style="128" customWidth="1" outlineLevel="1"/>
    <col min="32" max="32" width="9.7109375" customWidth="1"/>
  </cols>
  <sheetData>
    <row r="1" spans="2:32" s="14" customFormat="1" x14ac:dyDescent="0.25"/>
    <row r="2" spans="2:32" x14ac:dyDescent="0.25">
      <c r="B2" s="165" t="s">
        <v>0</v>
      </c>
      <c r="C2" s="166">
        <f>D2-1</f>
        <v>2009</v>
      </c>
      <c r="D2" s="166">
        <f>E2-1</f>
        <v>2010</v>
      </c>
      <c r="E2" s="166">
        <f>F2-1</f>
        <v>2011</v>
      </c>
      <c r="F2" s="166">
        <f>G2-1</f>
        <v>2012</v>
      </c>
      <c r="G2" s="166">
        <v>2013</v>
      </c>
      <c r="H2" s="166" t="s">
        <v>4</v>
      </c>
      <c r="I2" s="166" t="s">
        <v>5</v>
      </c>
      <c r="J2" s="166" t="s">
        <v>6</v>
      </c>
      <c r="K2" s="166" t="s">
        <v>7</v>
      </c>
      <c r="L2" s="166">
        <f>G2+1</f>
        <v>2014</v>
      </c>
      <c r="M2" s="166" t="s">
        <v>4</v>
      </c>
      <c r="N2" s="166" t="s">
        <v>5</v>
      </c>
      <c r="O2" s="166" t="s">
        <v>6</v>
      </c>
      <c r="P2" s="166" t="s">
        <v>7</v>
      </c>
      <c r="Q2" s="166">
        <f>L2+1</f>
        <v>2015</v>
      </c>
      <c r="R2" s="166" t="s">
        <v>4</v>
      </c>
      <c r="S2" s="166" t="s">
        <v>5</v>
      </c>
      <c r="T2" s="166" t="s">
        <v>6</v>
      </c>
      <c r="U2" s="166" t="s">
        <v>11</v>
      </c>
      <c r="V2" s="166" t="s">
        <v>10</v>
      </c>
      <c r="W2" s="166" t="s">
        <v>12</v>
      </c>
      <c r="X2" s="166" t="s">
        <v>13</v>
      </c>
      <c r="Y2" s="166" t="s">
        <v>14</v>
      </c>
      <c r="Z2" s="166" t="s">
        <v>11</v>
      </c>
      <c r="AA2" s="166" t="s">
        <v>9</v>
      </c>
      <c r="AB2" s="166" t="s">
        <v>12</v>
      </c>
      <c r="AC2" s="166" t="s">
        <v>13</v>
      </c>
      <c r="AD2" s="166" t="s">
        <v>14</v>
      </c>
      <c r="AE2" s="166" t="s">
        <v>11</v>
      </c>
      <c r="AF2" s="167" t="s">
        <v>8</v>
      </c>
    </row>
    <row r="3" spans="2:32" s="13" customFormat="1" x14ac:dyDescent="0.25">
      <c r="B3" s="168" t="s">
        <v>19</v>
      </c>
      <c r="C3" s="169"/>
      <c r="D3" s="169"/>
      <c r="E3" s="169"/>
      <c r="F3" s="169"/>
      <c r="G3" s="170">
        <v>41670</v>
      </c>
      <c r="H3" s="170">
        <f>EOMONTH(G3,3)</f>
        <v>41759</v>
      </c>
      <c r="I3" s="170">
        <f>EOMONTH(H3,3)</f>
        <v>41851</v>
      </c>
      <c r="J3" s="170">
        <f>EOMONTH(I3,3)</f>
        <v>41943</v>
      </c>
      <c r="K3" s="170">
        <f>EOMONTH(J3,3)</f>
        <v>42035</v>
      </c>
      <c r="L3" s="170">
        <f>K3</f>
        <v>42035</v>
      </c>
      <c r="M3" s="170">
        <f>EOMONTH(L3,3)</f>
        <v>42124</v>
      </c>
      <c r="N3" s="170">
        <f>EOMONTH(M3,3)</f>
        <v>42216</v>
      </c>
      <c r="O3" s="170">
        <f>EOMONTH(N3,3)</f>
        <v>42308</v>
      </c>
      <c r="P3" s="170">
        <f>EOMONTH(O3,3)</f>
        <v>42400</v>
      </c>
      <c r="Q3" s="170">
        <f>P3</f>
        <v>42400</v>
      </c>
      <c r="R3" s="170">
        <f>EOMONTH(Q3,3)</f>
        <v>42490</v>
      </c>
      <c r="S3" s="170">
        <f>EOMONTH(R3,3)</f>
        <v>42582</v>
      </c>
      <c r="T3" s="170">
        <f>EOMONTH(S3,3)</f>
        <v>42674</v>
      </c>
      <c r="U3" s="170">
        <f>EOMONTH(T3,3)</f>
        <v>42766</v>
      </c>
      <c r="V3" s="170">
        <f>U3</f>
        <v>42766</v>
      </c>
      <c r="W3" s="170">
        <f>EOMONTH(V3,3)</f>
        <v>42855</v>
      </c>
      <c r="X3" s="170">
        <f>EOMONTH(W3,3)</f>
        <v>42947</v>
      </c>
      <c r="Y3" s="170">
        <f>EOMONTH(X3,3)</f>
        <v>43039</v>
      </c>
      <c r="Z3" s="170">
        <f>EOMONTH(Y3,3)</f>
        <v>43131</v>
      </c>
      <c r="AA3" s="170">
        <f>Z3</f>
        <v>43131</v>
      </c>
      <c r="AB3" s="170">
        <f>EOMONTH(AA3,3)</f>
        <v>43220</v>
      </c>
      <c r="AC3" s="170">
        <f>EOMONTH(AB3,3)</f>
        <v>43312</v>
      </c>
      <c r="AD3" s="170">
        <f>EOMONTH(AC3,3)</f>
        <v>43404</v>
      </c>
      <c r="AE3" s="170">
        <f>EOMONTH(AD3,3)</f>
        <v>43496</v>
      </c>
      <c r="AF3" s="171">
        <f>AE3</f>
        <v>43496</v>
      </c>
    </row>
    <row r="4" spans="2:32" s="14" customFormat="1" x14ac:dyDescent="0.25"/>
    <row r="5" spans="2:32" s="14" customFormat="1" x14ac:dyDescent="0.25"/>
    <row r="6" spans="2:32" x14ac:dyDescent="0.25">
      <c r="B6" s="162" t="s">
        <v>20</v>
      </c>
      <c r="C6" s="163"/>
      <c r="D6" s="163"/>
      <c r="E6" s="163"/>
      <c r="F6" s="163"/>
      <c r="G6" s="163"/>
      <c r="H6" s="163"/>
      <c r="I6" s="163"/>
      <c r="J6" s="163"/>
      <c r="K6" s="163"/>
      <c r="L6" s="163"/>
      <c r="M6" s="162"/>
      <c r="N6" s="163"/>
      <c r="O6" s="163"/>
      <c r="P6" s="164"/>
      <c r="Q6" s="163"/>
      <c r="R6" s="162"/>
      <c r="S6" s="163"/>
      <c r="T6" s="163"/>
      <c r="U6" s="164"/>
      <c r="V6" s="163"/>
      <c r="W6" s="162"/>
      <c r="X6" s="163"/>
      <c r="Y6" s="163"/>
      <c r="Z6" s="164"/>
      <c r="AA6" s="163"/>
      <c r="AB6" s="162"/>
      <c r="AC6" s="163"/>
      <c r="AD6" s="163"/>
      <c r="AE6" s="164"/>
      <c r="AF6" s="164"/>
    </row>
    <row r="7" spans="2:32" x14ac:dyDescent="0.25">
      <c r="G7" s="17"/>
      <c r="H7" s="17"/>
      <c r="I7" s="17"/>
      <c r="J7" s="17"/>
      <c r="K7" s="17"/>
      <c r="L7" s="17"/>
      <c r="M7" s="79"/>
      <c r="N7" s="80"/>
      <c r="O7" s="80"/>
      <c r="P7" s="112"/>
      <c r="Q7" s="17"/>
      <c r="R7" s="79"/>
      <c r="S7" s="80"/>
      <c r="T7" s="80"/>
      <c r="U7" s="112"/>
      <c r="V7" s="17"/>
      <c r="W7" s="79"/>
      <c r="X7" s="80"/>
      <c r="Y7" s="80"/>
      <c r="Z7" s="112"/>
      <c r="AA7" s="17"/>
      <c r="AB7" s="79"/>
      <c r="AC7" s="80"/>
      <c r="AD7" s="80"/>
      <c r="AE7" s="112"/>
      <c r="AF7" s="17"/>
    </row>
    <row r="8" spans="2:32" x14ac:dyDescent="0.25">
      <c r="B8" s="4" t="s">
        <v>174</v>
      </c>
      <c r="G8" s="17"/>
      <c r="H8" s="17"/>
      <c r="I8" s="17"/>
      <c r="J8" s="17"/>
      <c r="K8" s="17"/>
      <c r="L8" s="17"/>
      <c r="M8" s="79"/>
      <c r="N8" s="80"/>
      <c r="O8" s="80"/>
      <c r="P8" s="112"/>
      <c r="Q8" s="17"/>
      <c r="R8" s="79"/>
      <c r="S8" s="80"/>
      <c r="T8" s="80"/>
      <c r="U8" s="112"/>
      <c r="V8" s="17"/>
      <c r="W8" s="79"/>
      <c r="X8" s="80"/>
      <c r="Y8" s="80"/>
      <c r="Z8" s="112"/>
      <c r="AA8" s="17"/>
      <c r="AB8" s="79"/>
      <c r="AC8" s="80"/>
      <c r="AD8" s="80"/>
      <c r="AE8" s="112"/>
      <c r="AF8" s="17"/>
    </row>
    <row r="9" spans="2:32" x14ac:dyDescent="0.25">
      <c r="B9" t="s">
        <v>24</v>
      </c>
      <c r="G9" s="17">
        <v>550</v>
      </c>
      <c r="H9" s="17"/>
      <c r="I9" s="17"/>
      <c r="J9" s="17"/>
      <c r="K9" s="17"/>
      <c r="L9" s="17">
        <f>G12</f>
        <v>675</v>
      </c>
      <c r="M9" s="79">
        <v>774</v>
      </c>
      <c r="N9" s="80">
        <v>797</v>
      </c>
      <c r="O9" s="80">
        <v>817</v>
      </c>
      <c r="P9" s="112">
        <v>860</v>
      </c>
      <c r="Q9" s="17">
        <f>L12</f>
        <v>774</v>
      </c>
      <c r="R9" s="91">
        <v>874</v>
      </c>
      <c r="S9" s="80">
        <f>R12</f>
        <v>886</v>
      </c>
      <c r="T9" s="80">
        <f t="shared" ref="T9:U9" si="0">S12</f>
        <v>907</v>
      </c>
      <c r="U9" s="112">
        <f t="shared" si="0"/>
        <v>949</v>
      </c>
      <c r="V9" s="17">
        <f>Q12</f>
        <v>874</v>
      </c>
      <c r="W9" s="79">
        <f>V12</f>
        <v>970</v>
      </c>
      <c r="X9" s="80">
        <f>W12</f>
        <v>995</v>
      </c>
      <c r="Y9" s="80">
        <f t="shared" ref="Y9:Z9" si="1">X12</f>
        <v>1020</v>
      </c>
      <c r="Z9" s="112">
        <f t="shared" si="1"/>
        <v>1045</v>
      </c>
      <c r="AA9" s="17">
        <f>V12</f>
        <v>970</v>
      </c>
      <c r="AB9" s="79">
        <f>AA12</f>
        <v>1070</v>
      </c>
      <c r="AC9" s="80">
        <f>AB12</f>
        <v>1095</v>
      </c>
      <c r="AD9" s="80">
        <f t="shared" ref="AD9:AE9" si="2">AC12</f>
        <v>1120</v>
      </c>
      <c r="AE9" s="112">
        <f t="shared" si="2"/>
        <v>1145</v>
      </c>
      <c r="AF9" s="17">
        <f>AA12</f>
        <v>1070</v>
      </c>
    </row>
    <row r="10" spans="2:32" x14ac:dyDescent="0.25">
      <c r="B10" s="15" t="s">
        <v>25</v>
      </c>
      <c r="G10" s="17">
        <v>127</v>
      </c>
      <c r="H10" s="17"/>
      <c r="I10" s="17"/>
      <c r="J10" s="17"/>
      <c r="K10" s="17"/>
      <c r="L10" s="17">
        <v>100</v>
      </c>
      <c r="M10" s="79">
        <v>24</v>
      </c>
      <c r="N10" s="80">
        <v>20</v>
      </c>
      <c r="O10" s="80">
        <v>45</v>
      </c>
      <c r="P10" s="112">
        <v>14</v>
      </c>
      <c r="Q10" s="17">
        <f>SUM(M10:P10)</f>
        <v>103</v>
      </c>
      <c r="R10" s="79">
        <v>13</v>
      </c>
      <c r="S10" s="80">
        <v>24</v>
      </c>
      <c r="T10" s="80">
        <v>42</v>
      </c>
      <c r="U10" s="112">
        <f>100-T10-S10-R10</f>
        <v>21</v>
      </c>
      <c r="V10" s="17">
        <f>SUM(R10:U10)</f>
        <v>100</v>
      </c>
      <c r="W10" s="91">
        <v>25</v>
      </c>
      <c r="X10" s="92">
        <v>25</v>
      </c>
      <c r="Y10" s="92">
        <v>25</v>
      </c>
      <c r="Z10" s="118">
        <v>25</v>
      </c>
      <c r="AA10" s="17">
        <f>SUM(W10:Z10)</f>
        <v>100</v>
      </c>
      <c r="AB10" s="91">
        <v>25</v>
      </c>
      <c r="AC10" s="92">
        <v>25</v>
      </c>
      <c r="AD10" s="92">
        <v>25</v>
      </c>
      <c r="AE10" s="118">
        <v>25</v>
      </c>
      <c r="AF10" s="17">
        <f>SUM(AB10:AE10)</f>
        <v>100</v>
      </c>
    </row>
    <row r="11" spans="2:32" x14ac:dyDescent="0.25">
      <c r="B11" s="15" t="s">
        <v>26</v>
      </c>
      <c r="G11" s="17">
        <v>-2</v>
      </c>
      <c r="H11" s="17"/>
      <c r="I11" s="17"/>
      <c r="J11" s="17"/>
      <c r="K11" s="17"/>
      <c r="L11" s="17">
        <v>-1</v>
      </c>
      <c r="M11" s="79">
        <v>-1</v>
      </c>
      <c r="N11" s="80">
        <v>0</v>
      </c>
      <c r="O11" s="80">
        <v>-2</v>
      </c>
      <c r="P11" s="112">
        <v>0</v>
      </c>
      <c r="Q11" s="17">
        <f>SUM(M11:P11)</f>
        <v>-3</v>
      </c>
      <c r="R11" s="79">
        <v>-1</v>
      </c>
      <c r="S11" s="80">
        <v>-3</v>
      </c>
      <c r="T11" s="80">
        <v>0</v>
      </c>
      <c r="U11" s="112">
        <v>0</v>
      </c>
      <c r="V11" s="17">
        <f>SUM(R11:U11)</f>
        <v>-4</v>
      </c>
      <c r="W11" s="79">
        <v>0</v>
      </c>
      <c r="X11" s="80">
        <v>0</v>
      </c>
      <c r="Y11" s="80">
        <v>0</v>
      </c>
      <c r="Z11" s="112">
        <v>0</v>
      </c>
      <c r="AA11" s="17">
        <f>SUM(W11:Z11)</f>
        <v>0</v>
      </c>
      <c r="AB11" s="79">
        <v>0</v>
      </c>
      <c r="AC11" s="80">
        <v>0</v>
      </c>
      <c r="AD11" s="80">
        <v>0</v>
      </c>
      <c r="AE11" s="112">
        <v>0</v>
      </c>
      <c r="AF11" s="17">
        <f>SUM(AB11:AE11)</f>
        <v>0</v>
      </c>
    </row>
    <row r="12" spans="2:32" x14ac:dyDescent="0.25">
      <c r="B12" t="s">
        <v>27</v>
      </c>
      <c r="G12" s="17">
        <f>SUM(G9:G11)</f>
        <v>675</v>
      </c>
      <c r="H12" s="17">
        <f t="shared" ref="H12" si="3">SUM(H9:H11)</f>
        <v>0</v>
      </c>
      <c r="I12" s="17">
        <f t="shared" ref="I12" si="4">SUM(I9:I11)</f>
        <v>0</v>
      </c>
      <c r="J12" s="17">
        <f t="shared" ref="J12" si="5">SUM(J9:J11)</f>
        <v>0</v>
      </c>
      <c r="K12" s="17">
        <f t="shared" ref="K12" si="6">SUM(K9:K11)</f>
        <v>0</v>
      </c>
      <c r="L12" s="17">
        <v>774</v>
      </c>
      <c r="M12" s="79">
        <f t="shared" ref="M12:P12" si="7">SUM(M9:M11)</f>
        <v>797</v>
      </c>
      <c r="N12" s="80">
        <f t="shared" si="7"/>
        <v>817</v>
      </c>
      <c r="O12" s="80">
        <f t="shared" si="7"/>
        <v>860</v>
      </c>
      <c r="P12" s="112">
        <f t="shared" si="7"/>
        <v>874</v>
      </c>
      <c r="Q12" s="17">
        <f>SUM(Q9:Q11)</f>
        <v>874</v>
      </c>
      <c r="R12" s="79">
        <f t="shared" ref="R12" si="8">SUM(R9:R11)</f>
        <v>886</v>
      </c>
      <c r="S12" s="80">
        <f t="shared" ref="S12" si="9">SUM(S9:S11)</f>
        <v>907</v>
      </c>
      <c r="T12" s="80">
        <f t="shared" ref="T12" si="10">SUM(T9:T11)</f>
        <v>949</v>
      </c>
      <c r="U12" s="112">
        <f t="shared" ref="U12" si="11">SUM(U9:U11)</f>
        <v>970</v>
      </c>
      <c r="V12" s="17">
        <f t="shared" ref="V12" si="12">SUM(V9:V11)</f>
        <v>970</v>
      </c>
      <c r="W12" s="79">
        <f t="shared" ref="W12" si="13">SUM(W9:W11)</f>
        <v>995</v>
      </c>
      <c r="X12" s="80">
        <f t="shared" ref="X12" si="14">SUM(X9:X11)</f>
        <v>1020</v>
      </c>
      <c r="Y12" s="80">
        <f t="shared" ref="Y12" si="15">SUM(Y9:Y11)</f>
        <v>1045</v>
      </c>
      <c r="Z12" s="112">
        <f t="shared" ref="Z12" si="16">SUM(Z9:Z11)</f>
        <v>1070</v>
      </c>
      <c r="AA12" s="17">
        <f t="shared" ref="AA12" si="17">SUM(AA9:AA11)</f>
        <v>1070</v>
      </c>
      <c r="AB12" s="79">
        <f t="shared" ref="AB12" si="18">SUM(AB9:AB11)</f>
        <v>1095</v>
      </c>
      <c r="AC12" s="80">
        <f t="shared" ref="AC12" si="19">SUM(AC9:AC11)</f>
        <v>1120</v>
      </c>
      <c r="AD12" s="80">
        <f t="shared" ref="AD12" si="20">SUM(AD9:AD11)</f>
        <v>1145</v>
      </c>
      <c r="AE12" s="112">
        <f t="shared" ref="AE12" si="21">SUM(AE9:AE11)</f>
        <v>1170</v>
      </c>
      <c r="AF12" s="17">
        <f t="shared" ref="AF12" si="22">SUM(AF9:AF11)</f>
        <v>1170</v>
      </c>
    </row>
    <row r="13" spans="2:32" hidden="1" x14ac:dyDescent="0.25">
      <c r="B13" s="25" t="s">
        <v>129</v>
      </c>
      <c r="G13" s="17"/>
      <c r="H13" s="17"/>
      <c r="I13" s="17"/>
      <c r="J13" s="17"/>
      <c r="K13" s="17"/>
      <c r="L13" s="26">
        <f>L12/G12-1</f>
        <v>0.14666666666666672</v>
      </c>
      <c r="M13" s="79"/>
      <c r="N13" s="80"/>
      <c r="O13" s="80"/>
      <c r="P13" s="112"/>
      <c r="Q13" s="26">
        <f>Q12/L12-1</f>
        <v>0.12919896640826867</v>
      </c>
      <c r="R13" s="83">
        <f t="shared" ref="R13" si="23">R12/M12-1</f>
        <v>0.11166875784190711</v>
      </c>
      <c r="S13" s="84">
        <f t="shared" ref="S13" si="24">S12/N12-1</f>
        <v>0.11015911872705009</v>
      </c>
      <c r="T13" s="84">
        <f t="shared" ref="T13" si="25">T12/O12-1</f>
        <v>0.10348837209302331</v>
      </c>
      <c r="U13" s="114">
        <f t="shared" ref="U13" si="26">U12/P12-1</f>
        <v>0.10983981693363853</v>
      </c>
      <c r="V13" s="26">
        <f t="shared" ref="V13" si="27">V12/Q12-1</f>
        <v>0.10983981693363853</v>
      </c>
      <c r="W13" s="83">
        <f t="shared" ref="W13" si="28">W12/R12-1</f>
        <v>0.12302483069977432</v>
      </c>
      <c r="X13" s="84">
        <f t="shared" ref="X13" si="29">X12/S12-1</f>
        <v>0.12458654906284461</v>
      </c>
      <c r="Y13" s="84">
        <f t="shared" ref="Y13" si="30">Y12/T12-1</f>
        <v>0.10115911485774509</v>
      </c>
      <c r="Z13" s="114">
        <f t="shared" ref="Z13" si="31">Z12/U12-1</f>
        <v>0.10309278350515472</v>
      </c>
      <c r="AA13" s="26">
        <f t="shared" ref="AA13" si="32">AA12/V12-1</f>
        <v>0.10309278350515472</v>
      </c>
      <c r="AB13" s="83">
        <f t="shared" ref="AB13" si="33">AB12/W12-1</f>
        <v>0.10050251256281406</v>
      </c>
      <c r="AC13" s="84">
        <f t="shared" ref="AC13" si="34">AC12/X12-1</f>
        <v>9.8039215686274606E-2</v>
      </c>
      <c r="AD13" s="84">
        <f t="shared" ref="AD13" si="35">AD12/Y12-1</f>
        <v>9.5693779904306275E-2</v>
      </c>
      <c r="AE13" s="114">
        <f t="shared" ref="AE13" si="36">AE12/Z12-1</f>
        <v>9.3457943925233655E-2</v>
      </c>
      <c r="AF13" s="26">
        <f t="shared" ref="AF13" si="37">AF12/AA12-1</f>
        <v>9.3457943925233655E-2</v>
      </c>
    </row>
    <row r="14" spans="2:32" s="3" customFormat="1" x14ac:dyDescent="0.25">
      <c r="B14" s="3" t="s">
        <v>142</v>
      </c>
      <c r="G14" s="38">
        <f>AVERAGE(G12,G9)</f>
        <v>612.5</v>
      </c>
      <c r="H14" s="38"/>
      <c r="I14" s="38"/>
      <c r="J14" s="38"/>
      <c r="K14" s="38"/>
      <c r="L14" s="38">
        <f t="shared" ref="L14:Q14" si="38">AVERAGE(L12,L9)</f>
        <v>724.5</v>
      </c>
      <c r="M14" s="81">
        <f t="shared" si="38"/>
        <v>785.5</v>
      </c>
      <c r="N14" s="82">
        <f t="shared" si="38"/>
        <v>807</v>
      </c>
      <c r="O14" s="82">
        <f t="shared" si="38"/>
        <v>838.5</v>
      </c>
      <c r="P14" s="113">
        <f t="shared" si="38"/>
        <v>867</v>
      </c>
      <c r="Q14" s="38">
        <f t="shared" si="38"/>
        <v>824</v>
      </c>
      <c r="R14" s="81">
        <f t="shared" ref="R14:AF14" si="39">AVERAGE(R12,R9)</f>
        <v>880</v>
      </c>
      <c r="S14" s="82">
        <f t="shared" si="39"/>
        <v>896.5</v>
      </c>
      <c r="T14" s="82">
        <f t="shared" si="39"/>
        <v>928</v>
      </c>
      <c r="U14" s="113">
        <f t="shared" si="39"/>
        <v>959.5</v>
      </c>
      <c r="V14" s="38">
        <f t="shared" si="39"/>
        <v>922</v>
      </c>
      <c r="W14" s="81">
        <f t="shared" si="39"/>
        <v>982.5</v>
      </c>
      <c r="X14" s="82">
        <f t="shared" si="39"/>
        <v>1007.5</v>
      </c>
      <c r="Y14" s="82">
        <f t="shared" si="39"/>
        <v>1032.5</v>
      </c>
      <c r="Z14" s="113">
        <f t="shared" si="39"/>
        <v>1057.5</v>
      </c>
      <c r="AA14" s="38">
        <f t="shared" si="39"/>
        <v>1020</v>
      </c>
      <c r="AB14" s="81">
        <f t="shared" si="39"/>
        <v>1082.5</v>
      </c>
      <c r="AC14" s="82">
        <f t="shared" si="39"/>
        <v>1107.5</v>
      </c>
      <c r="AD14" s="82">
        <f t="shared" si="39"/>
        <v>1132.5</v>
      </c>
      <c r="AE14" s="113">
        <f t="shared" si="39"/>
        <v>1157.5</v>
      </c>
      <c r="AF14" s="38">
        <f t="shared" si="39"/>
        <v>1120</v>
      </c>
    </row>
    <row r="15" spans="2:32" x14ac:dyDescent="0.25">
      <c r="B15" s="25" t="s">
        <v>129</v>
      </c>
      <c r="G15" s="17"/>
      <c r="H15" s="17"/>
      <c r="I15" s="17"/>
      <c r="J15" s="17"/>
      <c r="K15" s="17"/>
      <c r="L15" s="26">
        <f>L14/G14-1</f>
        <v>0.18285714285714283</v>
      </c>
      <c r="M15" s="79"/>
      <c r="N15" s="80"/>
      <c r="O15" s="80"/>
      <c r="P15" s="112"/>
      <c r="Q15" s="26">
        <f>Q14/L14-1</f>
        <v>0.13733609385783296</v>
      </c>
      <c r="R15" s="83">
        <f t="shared" ref="R15" si="40">R14/M14-1</f>
        <v>0.1203055378739657</v>
      </c>
      <c r="S15" s="84">
        <f t="shared" ref="S15" si="41">S14/N14-1</f>
        <v>0.11090458488228006</v>
      </c>
      <c r="T15" s="84">
        <f t="shared" ref="T15" si="42">T14/O14-1</f>
        <v>0.10673822301729285</v>
      </c>
      <c r="U15" s="114">
        <f t="shared" ref="U15" si="43">U14/P14-1</f>
        <v>0.10668973471741627</v>
      </c>
      <c r="V15" s="26">
        <f t="shared" ref="V15" si="44">V14/Q14-1</f>
        <v>0.11893203883495151</v>
      </c>
      <c r="W15" s="83">
        <f t="shared" ref="W15" si="45">W14/R14-1</f>
        <v>0.11647727272727271</v>
      </c>
      <c r="X15" s="84">
        <f t="shared" ref="X15" si="46">X14/S14-1</f>
        <v>0.12381483547127714</v>
      </c>
      <c r="Y15" s="84">
        <f t="shared" ref="Y15" si="47">Y14/T14-1</f>
        <v>0.11260775862068972</v>
      </c>
      <c r="Z15" s="114">
        <f t="shared" ref="Z15" si="48">Z14/U14-1</f>
        <v>0.10213652944241791</v>
      </c>
      <c r="AA15" s="26">
        <f t="shared" ref="AA15" si="49">AA14/V14-1</f>
        <v>0.10629067245119317</v>
      </c>
      <c r="AB15" s="83">
        <f t="shared" ref="AB15" si="50">AB14/W14-1</f>
        <v>0.10178117048346058</v>
      </c>
      <c r="AC15" s="84">
        <f t="shared" ref="AC15" si="51">AC14/X14-1</f>
        <v>9.9255583126550917E-2</v>
      </c>
      <c r="AD15" s="84">
        <f t="shared" ref="AD15" si="52">AD14/Y14-1</f>
        <v>9.6852300242130651E-2</v>
      </c>
      <c r="AE15" s="114">
        <f t="shared" ref="AE15" si="53">AE14/Z14-1</f>
        <v>9.456264775413703E-2</v>
      </c>
      <c r="AF15" s="26">
        <f t="shared" ref="AF15" si="54">AF14/AA14-1</f>
        <v>9.8039215686274606E-2</v>
      </c>
    </row>
    <row r="16" spans="2:32" x14ac:dyDescent="0.25">
      <c r="B16" s="25"/>
      <c r="G16" s="17"/>
      <c r="H16" s="17"/>
      <c r="I16" s="17"/>
      <c r="J16" s="17"/>
      <c r="K16" s="17"/>
      <c r="L16" s="17"/>
      <c r="M16" s="79"/>
      <c r="N16" s="80"/>
      <c r="O16" s="80"/>
      <c r="P16" s="112"/>
      <c r="Q16" s="26"/>
      <c r="R16" s="83"/>
      <c r="S16" s="84"/>
      <c r="T16" s="84"/>
      <c r="U16" s="114"/>
      <c r="V16" s="26"/>
      <c r="W16" s="83"/>
      <c r="X16" s="84"/>
      <c r="Y16" s="84"/>
      <c r="Z16" s="114"/>
      <c r="AA16" s="26"/>
      <c r="AB16" s="83"/>
      <c r="AC16" s="84"/>
      <c r="AD16" s="84"/>
      <c r="AE16" s="114"/>
      <c r="AF16" s="26"/>
    </row>
    <row r="17" spans="2:32" x14ac:dyDescent="0.25">
      <c r="B17" t="s">
        <v>29</v>
      </c>
      <c r="G17" s="17">
        <v>5874.393</v>
      </c>
      <c r="H17" s="17">
        <f>G20</f>
        <v>7158.2860000000001</v>
      </c>
      <c r="I17" s="17">
        <f>H20</f>
        <v>7414.3155000000006</v>
      </c>
      <c r="J17" s="17">
        <f>I20</f>
        <v>7670.3450000000012</v>
      </c>
      <c r="K17" s="17">
        <f>J20</f>
        <v>7926.3745000000017</v>
      </c>
      <c r="L17" s="17">
        <f>G20</f>
        <v>7158.2860000000001</v>
      </c>
      <c r="M17" s="79">
        <v>8182.4040000000005</v>
      </c>
      <c r="N17" s="80">
        <f>M20</f>
        <v>8425.3810000000012</v>
      </c>
      <c r="O17" s="80">
        <f>N20</f>
        <v>8628.2130000000016</v>
      </c>
      <c r="P17" s="112">
        <f>O20</f>
        <v>9080.0840000000026</v>
      </c>
      <c r="Q17" s="17">
        <f>L20</f>
        <v>8182.4040000000005</v>
      </c>
      <c r="R17" s="91">
        <v>9225.9570000000003</v>
      </c>
      <c r="S17" s="80">
        <f>R20</f>
        <v>9348.5769999999993</v>
      </c>
      <c r="T17" s="80">
        <f t="shared" ref="T17:U17" si="55">S20</f>
        <v>9555.1919999999991</v>
      </c>
      <c r="U17" s="112">
        <f t="shared" si="55"/>
        <v>10012.142</v>
      </c>
      <c r="V17" s="17">
        <f>Q20</f>
        <v>9225.9570000000022</v>
      </c>
      <c r="W17" s="79">
        <f>V20</f>
        <v>10233.539636853451</v>
      </c>
      <c r="X17" s="80">
        <f ca="1">W20</f>
        <v>10497.108252155176</v>
      </c>
      <c r="Y17" s="80">
        <f t="shared" ref="Y17:Z17" ca="1" si="56">X20</f>
        <v>10760.676867456899</v>
      </c>
      <c r="Z17" s="112">
        <f t="shared" ca="1" si="56"/>
        <v>11024.245482758623</v>
      </c>
      <c r="AA17" s="17">
        <f>V20</f>
        <v>10233.539636853451</v>
      </c>
      <c r="AB17" s="79">
        <f ca="1">AA20</f>
        <v>11287.814098060348</v>
      </c>
      <c r="AC17" s="80">
        <f ca="1">AB20</f>
        <v>11551.382713362073</v>
      </c>
      <c r="AD17" s="80">
        <f t="shared" ref="AD17:AE17" ca="1" si="57">AC20</f>
        <v>11814.951328663796</v>
      </c>
      <c r="AE17" s="112">
        <f t="shared" ca="1" si="57"/>
        <v>12078.519943965519</v>
      </c>
      <c r="AF17" s="17">
        <f ca="1">AA20</f>
        <v>11287.814098060348</v>
      </c>
    </row>
    <row r="18" spans="2:32" x14ac:dyDescent="0.25">
      <c r="B18" s="15" t="s">
        <v>25</v>
      </c>
      <c r="G18" s="17">
        <f>G20-G17</f>
        <v>1283.893</v>
      </c>
      <c r="H18" s="46">
        <f t="shared" ref="H18:J18" si="58">$L$18/4</f>
        <v>256.0295000000001</v>
      </c>
      <c r="I18" s="46">
        <f t="shared" si="58"/>
        <v>256.0295000000001</v>
      </c>
      <c r="J18" s="46">
        <f t="shared" si="58"/>
        <v>256.0295000000001</v>
      </c>
      <c r="K18" s="46">
        <f>$L$18/4</f>
        <v>256.0295000000001</v>
      </c>
      <c r="L18" s="17">
        <f>L20-L17</f>
        <v>1024.1180000000004</v>
      </c>
      <c r="M18" s="79">
        <v>253.429</v>
      </c>
      <c r="N18" s="80">
        <v>202.83199999999999</v>
      </c>
      <c r="O18" s="80">
        <v>474.27800000000002</v>
      </c>
      <c r="P18" s="112">
        <v>145.87299999999999</v>
      </c>
      <c r="Q18" s="17">
        <f>SUM(M18:P18)</f>
        <v>1076.412</v>
      </c>
      <c r="R18" s="79">
        <v>132.81</v>
      </c>
      <c r="S18" s="80">
        <v>253.023</v>
      </c>
      <c r="T18" s="80">
        <v>456.95</v>
      </c>
      <c r="U18" s="112">
        <f>(U10*U52)/1000</f>
        <v>221.39763685344829</v>
      </c>
      <c r="V18" s="17">
        <f>SUM(R18:U18)</f>
        <v>1064.1806368534483</v>
      </c>
      <c r="W18" s="79">
        <f t="shared" ref="W18:Z19" si="59">(W10*W52)/1000</f>
        <v>263.56861530172409</v>
      </c>
      <c r="X18" s="80">
        <f t="shared" si="59"/>
        <v>263.56861530172409</v>
      </c>
      <c r="Y18" s="80">
        <f t="shared" si="59"/>
        <v>263.56861530172409</v>
      </c>
      <c r="Z18" s="112">
        <f t="shared" si="59"/>
        <v>263.56861530172409</v>
      </c>
      <c r="AA18" s="17">
        <f>SUM(W18:Z18)</f>
        <v>1054.2744612068964</v>
      </c>
      <c r="AB18" s="79">
        <f t="shared" ref="AB18:AE19" si="60">(AB10*AB52)/1000</f>
        <v>263.56861530172409</v>
      </c>
      <c r="AC18" s="80">
        <f t="shared" si="60"/>
        <v>263.56861530172409</v>
      </c>
      <c r="AD18" s="80">
        <f t="shared" si="60"/>
        <v>263.56861530172409</v>
      </c>
      <c r="AE18" s="112">
        <f t="shared" si="60"/>
        <v>263.56861530172409</v>
      </c>
      <c r="AF18" s="17">
        <f>SUM(AB18:AE18)</f>
        <v>1054.2744612068964</v>
      </c>
    </row>
    <row r="19" spans="2:32" x14ac:dyDescent="0.25">
      <c r="B19" s="15" t="s">
        <v>26</v>
      </c>
      <c r="G19" s="17"/>
      <c r="H19" s="17"/>
      <c r="I19" s="17"/>
      <c r="J19" s="17"/>
      <c r="K19" s="17"/>
      <c r="L19" s="17"/>
      <c r="M19" s="79">
        <v>-10.452</v>
      </c>
      <c r="N19" s="80">
        <v>0</v>
      </c>
      <c r="O19" s="80">
        <v>-22.407</v>
      </c>
      <c r="P19" s="112">
        <v>0</v>
      </c>
      <c r="Q19" s="17">
        <f>SUM(M19:P19)</f>
        <v>-32.859000000000002</v>
      </c>
      <c r="R19" s="79">
        <v>-10.19</v>
      </c>
      <c r="S19" s="80">
        <v>-46.408000000000001</v>
      </c>
      <c r="T19" s="80">
        <v>0</v>
      </c>
      <c r="U19" s="112">
        <v>0</v>
      </c>
      <c r="V19" s="17">
        <f>SUM(R19:U19)</f>
        <v>-56.597999999999999</v>
      </c>
      <c r="W19" s="79">
        <f t="shared" ca="1" si="59"/>
        <v>0</v>
      </c>
      <c r="X19" s="80">
        <f t="shared" ca="1" si="59"/>
        <v>0</v>
      </c>
      <c r="Y19" s="80">
        <f t="shared" ca="1" si="59"/>
        <v>0</v>
      </c>
      <c r="Z19" s="112">
        <f t="shared" ca="1" si="59"/>
        <v>0</v>
      </c>
      <c r="AA19" s="17">
        <f ca="1">SUM(W19:Z19)</f>
        <v>0</v>
      </c>
      <c r="AB19" s="79">
        <f t="shared" ca="1" si="60"/>
        <v>0</v>
      </c>
      <c r="AC19" s="80">
        <f t="shared" ca="1" si="60"/>
        <v>0</v>
      </c>
      <c r="AD19" s="80">
        <f t="shared" ca="1" si="60"/>
        <v>0</v>
      </c>
      <c r="AE19" s="112">
        <f t="shared" ca="1" si="60"/>
        <v>0</v>
      </c>
      <c r="AF19" s="17">
        <f ca="1">SUM(AB19:AE19)</f>
        <v>0</v>
      </c>
    </row>
    <row r="20" spans="2:32" x14ac:dyDescent="0.25">
      <c r="B20" t="s">
        <v>28</v>
      </c>
      <c r="G20" s="17">
        <v>7158.2860000000001</v>
      </c>
      <c r="H20" s="17">
        <f t="shared" ref="H20:AF20" si="61">SUM(H17:H19)</f>
        <v>7414.3155000000006</v>
      </c>
      <c r="I20" s="17">
        <f t="shared" si="61"/>
        <v>7670.3450000000012</v>
      </c>
      <c r="J20" s="17">
        <f t="shared" si="61"/>
        <v>7926.3745000000017</v>
      </c>
      <c r="K20" s="17">
        <f t="shared" si="61"/>
        <v>8182.4040000000023</v>
      </c>
      <c r="L20" s="17">
        <f>M17</f>
        <v>8182.4040000000005</v>
      </c>
      <c r="M20" s="79">
        <f t="shared" si="61"/>
        <v>8425.3810000000012</v>
      </c>
      <c r="N20" s="80">
        <f t="shared" si="61"/>
        <v>8628.2130000000016</v>
      </c>
      <c r="O20" s="80">
        <f t="shared" si="61"/>
        <v>9080.0840000000026</v>
      </c>
      <c r="P20" s="112">
        <f t="shared" si="61"/>
        <v>9225.9570000000022</v>
      </c>
      <c r="Q20" s="17">
        <f>P20</f>
        <v>9225.9570000000022</v>
      </c>
      <c r="R20" s="79">
        <f t="shared" si="61"/>
        <v>9348.5769999999993</v>
      </c>
      <c r="S20" s="80">
        <f t="shared" si="61"/>
        <v>9555.1919999999991</v>
      </c>
      <c r="T20" s="80">
        <f t="shared" si="61"/>
        <v>10012.142</v>
      </c>
      <c r="U20" s="112">
        <f t="shared" si="61"/>
        <v>10233.539636853448</v>
      </c>
      <c r="V20" s="17">
        <f t="shared" si="61"/>
        <v>10233.539636853451</v>
      </c>
      <c r="W20" s="79">
        <f t="shared" ca="1" si="61"/>
        <v>10497.108252155176</v>
      </c>
      <c r="X20" s="80">
        <f t="shared" ca="1" si="61"/>
        <v>10760.676867456899</v>
      </c>
      <c r="Y20" s="80">
        <f t="shared" ca="1" si="61"/>
        <v>11024.245482758623</v>
      </c>
      <c r="Z20" s="112">
        <f t="shared" ca="1" si="61"/>
        <v>11287.814098060346</v>
      </c>
      <c r="AA20" s="17">
        <f t="shared" ca="1" si="61"/>
        <v>11287.814098060348</v>
      </c>
      <c r="AB20" s="79">
        <f t="shared" ca="1" si="61"/>
        <v>11551.382713362073</v>
      </c>
      <c r="AC20" s="80">
        <f t="shared" ca="1" si="61"/>
        <v>11814.951328663796</v>
      </c>
      <c r="AD20" s="80">
        <f t="shared" ca="1" si="61"/>
        <v>12078.519943965519</v>
      </c>
      <c r="AE20" s="112">
        <f t="shared" ca="1" si="61"/>
        <v>12342.088559267242</v>
      </c>
      <c r="AF20" s="17">
        <f t="shared" ca="1" si="61"/>
        <v>12342.088559267244</v>
      </c>
    </row>
    <row r="21" spans="2:32" hidden="1" x14ac:dyDescent="0.25">
      <c r="B21" s="25" t="s">
        <v>129</v>
      </c>
      <c r="G21" s="17"/>
      <c r="H21" s="17"/>
      <c r="I21" s="17"/>
      <c r="J21" s="17"/>
      <c r="K21" s="17"/>
      <c r="L21" s="17"/>
      <c r="M21" s="83">
        <f t="shared" ref="M21:P21" si="62">M20/H20-1</f>
        <v>0.13636666796820296</v>
      </c>
      <c r="N21" s="84">
        <f t="shared" si="62"/>
        <v>0.12487938938861287</v>
      </c>
      <c r="O21" s="84">
        <f t="shared" si="62"/>
        <v>0.14555324127064662</v>
      </c>
      <c r="P21" s="114">
        <f t="shared" si="62"/>
        <v>0.12753623507223555</v>
      </c>
      <c r="Q21" s="26">
        <f>Q20/L20-1</f>
        <v>0.12753623507223577</v>
      </c>
      <c r="R21" s="83">
        <f t="shared" ref="R21:AF21" si="63">R20/M20-1</f>
        <v>0.10957320505743273</v>
      </c>
      <c r="S21" s="84">
        <f t="shared" si="63"/>
        <v>0.10743580391443719</v>
      </c>
      <c r="T21" s="84">
        <f t="shared" si="63"/>
        <v>0.10264860985867497</v>
      </c>
      <c r="U21" s="114">
        <f t="shared" si="63"/>
        <v>0.10921172045929173</v>
      </c>
      <c r="V21" s="26">
        <f t="shared" si="63"/>
        <v>0.10921172045929195</v>
      </c>
      <c r="W21" s="83">
        <f t="shared" ca="1" si="63"/>
        <v>0.12285626487915513</v>
      </c>
      <c r="X21" s="84">
        <f t="shared" ca="1" si="63"/>
        <v>0.12616019306120707</v>
      </c>
      <c r="Y21" s="84">
        <f t="shared" ca="1" si="63"/>
        <v>0.10108760770258973</v>
      </c>
      <c r="Z21" s="114">
        <f t="shared" ca="1" si="63"/>
        <v>0.10302148607605921</v>
      </c>
      <c r="AA21" s="26">
        <f t="shared" ca="1" si="63"/>
        <v>0.10302148607605899</v>
      </c>
      <c r="AB21" s="83">
        <f t="shared" ca="1" si="63"/>
        <v>0.10043475173178695</v>
      </c>
      <c r="AC21" s="84">
        <f t="shared" ca="1" si="63"/>
        <v>9.7974734693065502E-2</v>
      </c>
      <c r="AD21" s="84">
        <f t="shared" ca="1" si="63"/>
        <v>9.5632346254964196E-2</v>
      </c>
      <c r="AE21" s="114">
        <f t="shared" ca="1" si="63"/>
        <v>9.3399346591654053E-2</v>
      </c>
      <c r="AF21" s="26">
        <f t="shared" ca="1" si="63"/>
        <v>9.3399346591654053E-2</v>
      </c>
    </row>
    <row r="22" spans="2:32" s="3" customFormat="1" x14ac:dyDescent="0.25">
      <c r="B22" s="3" t="s">
        <v>143</v>
      </c>
      <c r="G22" s="38">
        <f>AVERAGE(G20,G17)</f>
        <v>6516.3395</v>
      </c>
      <c r="H22" s="38">
        <f t="shared" ref="H22:K22" si="64">AVERAGE(H20,H17)</f>
        <v>7286.3007500000003</v>
      </c>
      <c r="I22" s="38">
        <f t="shared" si="64"/>
        <v>7542.3302500000009</v>
      </c>
      <c r="J22" s="38">
        <f t="shared" si="64"/>
        <v>7798.3597500000014</v>
      </c>
      <c r="K22" s="38">
        <f t="shared" si="64"/>
        <v>8054.389250000002</v>
      </c>
      <c r="L22" s="38">
        <f t="shared" ref="L22:Q22" si="65">AVERAGE(L20,L17)</f>
        <v>7670.3450000000003</v>
      </c>
      <c r="M22" s="81">
        <f t="shared" si="65"/>
        <v>8303.8925000000017</v>
      </c>
      <c r="N22" s="82">
        <f t="shared" si="65"/>
        <v>8526.7970000000023</v>
      </c>
      <c r="O22" s="82">
        <f t="shared" si="65"/>
        <v>8854.148500000003</v>
      </c>
      <c r="P22" s="113">
        <f t="shared" si="65"/>
        <v>9153.0205000000024</v>
      </c>
      <c r="Q22" s="38">
        <f t="shared" si="65"/>
        <v>8704.1805000000022</v>
      </c>
      <c r="R22" s="81">
        <f t="shared" ref="R22:AF22" si="66">AVERAGE(R20,R17)</f>
        <v>9287.2669999999998</v>
      </c>
      <c r="S22" s="82">
        <f t="shared" si="66"/>
        <v>9451.8845000000001</v>
      </c>
      <c r="T22" s="82">
        <f t="shared" si="66"/>
        <v>9783.6669999999995</v>
      </c>
      <c r="U22" s="113">
        <f t="shared" si="66"/>
        <v>10122.840818426725</v>
      </c>
      <c r="V22" s="38">
        <f t="shared" si="66"/>
        <v>9729.7483184267257</v>
      </c>
      <c r="W22" s="81">
        <f t="shared" ca="1" si="66"/>
        <v>10365.323944504315</v>
      </c>
      <c r="X22" s="82">
        <f t="shared" ca="1" si="66"/>
        <v>10628.892559806038</v>
      </c>
      <c r="Y22" s="82">
        <f t="shared" ca="1" si="66"/>
        <v>10892.461175107761</v>
      </c>
      <c r="Z22" s="113">
        <f t="shared" ca="1" si="66"/>
        <v>11156.029790409484</v>
      </c>
      <c r="AA22" s="38">
        <f t="shared" ca="1" si="66"/>
        <v>10760.676867456899</v>
      </c>
      <c r="AB22" s="81">
        <f t="shared" ca="1" si="66"/>
        <v>11419.598405711211</v>
      </c>
      <c r="AC22" s="82">
        <f t="shared" ca="1" si="66"/>
        <v>11683.167021012934</v>
      </c>
      <c r="AD22" s="82">
        <f t="shared" ca="1" si="66"/>
        <v>11946.735636314657</v>
      </c>
      <c r="AE22" s="113">
        <f t="shared" ca="1" si="66"/>
        <v>12210.30425161638</v>
      </c>
      <c r="AF22" s="38">
        <f t="shared" ca="1" si="66"/>
        <v>11814.951328663796</v>
      </c>
    </row>
    <row r="23" spans="2:32" x14ac:dyDescent="0.25">
      <c r="B23" s="25" t="s">
        <v>129</v>
      </c>
      <c r="G23" s="17"/>
      <c r="H23" s="17"/>
      <c r="I23" s="17"/>
      <c r="J23" s="17"/>
      <c r="K23" s="17"/>
      <c r="L23" s="26">
        <f>L22/G22-1</f>
        <v>0.17709413390754114</v>
      </c>
      <c r="M23" s="83">
        <f t="shared" ref="M23:P23" si="67">M22/H22-1</f>
        <v>0.13965821408071877</v>
      </c>
      <c r="N23" s="84">
        <f t="shared" si="67"/>
        <v>0.13052554281881279</v>
      </c>
      <c r="O23" s="84">
        <f t="shared" si="67"/>
        <v>0.13538600216539143</v>
      </c>
      <c r="P23" s="114">
        <f t="shared" si="67"/>
        <v>0.13640155893881101</v>
      </c>
      <c r="Q23" s="26">
        <f>Q22/L22-1</f>
        <v>0.1347834419442675</v>
      </c>
      <c r="R23" s="83">
        <f t="shared" ref="R23" si="68">R22/M22-1</f>
        <v>0.11842331773924064</v>
      </c>
      <c r="S23" s="84">
        <f t="shared" ref="S23" si="69">S22/N22-1</f>
        <v>0.1084917935773535</v>
      </c>
      <c r="T23" s="84">
        <f t="shared" ref="T23" si="70">T22/O22-1</f>
        <v>0.10498112833774997</v>
      </c>
      <c r="U23" s="114">
        <f t="shared" ref="U23" si="71">U22/P22-1</f>
        <v>0.10595631446763631</v>
      </c>
      <c r="V23" s="26">
        <f t="shared" ref="V23" si="72">V22/Q22-1</f>
        <v>0.11782474162004375</v>
      </c>
      <c r="W23" s="83">
        <f t="shared" ref="W23" ca="1" si="73">W22/R22-1</f>
        <v>0.11607902997774433</v>
      </c>
      <c r="X23" s="84">
        <f t="shared" ref="X23" ca="1" si="74">X22/S22-1</f>
        <v>0.12452628465847604</v>
      </c>
      <c r="Y23" s="84">
        <f t="shared" ref="Y23" ca="1" si="75">Y22/T22-1</f>
        <v>0.11333114415154988</v>
      </c>
      <c r="Z23" s="114">
        <f t="shared" ref="Z23" ca="1" si="76">Z22/U22-1</f>
        <v>0.10206512089985975</v>
      </c>
      <c r="AA23" s="26">
        <f t="shared" ref="AA23" ca="1" si="77">AA22/V22-1</f>
        <v>0.10595634288687039</v>
      </c>
      <c r="AB23" s="83">
        <f t="shared" ref="AB23" ca="1" si="78">AB22/W22-1</f>
        <v>0.10171167508622547</v>
      </c>
      <c r="AC23" s="84">
        <f t="shared" ref="AC23" ca="1" si="79">AC22/X22-1</f>
        <v>9.9189492722291162E-2</v>
      </c>
      <c r="AD23" s="84">
        <f t="shared" ref="AD23" ca="1" si="80">AD22/Y22-1</f>
        <v>9.6789370580103729E-2</v>
      </c>
      <c r="AE23" s="114">
        <f t="shared" ref="AE23" ca="1" si="81">AE22/Z22-1</f>
        <v>9.4502657398174428E-2</v>
      </c>
      <c r="AF23" s="26">
        <f t="shared" ref="AF23" ca="1" si="82">AF22/AA22-1</f>
        <v>9.7974734693065502E-2</v>
      </c>
    </row>
    <row r="24" spans="2:32" x14ac:dyDescent="0.25">
      <c r="G24" s="17"/>
      <c r="H24" s="17"/>
      <c r="I24" s="17"/>
      <c r="J24" s="17"/>
      <c r="K24" s="17"/>
      <c r="L24" s="17"/>
      <c r="M24" s="79"/>
      <c r="N24" s="80"/>
      <c r="O24" s="80"/>
      <c r="P24" s="112"/>
      <c r="Q24" s="17"/>
      <c r="R24" s="79"/>
      <c r="S24" s="80"/>
      <c r="T24" s="80"/>
      <c r="U24" s="112"/>
      <c r="V24" s="17"/>
      <c r="W24" s="79"/>
      <c r="X24" s="80"/>
      <c r="Y24" s="80"/>
      <c r="Z24" s="112"/>
      <c r="AA24" s="17"/>
      <c r="AB24" s="79"/>
      <c r="AC24" s="80"/>
      <c r="AD24" s="80"/>
      <c r="AE24" s="112"/>
      <c r="AF24" s="17"/>
    </row>
    <row r="25" spans="2:32" s="20" customFormat="1" x14ac:dyDescent="0.25">
      <c r="B25" s="76" t="s">
        <v>175</v>
      </c>
      <c r="G25" s="21"/>
      <c r="H25" s="21"/>
      <c r="I25" s="21"/>
      <c r="J25" s="21"/>
      <c r="K25" s="21"/>
      <c r="L25" s="21"/>
      <c r="M25" s="85"/>
      <c r="N25" s="86"/>
      <c r="O25" s="86"/>
      <c r="P25" s="115"/>
      <c r="Q25" s="21"/>
      <c r="R25" s="85"/>
      <c r="S25" s="86"/>
      <c r="T25" s="86"/>
      <c r="U25" s="115"/>
      <c r="V25" s="21"/>
      <c r="W25" s="85"/>
      <c r="X25" s="86"/>
      <c r="Y25" s="86"/>
      <c r="Z25" s="115"/>
      <c r="AA25" s="21"/>
      <c r="AB25" s="85"/>
      <c r="AC25" s="86"/>
      <c r="AD25" s="86"/>
      <c r="AE25" s="115"/>
      <c r="AF25" s="21"/>
    </row>
    <row r="26" spans="2:32" s="23" customFormat="1" x14ac:dyDescent="0.25">
      <c r="B26" s="15" t="s">
        <v>33</v>
      </c>
      <c r="G26" s="24"/>
      <c r="H26" s="24"/>
      <c r="I26" s="24"/>
      <c r="J26" s="24"/>
      <c r="K26" s="24"/>
      <c r="L26" s="24"/>
      <c r="M26" s="87"/>
      <c r="N26" s="88"/>
      <c r="O26" s="88"/>
      <c r="P26" s="116">
        <f>P28-P27</f>
        <v>1.1999999999999997E-2</v>
      </c>
      <c r="Q26" s="24"/>
      <c r="R26" s="90">
        <f>R28-R27</f>
        <v>6.2000000000000013E-2</v>
      </c>
      <c r="S26" s="89">
        <f>S28-S27</f>
        <v>4.5999999999999999E-2</v>
      </c>
      <c r="T26" s="89">
        <f>T28-T27</f>
        <v>3.9999999999999994E-2</v>
      </c>
      <c r="U26" s="117"/>
      <c r="V26" s="24"/>
      <c r="W26" s="87"/>
      <c r="X26" s="88"/>
      <c r="Y26" s="88"/>
      <c r="Z26" s="117"/>
      <c r="AA26" s="24"/>
      <c r="AB26" s="87"/>
      <c r="AC26" s="88"/>
      <c r="AD26" s="88"/>
      <c r="AE26" s="117"/>
      <c r="AF26" s="24"/>
    </row>
    <row r="27" spans="2:32" s="23" customFormat="1" x14ac:dyDescent="0.25">
      <c r="B27" s="15" t="s">
        <v>34</v>
      </c>
      <c r="G27" s="24"/>
      <c r="H27" s="24"/>
      <c r="I27" s="24"/>
      <c r="J27" s="24"/>
      <c r="K27" s="24"/>
      <c r="L27" s="24"/>
      <c r="M27" s="87"/>
      <c r="N27" s="88"/>
      <c r="O27" s="88"/>
      <c r="P27" s="117">
        <v>9.1999999999999998E-2</v>
      </c>
      <c r="Q27" s="24"/>
      <c r="R27" s="87">
        <v>7.6999999999999999E-2</v>
      </c>
      <c r="S27" s="88">
        <v>0.08</v>
      </c>
      <c r="T27" s="88">
        <v>0.10299999999999999</v>
      </c>
      <c r="U27" s="117"/>
      <c r="V27" s="24"/>
      <c r="W27" s="87"/>
      <c r="X27" s="88"/>
      <c r="Y27" s="88"/>
      <c r="Z27" s="117"/>
      <c r="AA27" s="24"/>
      <c r="AB27" s="87"/>
      <c r="AC27" s="88"/>
      <c r="AD27" s="88"/>
      <c r="AE27" s="117"/>
      <c r="AF27" s="24"/>
    </row>
    <row r="28" spans="2:32" s="23" customFormat="1" x14ac:dyDescent="0.25">
      <c r="B28" s="22" t="s">
        <v>118</v>
      </c>
      <c r="G28" s="24">
        <v>6.0999999999999999E-2</v>
      </c>
      <c r="H28" s="24"/>
      <c r="I28" s="24"/>
      <c r="J28" s="24"/>
      <c r="K28" s="24"/>
      <c r="L28" s="24">
        <v>8.1000000000000003E-2</v>
      </c>
      <c r="M28" s="87">
        <v>9.7000000000000003E-2</v>
      </c>
      <c r="N28" s="88">
        <v>8.8999999999999996E-2</v>
      </c>
      <c r="O28" s="88">
        <v>0.109</v>
      </c>
      <c r="P28" s="117">
        <v>0.104</v>
      </c>
      <c r="Q28" s="24"/>
      <c r="R28" s="87">
        <v>0.13900000000000001</v>
      </c>
      <c r="S28" s="88">
        <v>0.126</v>
      </c>
      <c r="T28" s="88">
        <v>0.14299999999999999</v>
      </c>
      <c r="U28" s="117"/>
      <c r="V28" s="24"/>
      <c r="W28" s="87"/>
      <c r="X28" s="88"/>
      <c r="Y28" s="88"/>
      <c r="Z28" s="117"/>
      <c r="AA28" s="24"/>
      <c r="AB28" s="87"/>
      <c r="AC28" s="88"/>
      <c r="AD28" s="88"/>
      <c r="AE28" s="117"/>
      <c r="AF28" s="24"/>
    </row>
    <row r="29" spans="2:32" s="23" customFormat="1" x14ac:dyDescent="0.25">
      <c r="B29" s="22" t="s">
        <v>119</v>
      </c>
      <c r="G29" s="24">
        <v>0.76600000000000001</v>
      </c>
      <c r="H29" s="24"/>
      <c r="I29" s="24"/>
      <c r="J29" s="24"/>
      <c r="K29" s="24"/>
      <c r="L29" s="24">
        <v>0.56399999999999995</v>
      </c>
      <c r="M29" s="87">
        <v>0.498</v>
      </c>
      <c r="N29" s="88">
        <v>0.434</v>
      </c>
      <c r="O29" s="88">
        <v>0.56299999999999994</v>
      </c>
      <c r="P29" s="117">
        <v>0.442</v>
      </c>
      <c r="Q29" s="24"/>
      <c r="R29" s="87">
        <v>0.38800000000000001</v>
      </c>
      <c r="S29" s="88">
        <v>0.54900000000000004</v>
      </c>
      <c r="T29" s="88">
        <v>0.59099999999999997</v>
      </c>
      <c r="U29" s="136"/>
      <c r="V29" s="24"/>
      <c r="W29" s="87"/>
      <c r="X29" s="88"/>
      <c r="Y29" s="88"/>
      <c r="Z29" s="117"/>
      <c r="AA29" s="24"/>
      <c r="AB29" s="87"/>
      <c r="AC29" s="88"/>
      <c r="AD29" s="88"/>
      <c r="AE29" s="117"/>
      <c r="AF29" s="24"/>
    </row>
    <row r="30" spans="2:32" s="23" customFormat="1" x14ac:dyDescent="0.25">
      <c r="B30" s="22" t="s">
        <v>120</v>
      </c>
      <c r="G30" s="24">
        <v>7.9000000000000001E-2</v>
      </c>
      <c r="H30" s="24"/>
      <c r="I30" s="24"/>
      <c r="J30" s="24"/>
      <c r="K30" s="24"/>
      <c r="L30" s="24">
        <v>9.9000000000000005E-2</v>
      </c>
      <c r="M30" s="87">
        <v>0.114</v>
      </c>
      <c r="N30" s="88">
        <v>0.10100000000000001</v>
      </c>
      <c r="O30" s="88">
        <v>0.128</v>
      </c>
      <c r="P30" s="117">
        <v>0.125</v>
      </c>
      <c r="Q30" s="24">
        <v>0.11799999999999999</v>
      </c>
      <c r="R30" s="87">
        <v>0.152</v>
      </c>
      <c r="S30" s="88">
        <v>0.14399999999999999</v>
      </c>
      <c r="T30" s="88">
        <v>0.16700000000000001</v>
      </c>
      <c r="U30" s="136">
        <v>0.14000000000000001</v>
      </c>
      <c r="V30" s="29">
        <f>SUMPRODUCT(R30:U30,R47:U47)/V47</f>
        <v>0.14990456474743163</v>
      </c>
      <c r="W30" s="147">
        <f>'Scenario Drivers'!W8</f>
        <v>0.14000000000000001</v>
      </c>
      <c r="X30" s="148">
        <f>'Scenario Drivers'!X8</f>
        <v>0.13</v>
      </c>
      <c r="Y30" s="148">
        <f>'Scenario Drivers'!Y8</f>
        <v>0.12000000000000001</v>
      </c>
      <c r="Z30" s="159">
        <f>'Scenario Drivers'!Z8</f>
        <v>0.11000000000000001</v>
      </c>
      <c r="AA30" s="75">
        <f ca="1">SUMPRODUCT(W30:Z30,W47:Z47)/AA47</f>
        <v>0.12358813149123801</v>
      </c>
      <c r="AB30" s="147">
        <f>'Scenario Drivers'!AB8</f>
        <v>0.10000000000000002</v>
      </c>
      <c r="AC30" s="148">
        <f>'Scenario Drivers'!AC8</f>
        <v>9.0000000000000024E-2</v>
      </c>
      <c r="AD30" s="148">
        <f>'Scenario Drivers'!AD8</f>
        <v>8.0000000000000029E-2</v>
      </c>
      <c r="AE30" s="159">
        <f>'Scenario Drivers'!AE8</f>
        <v>7.0000000000000034E-2</v>
      </c>
      <c r="AF30" s="75">
        <f ca="1">SUMPRODUCT(AB30:AE30,AB47:AE47)/AF47</f>
        <v>8.3702940619232988E-2</v>
      </c>
    </row>
    <row r="31" spans="2:32" s="23" customFormat="1" hidden="1" x14ac:dyDescent="0.25">
      <c r="B31" t="s">
        <v>35</v>
      </c>
      <c r="G31" s="24"/>
      <c r="H31" s="24"/>
      <c r="I31" s="24"/>
      <c r="J31" s="24"/>
      <c r="K31" s="24"/>
      <c r="L31" s="24"/>
      <c r="M31" s="87"/>
      <c r="N31" s="88"/>
      <c r="O31" s="88"/>
      <c r="P31" s="117">
        <v>8.5999999999999993E-2</v>
      </c>
      <c r="Q31" s="24">
        <v>8.4000000000000005E-2</v>
      </c>
      <c r="R31" s="87">
        <v>0.11</v>
      </c>
      <c r="S31" s="88">
        <v>9.7000000000000003E-2</v>
      </c>
      <c r="T31" s="88">
        <v>0.111</v>
      </c>
      <c r="U31" s="136"/>
      <c r="V31" s="24"/>
      <c r="W31" s="87"/>
      <c r="X31" s="88"/>
      <c r="Y31" s="88"/>
      <c r="Z31" s="117"/>
      <c r="AA31" s="24"/>
      <c r="AB31" s="87"/>
      <c r="AC31" s="88"/>
      <c r="AD31" s="88"/>
      <c r="AE31" s="117"/>
      <c r="AF31" s="24"/>
    </row>
    <row r="32" spans="2:32" s="23" customFormat="1" hidden="1" x14ac:dyDescent="0.25">
      <c r="B32" t="s">
        <v>36</v>
      </c>
      <c r="G32" s="24"/>
      <c r="H32" s="24"/>
      <c r="I32" s="24"/>
      <c r="J32" s="24"/>
      <c r="K32" s="24"/>
      <c r="L32" s="24"/>
      <c r="M32" s="87"/>
      <c r="N32" s="88"/>
      <c r="O32" s="88"/>
      <c r="P32" s="117">
        <v>3.9E-2</v>
      </c>
      <c r="Q32" s="24">
        <v>3.4000000000000002E-2</v>
      </c>
      <c r="R32" s="87">
        <v>4.2000000000000003E-2</v>
      </c>
      <c r="S32" s="88">
        <v>4.7E-2</v>
      </c>
      <c r="T32" s="88">
        <v>5.6000000000000001E-2</v>
      </c>
      <c r="U32" s="136"/>
      <c r="V32" s="24"/>
      <c r="W32" s="87"/>
      <c r="X32" s="88"/>
      <c r="Y32" s="88"/>
      <c r="Z32" s="117"/>
      <c r="AA32" s="24"/>
      <c r="AB32" s="87"/>
      <c r="AC32" s="88"/>
      <c r="AD32" s="88"/>
      <c r="AE32" s="117"/>
      <c r="AF32" s="24"/>
    </row>
    <row r="33" spans="2:32" s="23" customFormat="1" hidden="1" x14ac:dyDescent="0.25">
      <c r="B33" t="s">
        <v>32</v>
      </c>
      <c r="G33" s="24"/>
      <c r="H33" s="24"/>
      <c r="I33" s="24"/>
      <c r="J33" s="24"/>
      <c r="K33" s="24"/>
      <c r="L33" s="24">
        <f>L30</f>
        <v>9.9000000000000005E-2</v>
      </c>
      <c r="M33" s="87">
        <f>M30</f>
        <v>0.114</v>
      </c>
      <c r="N33" s="88">
        <f>N30</f>
        <v>0.10100000000000001</v>
      </c>
      <c r="O33" s="88">
        <v>0.128</v>
      </c>
      <c r="P33" s="117">
        <v>0.125</v>
      </c>
      <c r="Q33" s="24">
        <v>0.11799999999999999</v>
      </c>
      <c r="R33" s="90">
        <f>SUM(R31:R32)</f>
        <v>0.152</v>
      </c>
      <c r="S33" s="89">
        <f>SUM(S31:S32)</f>
        <v>0.14400000000000002</v>
      </c>
      <c r="T33" s="89">
        <f>SUM(T31:T32)</f>
        <v>0.16700000000000001</v>
      </c>
      <c r="U33" s="136">
        <v>0.14000000000000001</v>
      </c>
      <c r="V33" s="24"/>
      <c r="W33" s="87"/>
      <c r="X33" s="88"/>
      <c r="Y33" s="88"/>
      <c r="Z33" s="117"/>
      <c r="AA33" s="24"/>
      <c r="AB33" s="87"/>
      <c r="AC33" s="88"/>
      <c r="AD33" s="88"/>
      <c r="AE33" s="117"/>
      <c r="AF33" s="24"/>
    </row>
    <row r="34" spans="2:32" s="28" customFormat="1" hidden="1" x14ac:dyDescent="0.25">
      <c r="B34" s="27" t="s">
        <v>40</v>
      </c>
      <c r="G34" s="29"/>
      <c r="H34" s="29"/>
      <c r="I34" s="29"/>
      <c r="J34" s="29"/>
      <c r="K34" s="29"/>
      <c r="L34" s="29">
        <f>L33+G33</f>
        <v>9.9000000000000005E-2</v>
      </c>
      <c r="M34" s="90">
        <f t="shared" ref="M34:AF34" si="83">M33+H33</f>
        <v>0.114</v>
      </c>
      <c r="N34" s="89">
        <f t="shared" si="83"/>
        <v>0.10100000000000001</v>
      </c>
      <c r="O34" s="89">
        <f t="shared" si="83"/>
        <v>0.128</v>
      </c>
      <c r="P34" s="116">
        <f t="shared" si="83"/>
        <v>0.125</v>
      </c>
      <c r="Q34" s="29">
        <f t="shared" si="83"/>
        <v>0.217</v>
      </c>
      <c r="R34" s="90">
        <f t="shared" si="83"/>
        <v>0.26600000000000001</v>
      </c>
      <c r="S34" s="89">
        <f t="shared" si="83"/>
        <v>0.24500000000000002</v>
      </c>
      <c r="T34" s="89">
        <f t="shared" si="83"/>
        <v>0.29500000000000004</v>
      </c>
      <c r="U34" s="137">
        <f t="shared" si="83"/>
        <v>0.26500000000000001</v>
      </c>
      <c r="V34" s="29">
        <f t="shared" si="83"/>
        <v>0.11799999999999999</v>
      </c>
      <c r="W34" s="90">
        <f t="shared" si="83"/>
        <v>0.152</v>
      </c>
      <c r="X34" s="89">
        <f t="shared" si="83"/>
        <v>0.14400000000000002</v>
      </c>
      <c r="Y34" s="89">
        <f t="shared" si="83"/>
        <v>0.16700000000000001</v>
      </c>
      <c r="Z34" s="116">
        <f t="shared" si="83"/>
        <v>0.14000000000000001</v>
      </c>
      <c r="AA34" s="29">
        <f t="shared" si="83"/>
        <v>0</v>
      </c>
      <c r="AB34" s="90">
        <f t="shared" si="83"/>
        <v>0</v>
      </c>
      <c r="AC34" s="89">
        <f t="shared" si="83"/>
        <v>0</v>
      </c>
      <c r="AD34" s="89">
        <f t="shared" si="83"/>
        <v>0</v>
      </c>
      <c r="AE34" s="116">
        <f t="shared" si="83"/>
        <v>0</v>
      </c>
      <c r="AF34" s="29">
        <f t="shared" si="83"/>
        <v>0</v>
      </c>
    </row>
    <row r="35" spans="2:32" s="23" customFormat="1" hidden="1" x14ac:dyDescent="0.25">
      <c r="G35" s="24"/>
      <c r="H35" s="24"/>
      <c r="I35" s="24"/>
      <c r="J35" s="24"/>
      <c r="K35" s="24"/>
      <c r="L35" s="24"/>
      <c r="M35" s="87"/>
      <c r="N35" s="88"/>
      <c r="O35" s="88"/>
      <c r="P35" s="117"/>
      <c r="Q35" s="24"/>
      <c r="R35" s="87"/>
      <c r="S35" s="88"/>
      <c r="T35" s="88"/>
      <c r="U35" s="136"/>
      <c r="V35" s="24"/>
      <c r="W35" s="87"/>
      <c r="X35" s="88"/>
      <c r="Y35" s="88"/>
      <c r="Z35" s="117"/>
      <c r="AA35" s="24"/>
      <c r="AB35" s="87"/>
      <c r="AC35" s="88"/>
      <c r="AD35" s="88"/>
      <c r="AE35" s="117"/>
      <c r="AF35" s="24"/>
    </row>
    <row r="36" spans="2:32" hidden="1" x14ac:dyDescent="0.25">
      <c r="B36" t="s">
        <v>37</v>
      </c>
      <c r="G36" s="19"/>
      <c r="H36" s="19"/>
      <c r="I36" s="19"/>
      <c r="J36" s="19"/>
      <c r="K36" s="19"/>
      <c r="L36" s="19">
        <v>175.5</v>
      </c>
      <c r="M36" s="91">
        <v>51.3</v>
      </c>
      <c r="N36" s="92">
        <v>51.6</v>
      </c>
      <c r="O36" s="92">
        <v>51.7</v>
      </c>
      <c r="P36" s="118">
        <v>54.6</v>
      </c>
      <c r="Q36" s="18">
        <f>SUM(M36:P36)</f>
        <v>209.20000000000002</v>
      </c>
      <c r="R36" s="91">
        <v>58.9</v>
      </c>
      <c r="S36" s="92">
        <v>59</v>
      </c>
      <c r="T36" s="92">
        <v>60.4</v>
      </c>
      <c r="U36" s="138">
        <f>P36*(1+U37)</f>
        <v>62.79</v>
      </c>
      <c r="V36" s="18">
        <f>SUM(R36:U36)</f>
        <v>241.09</v>
      </c>
      <c r="W36" s="149" t="e">
        <f>R36*(1+W37)</f>
        <v>#REF!</v>
      </c>
      <c r="X36" s="130" t="e">
        <f t="shared" ref="X36:Z36" si="84">S36*(1+X37)</f>
        <v>#REF!</v>
      </c>
      <c r="Y36" s="130" t="e">
        <f t="shared" si="84"/>
        <v>#REF!</v>
      </c>
      <c r="Z36" s="138" t="e">
        <f t="shared" si="84"/>
        <v>#REF!</v>
      </c>
      <c r="AA36" s="18" t="e">
        <f>SUM(W36:Z36)</f>
        <v>#REF!</v>
      </c>
      <c r="AB36" s="149" t="e">
        <f t="shared" ref="AB36" si="85">W36*(1+AB37)</f>
        <v>#REF!</v>
      </c>
      <c r="AC36" s="130" t="e">
        <f t="shared" ref="AC36" si="86">X36*(1+AC37)</f>
        <v>#REF!</v>
      </c>
      <c r="AD36" s="130" t="e">
        <f t="shared" ref="AD36" si="87">Y36*(1+AD37)</f>
        <v>#REF!</v>
      </c>
      <c r="AE36" s="138" t="e">
        <f t="shared" ref="AE36" si="88">Z36*(1+AE37)</f>
        <v>#REF!</v>
      </c>
      <c r="AF36" s="18" t="e">
        <f>SUM(AB36:AE36)</f>
        <v>#REF!</v>
      </c>
    </row>
    <row r="37" spans="2:32" hidden="1" x14ac:dyDescent="0.25">
      <c r="B37" s="25" t="s">
        <v>39</v>
      </c>
      <c r="G37" s="26" t="e">
        <f t="shared" ref="G37:S37" si="89">G36/B36-1</f>
        <v>#VALUE!</v>
      </c>
      <c r="H37" s="26" t="e">
        <f t="shared" si="89"/>
        <v>#DIV/0!</v>
      </c>
      <c r="I37" s="26" t="e">
        <f t="shared" si="89"/>
        <v>#DIV/0!</v>
      </c>
      <c r="J37" s="26" t="e">
        <f t="shared" si="89"/>
        <v>#DIV/0!</v>
      </c>
      <c r="K37" s="26" t="e">
        <f t="shared" si="89"/>
        <v>#DIV/0!</v>
      </c>
      <c r="L37" s="26" t="e">
        <f t="shared" si="89"/>
        <v>#DIV/0!</v>
      </c>
      <c r="M37" s="83" t="e">
        <f t="shared" si="89"/>
        <v>#DIV/0!</v>
      </c>
      <c r="N37" s="84" t="e">
        <f t="shared" si="89"/>
        <v>#DIV/0!</v>
      </c>
      <c r="O37" s="84" t="e">
        <f t="shared" si="89"/>
        <v>#DIV/0!</v>
      </c>
      <c r="P37" s="114" t="e">
        <f t="shared" si="89"/>
        <v>#DIV/0!</v>
      </c>
      <c r="Q37" s="45">
        <f t="shared" si="89"/>
        <v>0.19202279202279215</v>
      </c>
      <c r="R37" s="83">
        <f t="shared" si="89"/>
        <v>0.14814814814814814</v>
      </c>
      <c r="S37" s="84">
        <f t="shared" si="89"/>
        <v>0.14341085271317833</v>
      </c>
      <c r="T37" s="84">
        <f>T36/O36-1</f>
        <v>0.16827852998065751</v>
      </c>
      <c r="U37" s="136">
        <v>0.15</v>
      </c>
      <c r="V37" s="26">
        <f t="shared" ref="V37:AF37" si="90">V36/Q36-1</f>
        <v>0.15243785850860414</v>
      </c>
      <c r="W37" s="150" t="e">
        <f>'Scenario Drivers'!#REF!</f>
        <v>#REF!</v>
      </c>
      <c r="X37" s="151" t="e">
        <f>'Scenario Drivers'!#REF!</f>
        <v>#REF!</v>
      </c>
      <c r="Y37" s="151" t="e">
        <f>'Scenario Drivers'!#REF!</f>
        <v>#REF!</v>
      </c>
      <c r="Z37" s="160" t="e">
        <f>'Scenario Drivers'!#REF!</f>
        <v>#REF!</v>
      </c>
      <c r="AA37" s="45" t="e">
        <f t="shared" si="90"/>
        <v>#REF!</v>
      </c>
      <c r="AB37" s="150" t="e">
        <f>'Scenario Drivers'!#REF!</f>
        <v>#REF!</v>
      </c>
      <c r="AC37" s="151" t="e">
        <f>'Scenario Drivers'!#REF!</f>
        <v>#REF!</v>
      </c>
      <c r="AD37" s="151" t="e">
        <f>'Scenario Drivers'!#REF!</f>
        <v>#REF!</v>
      </c>
      <c r="AE37" s="160" t="e">
        <f>'Scenario Drivers'!#REF!</f>
        <v>#REF!</v>
      </c>
      <c r="AF37" s="26" t="e">
        <f t="shared" si="90"/>
        <v>#REF!</v>
      </c>
    </row>
    <row r="38" spans="2:32" hidden="1" x14ac:dyDescent="0.25">
      <c r="B38" t="s">
        <v>38</v>
      </c>
      <c r="G38" s="19"/>
      <c r="H38" s="19"/>
      <c r="I38" s="19"/>
      <c r="J38" s="19"/>
      <c r="K38" s="19"/>
      <c r="L38" s="19">
        <v>149.9</v>
      </c>
      <c r="M38" s="91">
        <v>44</v>
      </c>
      <c r="N38" s="92">
        <v>36.1</v>
      </c>
      <c r="O38" s="92">
        <v>46.2</v>
      </c>
      <c r="P38" s="118">
        <v>94.8</v>
      </c>
      <c r="Q38" s="18">
        <f>SUM(M38:P38)</f>
        <v>221.1</v>
      </c>
      <c r="R38" s="91">
        <v>61</v>
      </c>
      <c r="S38" s="92">
        <v>55.9</v>
      </c>
      <c r="T38" s="92">
        <v>73.599999999999994</v>
      </c>
      <c r="U38" s="138">
        <f>P38*(1+U39)</f>
        <v>132.72</v>
      </c>
      <c r="V38" s="18">
        <f>SUM(R38:U38)</f>
        <v>323.22000000000003</v>
      </c>
      <c r="W38" s="149" t="e">
        <f>R38*(1+W39)</f>
        <v>#REF!</v>
      </c>
      <c r="X38" s="130" t="e">
        <f t="shared" ref="X38:Z38" si="91">S38*(1+X39)</f>
        <v>#REF!</v>
      </c>
      <c r="Y38" s="130" t="e">
        <f t="shared" si="91"/>
        <v>#REF!</v>
      </c>
      <c r="Z38" s="138" t="e">
        <f t="shared" si="91"/>
        <v>#REF!</v>
      </c>
      <c r="AA38" s="18" t="e">
        <f>SUM(W38:Z38)</f>
        <v>#REF!</v>
      </c>
      <c r="AB38" s="149" t="e">
        <f t="shared" ref="AB38" si="92">W38*(1+AB39)</f>
        <v>#REF!</v>
      </c>
      <c r="AC38" s="130" t="e">
        <f t="shared" ref="AC38" si="93">X38*(1+AC39)</f>
        <v>#REF!</v>
      </c>
      <c r="AD38" s="130" t="e">
        <f t="shared" ref="AD38" si="94">Y38*(1+AD39)</f>
        <v>#REF!</v>
      </c>
      <c r="AE38" s="138" t="e">
        <f t="shared" ref="AE38" si="95">Z38*(1+AE39)</f>
        <v>#REF!</v>
      </c>
      <c r="AF38" s="18" t="e">
        <f>SUM(AB38:AE38)</f>
        <v>#REF!</v>
      </c>
    </row>
    <row r="39" spans="2:32" hidden="1" x14ac:dyDescent="0.25">
      <c r="B39" s="25" t="s">
        <v>39</v>
      </c>
      <c r="G39" s="26" t="e">
        <f t="shared" ref="G39" si="96">G38/B38-1</f>
        <v>#VALUE!</v>
      </c>
      <c r="H39" s="26" t="e">
        <f t="shared" ref="H39" si="97">H38/C38-1</f>
        <v>#DIV/0!</v>
      </c>
      <c r="I39" s="26" t="e">
        <f t="shared" ref="I39" si="98">I38/D38-1</f>
        <v>#DIV/0!</v>
      </c>
      <c r="J39" s="26" t="e">
        <f t="shared" ref="J39" si="99">J38/E38-1</f>
        <v>#DIV/0!</v>
      </c>
      <c r="K39" s="26" t="e">
        <f t="shared" ref="K39" si="100">K38/F38-1</f>
        <v>#DIV/0!</v>
      </c>
      <c r="L39" s="26" t="e">
        <f t="shared" ref="L39" si="101">L38/G38-1</f>
        <v>#DIV/0!</v>
      </c>
      <c r="M39" s="83" t="e">
        <f t="shared" ref="M39" si="102">M38/H38-1</f>
        <v>#DIV/0!</v>
      </c>
      <c r="N39" s="84" t="e">
        <f t="shared" ref="N39" si="103">N38/I38-1</f>
        <v>#DIV/0!</v>
      </c>
      <c r="O39" s="84" t="e">
        <f t="shared" ref="O39" si="104">O38/J38-1</f>
        <v>#DIV/0!</v>
      </c>
      <c r="P39" s="114" t="e">
        <f t="shared" ref="P39" si="105">P38/K38-1</f>
        <v>#DIV/0!</v>
      </c>
      <c r="Q39" s="26">
        <f t="shared" ref="Q39" si="106">Q38/L38-1</f>
        <v>0.47498332221480988</v>
      </c>
      <c r="R39" s="83">
        <f t="shared" ref="R39" si="107">R38/M38-1</f>
        <v>0.38636363636363646</v>
      </c>
      <c r="S39" s="84">
        <f t="shared" ref="S39" si="108">S38/N38-1</f>
        <v>0.54847645429362868</v>
      </c>
      <c r="T39" s="84">
        <f>T38/O38-1</f>
        <v>0.59307359307359286</v>
      </c>
      <c r="U39" s="136">
        <v>0.4</v>
      </c>
      <c r="V39" s="26">
        <f t="shared" ref="V39" si="109">V38/Q38-1</f>
        <v>0.46187245590230686</v>
      </c>
      <c r="W39" s="150" t="e">
        <f>'Scenario Drivers'!#REF!</f>
        <v>#REF!</v>
      </c>
      <c r="X39" s="151" t="e">
        <f>'Scenario Drivers'!#REF!</f>
        <v>#REF!</v>
      </c>
      <c r="Y39" s="151" t="e">
        <f>'Scenario Drivers'!#REF!</f>
        <v>#REF!</v>
      </c>
      <c r="Z39" s="160" t="e">
        <f>'Scenario Drivers'!#REF!</f>
        <v>#REF!</v>
      </c>
      <c r="AA39" s="45" t="e">
        <f t="shared" ref="AA39" si="110">AA38/V38-1</f>
        <v>#REF!</v>
      </c>
      <c r="AB39" s="150" t="e">
        <f>'Scenario Drivers'!#REF!</f>
        <v>#REF!</v>
      </c>
      <c r="AC39" s="151" t="e">
        <f>'Scenario Drivers'!#REF!</f>
        <v>#REF!</v>
      </c>
      <c r="AD39" s="151" t="e">
        <f>'Scenario Drivers'!#REF!</f>
        <v>#REF!</v>
      </c>
      <c r="AE39" s="160" t="e">
        <f>'Scenario Drivers'!#REF!</f>
        <v>#REF!</v>
      </c>
      <c r="AF39" s="26" t="e">
        <f t="shared" ref="AF39" si="111">AF38/AA38-1</f>
        <v>#REF!</v>
      </c>
    </row>
    <row r="40" spans="2:32" s="42" customFormat="1" hidden="1" x14ac:dyDescent="0.25">
      <c r="B40" s="42" t="s">
        <v>130</v>
      </c>
      <c r="G40" s="18"/>
      <c r="H40" s="18"/>
      <c r="I40" s="18"/>
      <c r="J40" s="18"/>
      <c r="K40" s="18"/>
      <c r="L40" s="18">
        <f t="shared" ref="L40:T40" si="112">L58-L38-L36</f>
        <v>2916</v>
      </c>
      <c r="M40" s="93">
        <f t="shared" si="112"/>
        <v>772.822</v>
      </c>
      <c r="N40" s="94">
        <f t="shared" si="112"/>
        <v>789.29899999999998</v>
      </c>
      <c r="O40" s="94">
        <f t="shared" si="112"/>
        <v>812.8</v>
      </c>
      <c r="P40" s="119">
        <f t="shared" si="112"/>
        <v>1118.9000000000001</v>
      </c>
      <c r="Q40" s="18">
        <f t="shared" si="112"/>
        <v>3493.8210000000004</v>
      </c>
      <c r="R40" s="93">
        <f t="shared" si="112"/>
        <v>953.81599999999992</v>
      </c>
      <c r="S40" s="94">
        <f t="shared" si="112"/>
        <v>954.31499999999994</v>
      </c>
      <c r="T40" s="94">
        <f t="shared" si="112"/>
        <v>997.20000000000016</v>
      </c>
      <c r="U40" s="138">
        <f>P40*(1+U41)</f>
        <v>1342.68</v>
      </c>
      <c r="V40" s="18">
        <f>SUM(R40:U40)</f>
        <v>4248.0110000000004</v>
      </c>
      <c r="W40" s="149" t="e">
        <f>R40*(1+W41)</f>
        <v>#REF!</v>
      </c>
      <c r="X40" s="130" t="e">
        <f t="shared" ref="X40:Z40" si="113">S40*(1+X41)</f>
        <v>#REF!</v>
      </c>
      <c r="Y40" s="130" t="e">
        <f t="shared" si="113"/>
        <v>#REF!</v>
      </c>
      <c r="Z40" s="138" t="e">
        <f t="shared" si="113"/>
        <v>#REF!</v>
      </c>
      <c r="AA40" s="18" t="e">
        <f>SUM(W40:Z40)</f>
        <v>#REF!</v>
      </c>
      <c r="AB40" s="149" t="e">
        <f t="shared" ref="AB40" si="114">W40*(1+AB41)</f>
        <v>#REF!</v>
      </c>
      <c r="AC40" s="130" t="e">
        <f t="shared" ref="AC40" si="115">X40*(1+AC41)</f>
        <v>#REF!</v>
      </c>
      <c r="AD40" s="130" t="e">
        <f t="shared" ref="AD40" si="116">Y40*(1+AD41)</f>
        <v>#REF!</v>
      </c>
      <c r="AE40" s="138" t="e">
        <f t="shared" ref="AE40" si="117">Z40*(1+AE41)</f>
        <v>#REF!</v>
      </c>
      <c r="AF40" s="18" t="e">
        <f>SUM(AB40:AE40)</f>
        <v>#REF!</v>
      </c>
    </row>
    <row r="41" spans="2:32" hidden="1" x14ac:dyDescent="0.25">
      <c r="B41" s="25" t="s">
        <v>39</v>
      </c>
      <c r="G41" s="26" t="e">
        <f t="shared" ref="G41" si="118">G40/B40-1</f>
        <v>#VALUE!</v>
      </c>
      <c r="H41" s="26" t="e">
        <f t="shared" ref="H41" si="119">H40/C40-1</f>
        <v>#DIV/0!</v>
      </c>
      <c r="I41" s="26" t="e">
        <f t="shared" ref="I41" si="120">I40/D40-1</f>
        <v>#DIV/0!</v>
      </c>
      <c r="J41" s="26" t="e">
        <f t="shared" ref="J41" si="121">J40/E40-1</f>
        <v>#DIV/0!</v>
      </c>
      <c r="K41" s="26" t="e">
        <f t="shared" ref="K41" si="122">K40/F40-1</f>
        <v>#DIV/0!</v>
      </c>
      <c r="L41" s="26" t="e">
        <f t="shared" ref="L41" si="123">L40/G40-1</f>
        <v>#DIV/0!</v>
      </c>
      <c r="M41" s="83" t="e">
        <f t="shared" ref="M41" si="124">M40/H40-1</f>
        <v>#DIV/0!</v>
      </c>
      <c r="N41" s="84" t="e">
        <f t="shared" ref="N41" si="125">N40/I40-1</f>
        <v>#DIV/0!</v>
      </c>
      <c r="O41" s="84" t="e">
        <f t="shared" ref="O41" si="126">O40/J40-1</f>
        <v>#DIV/0!</v>
      </c>
      <c r="P41" s="114" t="e">
        <f t="shared" ref="P41" si="127">P40/K40-1</f>
        <v>#DIV/0!</v>
      </c>
      <c r="Q41" s="26">
        <f t="shared" ref="Q41" si="128">Q40/L40-1</f>
        <v>0.19815534979423877</v>
      </c>
      <c r="R41" s="83">
        <f t="shared" ref="R41" si="129">R40/M40-1</f>
        <v>0.23419881939178744</v>
      </c>
      <c r="S41" s="84">
        <f t="shared" ref="S41" si="130">S40/N40-1</f>
        <v>0.20906652612001286</v>
      </c>
      <c r="T41" s="84">
        <f>T40/O40-1</f>
        <v>0.22687007874015785</v>
      </c>
      <c r="U41" s="136">
        <v>0.2</v>
      </c>
      <c r="V41" s="26">
        <f t="shared" ref="V41" si="131">V40/Q40-1</f>
        <v>0.21586394952689325</v>
      </c>
      <c r="W41" s="150" t="e">
        <f>'Scenario Drivers'!#REF!</f>
        <v>#REF!</v>
      </c>
      <c r="X41" s="151" t="e">
        <f>'Scenario Drivers'!#REF!</f>
        <v>#REF!</v>
      </c>
      <c r="Y41" s="151" t="e">
        <f>'Scenario Drivers'!#REF!</f>
        <v>#REF!</v>
      </c>
      <c r="Z41" s="160" t="e">
        <f>'Scenario Drivers'!#REF!</f>
        <v>#REF!</v>
      </c>
      <c r="AA41" s="45" t="e">
        <f t="shared" ref="AA41" si="132">AA40/V40-1</f>
        <v>#REF!</v>
      </c>
      <c r="AB41" s="150" t="e">
        <f>'Scenario Drivers'!#REF!</f>
        <v>#REF!</v>
      </c>
      <c r="AC41" s="151" t="e">
        <f>'Scenario Drivers'!#REF!</f>
        <v>#REF!</v>
      </c>
      <c r="AD41" s="151" t="e">
        <f>'Scenario Drivers'!#REF!</f>
        <v>#REF!</v>
      </c>
      <c r="AE41" s="160" t="e">
        <f>'Scenario Drivers'!#REF!</f>
        <v>#REF!</v>
      </c>
      <c r="AF41" s="26" t="e">
        <f t="shared" ref="AF41" si="133">AF40/AA40-1</f>
        <v>#REF!</v>
      </c>
    </row>
    <row r="42" spans="2:32" x14ac:dyDescent="0.25">
      <c r="B42" s="40" t="s">
        <v>181</v>
      </c>
      <c r="G42" s="26"/>
      <c r="H42" s="26"/>
      <c r="I42" s="26"/>
      <c r="J42" s="26"/>
      <c r="K42" s="26"/>
      <c r="L42" s="26"/>
      <c r="M42" s="83"/>
      <c r="N42" s="84"/>
      <c r="O42" s="84"/>
      <c r="P42" s="114"/>
      <c r="Q42" s="26"/>
      <c r="R42" s="83">
        <f>R30+M30</f>
        <v>0.26600000000000001</v>
      </c>
      <c r="S42" s="84">
        <f t="shared" ref="S42:U42" si="134">S30+N30</f>
        <v>0.245</v>
      </c>
      <c r="T42" s="84">
        <f t="shared" si="134"/>
        <v>0.29500000000000004</v>
      </c>
      <c r="U42" s="183">
        <f t="shared" si="134"/>
        <v>0.26500000000000001</v>
      </c>
      <c r="V42" s="45">
        <f t="shared" ref="V42" si="135">V30+Q30</f>
        <v>0.26790456474743163</v>
      </c>
      <c r="W42" s="184">
        <f t="shared" ref="W42" si="136">W30+R30</f>
        <v>0.29200000000000004</v>
      </c>
      <c r="X42" s="185">
        <f t="shared" ref="X42" si="137">X30+S30</f>
        <v>0.27400000000000002</v>
      </c>
      <c r="Y42" s="185">
        <f t="shared" ref="Y42" si="138">Y30+T30</f>
        <v>0.28700000000000003</v>
      </c>
      <c r="Z42" s="186">
        <f t="shared" ref="Z42" si="139">Z30+U30</f>
        <v>0.25</v>
      </c>
      <c r="AA42" s="45">
        <f t="shared" ref="AA42" ca="1" si="140">AA30+V30</f>
        <v>0.27349269623866967</v>
      </c>
      <c r="AB42" s="184">
        <f t="shared" ref="AB42" si="141">AB30+W30</f>
        <v>0.24000000000000005</v>
      </c>
      <c r="AC42" s="185">
        <f t="shared" ref="AC42" si="142">AC30+X30</f>
        <v>0.22000000000000003</v>
      </c>
      <c r="AD42" s="185">
        <f t="shared" ref="AD42" si="143">AD30+Y30</f>
        <v>0.20000000000000004</v>
      </c>
      <c r="AE42" s="186">
        <f t="shared" ref="AE42" si="144">AE30+Z30</f>
        <v>0.18000000000000005</v>
      </c>
      <c r="AF42" s="45">
        <f t="shared" ref="AF42" ca="1" si="145">AF30+AA30</f>
        <v>0.20729107211047099</v>
      </c>
    </row>
    <row r="43" spans="2:32" x14ac:dyDescent="0.25">
      <c r="B43" s="40" t="s">
        <v>182</v>
      </c>
      <c r="G43" s="26"/>
      <c r="H43" s="26"/>
      <c r="I43" s="26"/>
      <c r="J43" s="26"/>
      <c r="K43" s="26"/>
      <c r="L43" s="26"/>
      <c r="M43" s="83"/>
      <c r="N43" s="84"/>
      <c r="O43" s="84"/>
      <c r="P43" s="114"/>
      <c r="Q43" s="26"/>
      <c r="R43" s="83"/>
      <c r="S43" s="84"/>
      <c r="T43" s="84"/>
      <c r="U43" s="136"/>
      <c r="V43" s="26"/>
      <c r="W43" s="150"/>
      <c r="X43" s="151"/>
      <c r="Y43" s="151"/>
      <c r="Z43" s="160"/>
      <c r="AA43" s="45"/>
      <c r="AB43" s="150"/>
      <c r="AC43" s="151"/>
      <c r="AD43" s="151"/>
      <c r="AE43" s="160"/>
      <c r="AF43" s="26"/>
    </row>
    <row r="44" spans="2:32" x14ac:dyDescent="0.25">
      <c r="G44" s="19"/>
      <c r="H44" s="19"/>
      <c r="I44" s="19"/>
      <c r="J44" s="19"/>
      <c r="K44" s="19"/>
      <c r="L44" s="19"/>
      <c r="M44" s="91"/>
      <c r="N44" s="92"/>
      <c r="O44" s="92"/>
      <c r="P44" s="118"/>
      <c r="Q44" s="19"/>
      <c r="R44" s="91"/>
      <c r="S44" s="92"/>
      <c r="T44" s="92"/>
      <c r="U44" s="112"/>
      <c r="V44" s="17"/>
      <c r="W44" s="79"/>
      <c r="X44" s="80"/>
      <c r="Y44" s="80"/>
      <c r="Z44" s="112"/>
      <c r="AA44" s="17"/>
      <c r="AB44" s="79"/>
      <c r="AC44" s="80"/>
      <c r="AD44" s="80"/>
      <c r="AE44" s="112"/>
      <c r="AF44" s="17"/>
    </row>
    <row r="45" spans="2:32" x14ac:dyDescent="0.25">
      <c r="B45" t="s">
        <v>144</v>
      </c>
      <c r="G45" s="19"/>
      <c r="H45" s="19"/>
      <c r="I45" s="19"/>
      <c r="J45" s="19"/>
      <c r="K45" s="18"/>
      <c r="L45" s="18">
        <f t="shared" ref="L45:U45" si="146">G47*(1+L30)</f>
        <v>2934.9597269999999</v>
      </c>
      <c r="M45" s="93">
        <f t="shared" si="146"/>
        <v>795.13978000000009</v>
      </c>
      <c r="N45" s="94">
        <f t="shared" si="146"/>
        <v>808.39383599999996</v>
      </c>
      <c r="O45" s="94">
        <f t="shared" si="146"/>
        <v>841.17441600000006</v>
      </c>
      <c r="P45" s="119">
        <f t="shared" si="146"/>
        <v>1178.596125</v>
      </c>
      <c r="Q45" s="18">
        <f t="shared" si="146"/>
        <v>3623.8851999999997</v>
      </c>
      <c r="R45" s="93">
        <f t="shared" si="146"/>
        <v>1000.0765439999999</v>
      </c>
      <c r="S45" s="94">
        <f t="shared" si="146"/>
        <v>1003.2868559999999</v>
      </c>
      <c r="T45" s="94">
        <f t="shared" si="146"/>
        <v>1062.7869000000001</v>
      </c>
      <c r="U45" s="119">
        <f t="shared" si="146"/>
        <v>1445.8620000000001</v>
      </c>
      <c r="V45" s="17">
        <f>SUM(R45:U45)</f>
        <v>4512.0123000000003</v>
      </c>
      <c r="W45" s="79">
        <f>R45*(1+W30)</f>
        <v>1140.0872601599999</v>
      </c>
      <c r="X45" s="80">
        <f>S45*(1+X30)</f>
        <v>1133.7141472799999</v>
      </c>
      <c r="Y45" s="80">
        <f>T45*(1+Y30)</f>
        <v>1190.3213280000002</v>
      </c>
      <c r="Z45" s="112">
        <f>U45*(1+Z30)</f>
        <v>1604.9068200000002</v>
      </c>
      <c r="AA45" s="17">
        <f>SUM(W45:Z45)</f>
        <v>5069.02955544</v>
      </c>
      <c r="AB45" s="79">
        <f>W45*(1+AB30)</f>
        <v>1254.095986176</v>
      </c>
      <c r="AC45" s="80">
        <f>X45*(1+AC30)</f>
        <v>1235.7484205352</v>
      </c>
      <c r="AD45" s="80">
        <f>Y45*(1+AD30)</f>
        <v>1285.5470342400004</v>
      </c>
      <c r="AE45" s="112">
        <f>Z45*(1+AE30)</f>
        <v>1717.2502974000004</v>
      </c>
      <c r="AF45" s="17">
        <f>SUM(AB45:AE45)</f>
        <v>5492.6417383512007</v>
      </c>
    </row>
    <row r="46" spans="2:32" x14ac:dyDescent="0.25">
      <c r="B46" t="s">
        <v>145</v>
      </c>
      <c r="G46" s="19"/>
      <c r="H46" s="19"/>
      <c r="I46" s="19"/>
      <c r="J46" s="19"/>
      <c r="K46" s="18"/>
      <c r="L46" s="18">
        <f t="shared" ref="L46:T46" si="147">L47-L45</f>
        <v>306.44027300000016</v>
      </c>
      <c r="M46" s="93">
        <f t="shared" si="147"/>
        <v>72.98221999999987</v>
      </c>
      <c r="N46" s="94">
        <f t="shared" si="147"/>
        <v>68.605164000000059</v>
      </c>
      <c r="O46" s="94">
        <f t="shared" si="147"/>
        <v>69.525583999999981</v>
      </c>
      <c r="P46" s="119">
        <f t="shared" si="147"/>
        <v>89.703874999999925</v>
      </c>
      <c r="Q46" s="18">
        <f t="shared" si="147"/>
        <v>300.23580000000038</v>
      </c>
      <c r="R46" s="93">
        <f t="shared" si="147"/>
        <v>73.639455999999996</v>
      </c>
      <c r="S46" s="94">
        <f t="shared" si="147"/>
        <v>65.928143999999975</v>
      </c>
      <c r="T46" s="94">
        <f t="shared" si="147"/>
        <v>68.413099999999986</v>
      </c>
      <c r="U46" s="119">
        <f>P46*(1+U48)</f>
        <v>96.357159391925805</v>
      </c>
      <c r="V46" s="17">
        <f>SUM(R46:U46)</f>
        <v>304.33785939192575</v>
      </c>
      <c r="W46" s="93">
        <f ca="1">R46*(1+W48)</f>
        <v>79.623053634398147</v>
      </c>
      <c r="X46" s="94">
        <f t="shared" ref="X46:Z46" ca="1" si="148">S46*(1+X48)</f>
        <v>71.674994778724283</v>
      </c>
      <c r="Y46" s="94">
        <f t="shared" ca="1" si="148"/>
        <v>73.840434428568059</v>
      </c>
      <c r="Z46" s="119">
        <f t="shared" ca="1" si="148"/>
        <v>103.24145297795857</v>
      </c>
      <c r="AA46" s="17">
        <f ca="1">SUM(W46:Z46)</f>
        <v>328.37993581964906</v>
      </c>
      <c r="AB46" s="93">
        <f ca="1">W46*(1+AB48)</f>
        <v>85.089604692826782</v>
      </c>
      <c r="AC46" s="94">
        <f t="shared" ref="AC46" ca="1" si="149">X46*(1+AC48)</f>
        <v>76.473844080482095</v>
      </c>
      <c r="AD46" s="94">
        <f t="shared" ref="AD46" ca="1" si="150">Y46*(1+AD48)</f>
        <v>78.664638619467254</v>
      </c>
      <c r="AE46" s="119">
        <f t="shared" ref="AE46" ca="1" si="151">Z46*(1+AE48)</f>
        <v>109.82715234850296</v>
      </c>
      <c r="AF46" s="17">
        <f ca="1">SUM(AB46:AE46)</f>
        <v>350.05523974127914</v>
      </c>
    </row>
    <row r="47" spans="2:32" x14ac:dyDescent="0.25">
      <c r="B47" s="3" t="s">
        <v>31</v>
      </c>
      <c r="G47" s="18">
        <f>G58</f>
        <v>2670.5729999999999</v>
      </c>
      <c r="H47" s="18">
        <f t="shared" ref="H47:J47" si="152">H58</f>
        <v>713.77</v>
      </c>
      <c r="I47" s="18">
        <f t="shared" si="152"/>
        <v>734.23599999999999</v>
      </c>
      <c r="J47" s="18">
        <f t="shared" si="152"/>
        <v>745.72199999999998</v>
      </c>
      <c r="K47" s="18">
        <f>K58</f>
        <v>1047.6410000000001</v>
      </c>
      <c r="L47" s="18">
        <f>L58</f>
        <v>3241.4</v>
      </c>
      <c r="M47" s="93">
        <f t="shared" ref="M47:P47" si="153">M58</f>
        <v>868.12199999999996</v>
      </c>
      <c r="N47" s="94">
        <f t="shared" si="153"/>
        <v>876.99900000000002</v>
      </c>
      <c r="O47" s="94">
        <f t="shared" si="153"/>
        <v>910.7</v>
      </c>
      <c r="P47" s="119">
        <f t="shared" si="153"/>
        <v>1268.3</v>
      </c>
      <c r="Q47" s="18">
        <f>Q58</f>
        <v>3924.1210000000001</v>
      </c>
      <c r="R47" s="93">
        <f>R58</f>
        <v>1073.7159999999999</v>
      </c>
      <c r="S47" s="94">
        <f>S58</f>
        <v>1069.2149999999999</v>
      </c>
      <c r="T47" s="94">
        <f>T58</f>
        <v>1131.2</v>
      </c>
      <c r="U47" s="119">
        <f>SUM(U45:U46)</f>
        <v>1542.2191593919258</v>
      </c>
      <c r="V47" s="17">
        <f>SUM(R47:U47)</f>
        <v>4816.3501593919254</v>
      </c>
      <c r="W47" s="93">
        <f t="shared" ref="W47:Z47" ca="1" si="154">SUM(W45:W46)</f>
        <v>1219.710313794398</v>
      </c>
      <c r="X47" s="94">
        <f t="shared" ca="1" si="154"/>
        <v>1205.3891420587242</v>
      </c>
      <c r="Y47" s="94">
        <f t="shared" ca="1" si="154"/>
        <v>1264.1617624285682</v>
      </c>
      <c r="Z47" s="119">
        <f t="shared" ca="1" si="154"/>
        <v>1708.1482729779586</v>
      </c>
      <c r="AA47" s="17">
        <f ca="1">SUM(W47:Z47)</f>
        <v>5397.4094912596483</v>
      </c>
      <c r="AB47" s="93">
        <f t="shared" ref="AB47" ca="1" si="155">SUM(AB45:AB46)</f>
        <v>1339.1855908688267</v>
      </c>
      <c r="AC47" s="94">
        <f t="shared" ref="AC47" ca="1" si="156">SUM(AC45:AC46)</f>
        <v>1312.2222646156822</v>
      </c>
      <c r="AD47" s="94">
        <f t="shared" ref="AD47" ca="1" si="157">SUM(AD45:AD46)</f>
        <v>1364.2116728594676</v>
      </c>
      <c r="AE47" s="119">
        <f t="shared" ref="AE47" ca="1" si="158">SUM(AE45:AE46)</f>
        <v>1827.0774497485033</v>
      </c>
      <c r="AF47" s="17">
        <f ca="1">SUM(AB47:AE47)</f>
        <v>5842.6969780924801</v>
      </c>
    </row>
    <row r="48" spans="2:32" x14ac:dyDescent="0.25">
      <c r="B48" s="35" t="s">
        <v>147</v>
      </c>
      <c r="G48" s="18"/>
      <c r="H48" s="18"/>
      <c r="I48" s="18"/>
      <c r="J48" s="18"/>
      <c r="K48" s="18"/>
      <c r="L48" s="18"/>
      <c r="M48" s="95">
        <f>M46/H47</f>
        <v>0.10224893172870794</v>
      </c>
      <c r="N48" s="96">
        <f>N46/I47</f>
        <v>9.3437483315991124E-2</v>
      </c>
      <c r="O48" s="96">
        <f>O46/J47</f>
        <v>9.323257728751462E-2</v>
      </c>
      <c r="P48" s="120">
        <f>P46/K47</f>
        <v>8.5624631911122143E-2</v>
      </c>
      <c r="Q48" s="58">
        <f>Q46/L47</f>
        <v>9.2625347072252839E-2</v>
      </c>
      <c r="R48" s="95">
        <f t="shared" ref="R48:V48" si="159">R46/M47</f>
        <v>8.4826160378379992E-2</v>
      </c>
      <c r="S48" s="96">
        <f t="shared" si="159"/>
        <v>7.5174708294992329E-2</v>
      </c>
      <c r="T48" s="96">
        <f t="shared" si="159"/>
        <v>7.5121445042275151E-2</v>
      </c>
      <c r="U48" s="120">
        <f>U49*U23</f>
        <v>7.4169420127345412E-2</v>
      </c>
      <c r="V48" s="58">
        <f t="shared" si="159"/>
        <v>7.7555676645018265E-2</v>
      </c>
      <c r="W48" s="95">
        <f ca="1">W49*W23</f>
        <v>8.1255320984421023E-2</v>
      </c>
      <c r="X48" s="96">
        <f ca="1">X49*X23</f>
        <v>8.7168399260933227E-2</v>
      </c>
      <c r="Y48" s="96">
        <f ca="1">Y49*Y23</f>
        <v>7.9331800906084909E-2</v>
      </c>
      <c r="Z48" s="120">
        <f ca="1">Z49*Z23</f>
        <v>7.1445584629901818E-2</v>
      </c>
      <c r="AA48" s="58">
        <f t="shared" ref="AA48" ca="1" si="160">AA46/V47</f>
        <v>6.8180245404148049E-2</v>
      </c>
      <c r="AB48" s="95">
        <f ca="1">AB49*AB23</f>
        <v>6.8655380683202191E-2</v>
      </c>
      <c r="AC48" s="96">
        <f ca="1">AC49*AC23</f>
        <v>6.6952907587546531E-2</v>
      </c>
      <c r="AD48" s="96">
        <f ca="1">AD49*AD23</f>
        <v>6.5332825141570017E-2</v>
      </c>
      <c r="AE48" s="120">
        <f ca="1">AE49*AE23</f>
        <v>6.3789293743767739E-2</v>
      </c>
      <c r="AF48" s="58">
        <f t="shared" ref="AF48" ca="1" si="161">AF46/AA47</f>
        <v>6.4856157441480905E-2</v>
      </c>
    </row>
    <row r="49" spans="2:32" x14ac:dyDescent="0.25">
      <c r="B49" s="34" t="s">
        <v>154</v>
      </c>
      <c r="G49" s="18"/>
      <c r="H49" s="18"/>
      <c r="I49" s="18"/>
      <c r="J49" s="18"/>
      <c r="K49" s="18"/>
      <c r="L49" s="56"/>
      <c r="M49" s="97">
        <f t="shared" ref="M49:T49" si="162">M48/M23</f>
        <v>0.73213689865467391</v>
      </c>
      <c r="N49" s="98">
        <f t="shared" si="162"/>
        <v>0.71585592595998671</v>
      </c>
      <c r="O49" s="98">
        <f t="shared" si="162"/>
        <v>0.68864266465021273</v>
      </c>
      <c r="P49" s="121">
        <f t="shared" si="162"/>
        <v>0.62773939372300636</v>
      </c>
      <c r="Q49" s="57">
        <f t="shared" si="162"/>
        <v>0.68721606850308148</v>
      </c>
      <c r="R49" s="97">
        <f t="shared" si="162"/>
        <v>0.71629609774285252</v>
      </c>
      <c r="S49" s="98">
        <f t="shared" si="162"/>
        <v>0.69290686250286349</v>
      </c>
      <c r="T49" s="98">
        <f t="shared" si="162"/>
        <v>0.71557094338509186</v>
      </c>
      <c r="U49" s="139">
        <v>0.7</v>
      </c>
      <c r="V49" s="57">
        <f>V48/V23</f>
        <v>0.65822912555256463</v>
      </c>
      <c r="W49" s="147">
        <f>'Scenario Drivers'!W13</f>
        <v>0.7</v>
      </c>
      <c r="X49" s="148">
        <f>'Scenario Drivers'!X13</f>
        <v>0.7</v>
      </c>
      <c r="Y49" s="148">
        <f>'Scenario Drivers'!Y13</f>
        <v>0.7</v>
      </c>
      <c r="Z49" s="159">
        <f>'Scenario Drivers'!Z13</f>
        <v>0.7</v>
      </c>
      <c r="AA49" s="75">
        <f ca="1">AA48/AA23</f>
        <v>0.64347488358430893</v>
      </c>
      <c r="AB49" s="147">
        <f>'Scenario Drivers'!AB13</f>
        <v>0.67499999999999993</v>
      </c>
      <c r="AC49" s="148">
        <f>'Scenario Drivers'!AC13</f>
        <v>0.67499999999999993</v>
      </c>
      <c r="AD49" s="148">
        <f>'Scenario Drivers'!AD13</f>
        <v>0.67499999999999993</v>
      </c>
      <c r="AE49" s="159">
        <f>'Scenario Drivers'!AE13</f>
        <v>0.67499999999999993</v>
      </c>
      <c r="AF49" s="75">
        <f ca="1">AF48/AF23</f>
        <v>0.66196818643767474</v>
      </c>
    </row>
    <row r="50" spans="2:32" s="3" customFormat="1" x14ac:dyDescent="0.25">
      <c r="G50" s="38"/>
      <c r="H50" s="38"/>
      <c r="I50" s="38"/>
      <c r="J50" s="38"/>
      <c r="K50" s="38"/>
      <c r="L50" s="38"/>
      <c r="M50" s="81"/>
      <c r="N50" s="82"/>
      <c r="O50" s="82"/>
      <c r="P50" s="113"/>
      <c r="Q50" s="38"/>
      <c r="R50" s="81"/>
      <c r="S50" s="82"/>
      <c r="T50" s="82"/>
      <c r="U50" s="113"/>
      <c r="V50" s="38"/>
      <c r="W50" s="81"/>
      <c r="X50" s="82"/>
      <c r="Y50" s="82"/>
      <c r="Z50" s="113"/>
      <c r="AA50" s="38"/>
      <c r="AB50" s="81"/>
      <c r="AC50" s="82"/>
      <c r="AD50" s="82"/>
      <c r="AE50" s="113"/>
      <c r="AF50" s="38"/>
    </row>
    <row r="51" spans="2:32" s="3" customFormat="1" x14ac:dyDescent="0.25">
      <c r="B51" s="4" t="s">
        <v>176</v>
      </c>
      <c r="G51" s="38"/>
      <c r="H51" s="38"/>
      <c r="I51" s="38"/>
      <c r="J51" s="38"/>
      <c r="K51" s="38"/>
      <c r="L51" s="38"/>
      <c r="M51" s="81"/>
      <c r="N51" s="82"/>
      <c r="O51" s="82"/>
      <c r="P51" s="113"/>
      <c r="Q51" s="38"/>
      <c r="R51" s="81"/>
      <c r="S51" s="82"/>
      <c r="T51" s="82"/>
      <c r="U51" s="113"/>
      <c r="V51" s="38"/>
      <c r="W51" s="81"/>
      <c r="X51" s="82"/>
      <c r="Y51" s="82"/>
      <c r="Z51" s="113"/>
      <c r="AA51" s="38"/>
      <c r="AB51" s="81"/>
      <c r="AC51" s="82"/>
      <c r="AD51" s="82"/>
      <c r="AE51" s="113"/>
      <c r="AF51" s="38"/>
    </row>
    <row r="52" spans="2:32" x14ac:dyDescent="0.25">
      <c r="B52" t="s">
        <v>30</v>
      </c>
      <c r="G52" s="17">
        <f t="shared" ref="G52:T52" si="163">G22/G14*1000</f>
        <v>10638.92163265306</v>
      </c>
      <c r="H52" s="17" t="e">
        <f t="shared" si="163"/>
        <v>#DIV/0!</v>
      </c>
      <c r="I52" s="17" t="e">
        <f t="shared" si="163"/>
        <v>#DIV/0!</v>
      </c>
      <c r="J52" s="17" t="e">
        <f t="shared" si="163"/>
        <v>#DIV/0!</v>
      </c>
      <c r="K52" s="17" t="e">
        <f t="shared" si="163"/>
        <v>#DIV/0!</v>
      </c>
      <c r="L52" s="17">
        <f t="shared" si="163"/>
        <v>10587.087646652864</v>
      </c>
      <c r="M52" s="79">
        <f t="shared" si="163"/>
        <v>10571.473583704648</v>
      </c>
      <c r="N52" s="80">
        <f t="shared" si="163"/>
        <v>10566.043370508056</v>
      </c>
      <c r="O52" s="80">
        <f t="shared" si="163"/>
        <v>10559.509242695294</v>
      </c>
      <c r="P52" s="112">
        <f t="shared" si="163"/>
        <v>10557.117070357557</v>
      </c>
      <c r="Q52" s="17">
        <f t="shared" si="163"/>
        <v>10563.325849514566</v>
      </c>
      <c r="R52" s="79">
        <f t="shared" si="163"/>
        <v>10553.7125</v>
      </c>
      <c r="S52" s="80">
        <f t="shared" si="163"/>
        <v>10543.094813162299</v>
      </c>
      <c r="T52" s="80">
        <f t="shared" si="163"/>
        <v>10542.744612068966</v>
      </c>
      <c r="U52" s="118">
        <f>T52</f>
        <v>10542.744612068966</v>
      </c>
      <c r="V52" s="17">
        <f>V22/V14*1000</f>
        <v>10552.87236271879</v>
      </c>
      <c r="W52" s="79">
        <f>U52</f>
        <v>10542.744612068966</v>
      </c>
      <c r="X52" s="80">
        <f>W52</f>
        <v>10542.744612068966</v>
      </c>
      <c r="Y52" s="80">
        <f>X52</f>
        <v>10542.744612068966</v>
      </c>
      <c r="Z52" s="112">
        <f>Y52</f>
        <v>10542.744612068966</v>
      </c>
      <c r="AA52" s="17">
        <f ca="1">AA22/AA14*1000</f>
        <v>10549.683203389117</v>
      </c>
      <c r="AB52" s="79">
        <f>Z52</f>
        <v>10542.744612068966</v>
      </c>
      <c r="AC52" s="80">
        <f>AB52</f>
        <v>10542.744612068966</v>
      </c>
      <c r="AD52" s="80">
        <f>AC52</f>
        <v>10542.744612068966</v>
      </c>
      <c r="AE52" s="112">
        <f>AD52</f>
        <v>10542.744612068966</v>
      </c>
      <c r="AF52" s="17">
        <f ca="1">AF22/AF14*1000</f>
        <v>10549.063686306959</v>
      </c>
    </row>
    <row r="53" spans="2:32" s="30" customFormat="1" x14ac:dyDescent="0.25">
      <c r="B53" s="30" t="s">
        <v>128</v>
      </c>
      <c r="G53" s="31">
        <f t="shared" ref="G53:AF53" si="164">G58/G14</f>
        <v>4.3601191836734694</v>
      </c>
      <c r="H53" s="31" t="e">
        <f t="shared" si="164"/>
        <v>#DIV/0!</v>
      </c>
      <c r="I53" s="31" t="e">
        <f t="shared" si="164"/>
        <v>#DIV/0!</v>
      </c>
      <c r="J53" s="31" t="e">
        <f t="shared" si="164"/>
        <v>#DIV/0!</v>
      </c>
      <c r="K53" s="31" t="e">
        <f t="shared" si="164"/>
        <v>#DIV/0!</v>
      </c>
      <c r="L53" s="31">
        <f t="shared" si="164"/>
        <v>4.473982056590752</v>
      </c>
      <c r="M53" s="99">
        <f t="shared" si="164"/>
        <v>1.1051839592616168</v>
      </c>
      <c r="N53" s="100">
        <f t="shared" si="164"/>
        <v>1.0867397769516729</v>
      </c>
      <c r="O53" s="100">
        <f t="shared" si="164"/>
        <v>1.0861061419200955</v>
      </c>
      <c r="P53" s="122">
        <f t="shared" si="164"/>
        <v>1.4628604382929642</v>
      </c>
      <c r="Q53" s="31">
        <f t="shared" si="164"/>
        <v>4.7622827669902916</v>
      </c>
      <c r="R53" s="99">
        <f t="shared" si="164"/>
        <v>1.2201318181818182</v>
      </c>
      <c r="S53" s="100">
        <f t="shared" si="164"/>
        <v>1.1926547685443389</v>
      </c>
      <c r="T53" s="100">
        <f t="shared" si="164"/>
        <v>1.2189655172413794</v>
      </c>
      <c r="U53" s="122">
        <f t="shared" si="164"/>
        <v>1.6073154344887188</v>
      </c>
      <c r="V53" s="31">
        <f t="shared" si="164"/>
        <v>5.2238071143079452</v>
      </c>
      <c r="W53" s="99">
        <f t="shared" ca="1" si="164"/>
        <v>1.2414354338874281</v>
      </c>
      <c r="X53" s="100">
        <f t="shared" ca="1" si="164"/>
        <v>1.1964160218945155</v>
      </c>
      <c r="Y53" s="100">
        <f t="shared" ca="1" si="164"/>
        <v>1.2243697456935285</v>
      </c>
      <c r="Z53" s="122">
        <f t="shared" ca="1" si="164"/>
        <v>1.6152702344945236</v>
      </c>
      <c r="AA53" s="31">
        <f t="shared" ca="1" si="164"/>
        <v>5.2915779326074981</v>
      </c>
      <c r="AB53" s="99">
        <f t="shared" ca="1" si="164"/>
        <v>1.2371229476848284</v>
      </c>
      <c r="AC53" s="100">
        <f t="shared" ca="1" si="164"/>
        <v>1.1848508032647243</v>
      </c>
      <c r="AD53" s="100">
        <f t="shared" ca="1" si="164"/>
        <v>1.2046019186397066</v>
      </c>
      <c r="AE53" s="122">
        <f t="shared" ca="1" si="164"/>
        <v>1.5784686390915796</v>
      </c>
      <c r="AF53" s="31">
        <f t="shared" ca="1" si="164"/>
        <v>5.2166937304397143</v>
      </c>
    </row>
    <row r="54" spans="2:32" x14ac:dyDescent="0.25">
      <c r="B54" t="s">
        <v>121</v>
      </c>
      <c r="G54" s="17">
        <f t="shared" ref="G54:AF54" si="165">1000*(G58/G22)</f>
        <v>409.82717367626407</v>
      </c>
      <c r="H54" s="17">
        <f t="shared" si="165"/>
        <v>97.96054602879245</v>
      </c>
      <c r="I54" s="17">
        <f t="shared" si="165"/>
        <v>97.348694059107245</v>
      </c>
      <c r="J54" s="17">
        <f t="shared" si="165"/>
        <v>95.625493553307777</v>
      </c>
      <c r="K54" s="17">
        <f t="shared" si="165"/>
        <v>130.07081821877429</v>
      </c>
      <c r="L54" s="17">
        <f t="shared" si="165"/>
        <v>422.58855370912255</v>
      </c>
      <c r="M54" s="79">
        <f t="shared" si="165"/>
        <v>104.54398343909193</v>
      </c>
      <c r="N54" s="80">
        <f t="shared" si="165"/>
        <v>102.85210261250499</v>
      </c>
      <c r="O54" s="80">
        <f t="shared" si="165"/>
        <v>102.85574044754273</v>
      </c>
      <c r="P54" s="112">
        <f t="shared" si="165"/>
        <v>138.56627984171996</v>
      </c>
      <c r="Q54" s="17">
        <f t="shared" si="165"/>
        <v>450.8317583717386</v>
      </c>
      <c r="R54" s="79">
        <f t="shared" si="165"/>
        <v>115.61162180434781</v>
      </c>
      <c r="S54" s="80">
        <f t="shared" si="165"/>
        <v>113.12188590539802</v>
      </c>
      <c r="T54" s="80">
        <f t="shared" si="165"/>
        <v>115.62126961189502</v>
      </c>
      <c r="U54" s="112">
        <f t="shared" si="165"/>
        <v>152.35043077874013</v>
      </c>
      <c r="V54" s="17">
        <f t="shared" si="165"/>
        <v>495.01282065749427</v>
      </c>
      <c r="W54" s="79">
        <f t="shared" ca="1" si="165"/>
        <v>117.67218471170766</v>
      </c>
      <c r="X54" s="80">
        <f t="shared" ca="1" si="165"/>
        <v>113.40684227226029</v>
      </c>
      <c r="Y54" s="80">
        <f t="shared" ca="1" si="165"/>
        <v>116.0584134389684</v>
      </c>
      <c r="Z54" s="112">
        <f t="shared" ca="1" si="165"/>
        <v>153.11435206514099</v>
      </c>
      <c r="AA54" s="17">
        <f t="shared" ca="1" si="165"/>
        <v>501.58642971454947</v>
      </c>
      <c r="AB54" s="79">
        <f t="shared" ca="1" si="165"/>
        <v>117.27081314865401</v>
      </c>
      <c r="AC54" s="80">
        <f t="shared" ca="1" si="165"/>
        <v>112.3173418864564</v>
      </c>
      <c r="AD54" s="80">
        <f t="shared" ca="1" si="165"/>
        <v>114.19116605482209</v>
      </c>
      <c r="AE54" s="112">
        <f t="shared" ca="1" si="165"/>
        <v>149.63406415582457</v>
      </c>
      <c r="AF54" s="17">
        <f t="shared" ca="1" si="165"/>
        <v>494.51722783806474</v>
      </c>
    </row>
    <row r="55" spans="2:32" x14ac:dyDescent="0.25">
      <c r="G55" s="19"/>
      <c r="H55" s="19"/>
      <c r="I55" s="19"/>
      <c r="J55" s="19"/>
      <c r="K55" s="19"/>
      <c r="L55" s="19"/>
      <c r="M55" s="91"/>
      <c r="N55" s="92"/>
      <c r="O55" s="92"/>
      <c r="P55" s="118"/>
      <c r="Q55" s="19"/>
      <c r="R55" s="91"/>
      <c r="S55" s="92"/>
      <c r="T55" s="92"/>
      <c r="U55" s="112"/>
      <c r="V55" s="17"/>
      <c r="W55" s="79"/>
      <c r="X55" s="80"/>
      <c r="Y55" s="80"/>
      <c r="Z55" s="112"/>
      <c r="AA55" s="17"/>
      <c r="AB55" s="79"/>
      <c r="AC55" s="80"/>
      <c r="AD55" s="80"/>
      <c r="AE55" s="112"/>
      <c r="AF55" s="17"/>
    </row>
    <row r="56" spans="2:32" x14ac:dyDescent="0.25">
      <c r="B56" s="162" t="s">
        <v>21</v>
      </c>
      <c r="C56" s="163"/>
      <c r="D56" s="163"/>
      <c r="E56" s="163"/>
      <c r="F56" s="163"/>
      <c r="G56" s="163"/>
      <c r="H56" s="163"/>
      <c r="I56" s="163"/>
      <c r="J56" s="163"/>
      <c r="K56" s="163"/>
      <c r="L56" s="163"/>
      <c r="M56" s="162"/>
      <c r="N56" s="163"/>
      <c r="O56" s="163"/>
      <c r="P56" s="164"/>
      <c r="Q56" s="163"/>
      <c r="R56" s="162"/>
      <c r="S56" s="163"/>
      <c r="T56" s="163"/>
      <c r="U56" s="164"/>
      <c r="V56" s="163"/>
      <c r="W56" s="162"/>
      <c r="X56" s="163"/>
      <c r="Y56" s="163"/>
      <c r="Z56" s="164"/>
      <c r="AA56" s="163"/>
      <c r="AB56" s="162"/>
      <c r="AC56" s="163"/>
      <c r="AD56" s="163"/>
      <c r="AE56" s="164"/>
      <c r="AF56" s="164"/>
    </row>
    <row r="57" spans="2:32" x14ac:dyDescent="0.25">
      <c r="G57" s="19"/>
      <c r="H57" s="19"/>
      <c r="I57" s="19"/>
      <c r="J57" s="19"/>
      <c r="K57" s="19"/>
      <c r="L57" s="19"/>
      <c r="M57" s="91"/>
      <c r="N57" s="92"/>
      <c r="O57" s="92"/>
      <c r="P57" s="118"/>
      <c r="Q57" s="19"/>
      <c r="R57" s="91"/>
      <c r="S57" s="92"/>
      <c r="T57" s="92"/>
      <c r="U57" s="112"/>
      <c r="V57" s="17"/>
      <c r="W57" s="79"/>
      <c r="X57" s="80"/>
      <c r="Y57" s="80"/>
      <c r="Z57" s="112"/>
      <c r="AA57" s="17"/>
      <c r="AB57" s="79"/>
      <c r="AC57" s="80"/>
      <c r="AD57" s="80"/>
      <c r="AE57" s="112"/>
      <c r="AF57" s="17"/>
    </row>
    <row r="58" spans="2:32" x14ac:dyDescent="0.25">
      <c r="B58" t="s">
        <v>31</v>
      </c>
      <c r="G58" s="19">
        <v>2670.5729999999999</v>
      </c>
      <c r="H58" s="19">
        <v>713.77</v>
      </c>
      <c r="I58" s="19">
        <v>734.23599999999999</v>
      </c>
      <c r="J58" s="19">
        <v>745.72199999999998</v>
      </c>
      <c r="K58" s="19">
        <v>1047.6410000000001</v>
      </c>
      <c r="L58" s="19">
        <v>3241.4</v>
      </c>
      <c r="M58" s="91">
        <v>868.12199999999996</v>
      </c>
      <c r="N58" s="92">
        <v>876.99900000000002</v>
      </c>
      <c r="O58" s="92">
        <v>910.7</v>
      </c>
      <c r="P58" s="118">
        <v>1268.3</v>
      </c>
      <c r="Q58" s="18">
        <f>SUM(M58:P58)</f>
        <v>3924.1210000000001</v>
      </c>
      <c r="R58" s="91">
        <v>1073.7159999999999</v>
      </c>
      <c r="S58" s="92">
        <v>1069.2149999999999</v>
      </c>
      <c r="T58" s="92">
        <v>1131.2</v>
      </c>
      <c r="U58" s="112">
        <f>U47</f>
        <v>1542.2191593919258</v>
      </c>
      <c r="V58" s="17">
        <f>SUM(R58:U58)</f>
        <v>4816.3501593919254</v>
      </c>
      <c r="W58" s="79">
        <f ca="1">W47</f>
        <v>1219.710313794398</v>
      </c>
      <c r="X58" s="80">
        <f t="shared" ref="X58:Z58" ca="1" si="166">X47</f>
        <v>1205.3891420587242</v>
      </c>
      <c r="Y58" s="80">
        <f t="shared" ca="1" si="166"/>
        <v>1264.1617624285682</v>
      </c>
      <c r="Z58" s="112">
        <f t="shared" ca="1" si="166"/>
        <v>1708.1482729779586</v>
      </c>
      <c r="AA58" s="17">
        <f ca="1">SUM(W58:Z58)</f>
        <v>5397.4094912596483</v>
      </c>
      <c r="AB58" s="79">
        <f t="shared" ref="AB58:AE58" ca="1" si="167">AB47</f>
        <v>1339.1855908688267</v>
      </c>
      <c r="AC58" s="80">
        <f t="shared" ca="1" si="167"/>
        <v>1312.2222646156822</v>
      </c>
      <c r="AD58" s="80">
        <f t="shared" ca="1" si="167"/>
        <v>1364.2116728594676</v>
      </c>
      <c r="AE58" s="112">
        <f t="shared" ca="1" si="167"/>
        <v>1827.0774497485033</v>
      </c>
      <c r="AF58" s="17">
        <f ca="1">SUM(AB58:AE58)</f>
        <v>5842.6969780924801</v>
      </c>
    </row>
    <row r="59" spans="2:32" x14ac:dyDescent="0.25">
      <c r="B59" s="15" t="s">
        <v>42</v>
      </c>
      <c r="G59" s="19">
        <v>1729.325</v>
      </c>
      <c r="H59" s="19"/>
      <c r="I59" s="19"/>
      <c r="J59" s="19"/>
      <c r="K59" s="19">
        <v>697.904</v>
      </c>
      <c r="L59" s="19">
        <v>2104.5819999999999</v>
      </c>
      <c r="M59" s="91">
        <v>564.93799999999999</v>
      </c>
      <c r="N59" s="92">
        <v>570.524</v>
      </c>
      <c r="O59" s="92">
        <v>575.06200000000001</v>
      </c>
      <c r="P59" s="118">
        <v>829.25900000000001</v>
      </c>
      <c r="Q59" s="18">
        <f>SUM(M59:P59)</f>
        <v>2539.7829999999999</v>
      </c>
      <c r="R59" s="91">
        <v>683.28599999999994</v>
      </c>
      <c r="S59" s="92">
        <v>684.37699999999995</v>
      </c>
      <c r="T59" s="92">
        <v>704.17899999999997</v>
      </c>
      <c r="U59" s="112">
        <f>U58-U60</f>
        <v>987.02026201083254</v>
      </c>
      <c r="V59" s="17">
        <f t="shared" ref="V59:V67" si="168">SUM(R59:U59)</f>
        <v>3058.8622620108326</v>
      </c>
      <c r="W59" s="79">
        <f ca="1">W58-W60</f>
        <v>776.19312878947414</v>
      </c>
      <c r="X59" s="80">
        <f t="shared" ref="X59:Z59" ca="1" si="169">X58-X60</f>
        <v>771.53856322135721</v>
      </c>
      <c r="Y59" s="80">
        <f t="shared" ca="1" si="169"/>
        <v>786.94851989496692</v>
      </c>
      <c r="Z59" s="112">
        <f t="shared" ca="1" si="169"/>
        <v>1093.2148947058936</v>
      </c>
      <c r="AA59" s="17">
        <f t="shared" ref="AA59:AA67" ca="1" si="170">SUM(W59:Z59)</f>
        <v>3427.895106611692</v>
      </c>
      <c r="AB59" s="79">
        <f t="shared" ref="AB59" ca="1" si="171">AB58-AB60</f>
        <v>852.22420606789615</v>
      </c>
      <c r="AC59" s="80">
        <f t="shared" ref="AC59" ca="1" si="172">AC58-AC60</f>
        <v>839.91969509489365</v>
      </c>
      <c r="AD59" s="80">
        <f t="shared" ref="AD59" ca="1" si="173">AD58-AD60</f>
        <v>849.23020825893468</v>
      </c>
      <c r="AE59" s="112">
        <f t="shared" ref="AE59" ca="1" si="174">AE58-AE60</f>
        <v>1169.3295678390423</v>
      </c>
      <c r="AF59" s="17">
        <f t="shared" ref="AF59:AF67" ca="1" si="175">SUM(AB59:AE59)</f>
        <v>3710.7036772607671</v>
      </c>
    </row>
    <row r="60" spans="2:32" x14ac:dyDescent="0.25">
      <c r="B60" t="s">
        <v>43</v>
      </c>
      <c r="G60" s="18">
        <f t="shared" ref="G60:S60" si="176">G58-G59</f>
        <v>941.24799999999982</v>
      </c>
      <c r="H60" s="18">
        <f t="shared" si="176"/>
        <v>713.77</v>
      </c>
      <c r="I60" s="18">
        <f t="shared" si="176"/>
        <v>734.23599999999999</v>
      </c>
      <c r="J60" s="18">
        <f t="shared" si="176"/>
        <v>745.72199999999998</v>
      </c>
      <c r="K60" s="18">
        <f t="shared" si="176"/>
        <v>349.73700000000008</v>
      </c>
      <c r="L60" s="18">
        <f t="shared" si="176"/>
        <v>1136.8180000000002</v>
      </c>
      <c r="M60" s="93">
        <f t="shared" si="176"/>
        <v>303.18399999999997</v>
      </c>
      <c r="N60" s="94">
        <f t="shared" si="176"/>
        <v>306.47500000000002</v>
      </c>
      <c r="O60" s="94">
        <f t="shared" si="176"/>
        <v>335.63800000000003</v>
      </c>
      <c r="P60" s="119">
        <f t="shared" si="176"/>
        <v>439.04099999999994</v>
      </c>
      <c r="Q60" s="18">
        <f t="shared" si="176"/>
        <v>1384.3380000000002</v>
      </c>
      <c r="R60" s="93">
        <f t="shared" si="176"/>
        <v>390.42999999999995</v>
      </c>
      <c r="S60" s="94">
        <f t="shared" si="176"/>
        <v>384.83799999999997</v>
      </c>
      <c r="T60" s="94">
        <f>T58-T59</f>
        <v>427.02100000000007</v>
      </c>
      <c r="U60" s="140">
        <f>U58*U77</f>
        <v>555.19889738109327</v>
      </c>
      <c r="V60" s="17">
        <f t="shared" si="168"/>
        <v>1757.4878973810933</v>
      </c>
      <c r="W60" s="93">
        <f ca="1">W77*W58</f>
        <v>443.51718500492382</v>
      </c>
      <c r="X60" s="94">
        <f t="shared" ref="X60:AE60" ca="1" si="177">X77*X58</f>
        <v>433.85057883736698</v>
      </c>
      <c r="Y60" s="94">
        <f t="shared" ca="1" si="177"/>
        <v>477.21324253360126</v>
      </c>
      <c r="Z60" s="119">
        <f t="shared" ca="1" si="177"/>
        <v>614.93337827206506</v>
      </c>
      <c r="AA60" s="17">
        <f t="shared" ca="1" si="170"/>
        <v>1969.5143846479571</v>
      </c>
      <c r="AB60" s="93">
        <f t="shared" ca="1" si="177"/>
        <v>486.9613848009306</v>
      </c>
      <c r="AC60" s="94">
        <f t="shared" ca="1" si="177"/>
        <v>472.30256952078855</v>
      </c>
      <c r="AD60" s="94">
        <f t="shared" ca="1" si="177"/>
        <v>514.98146460053295</v>
      </c>
      <c r="AE60" s="119">
        <f t="shared" ca="1" si="177"/>
        <v>657.74788190946117</v>
      </c>
      <c r="AF60" s="17">
        <f t="shared" ca="1" si="175"/>
        <v>2131.9933008317134</v>
      </c>
    </row>
    <row r="61" spans="2:32" x14ac:dyDescent="0.25">
      <c r="B61" s="15" t="s">
        <v>44</v>
      </c>
      <c r="G61" s="19">
        <v>596.39</v>
      </c>
      <c r="H61" s="19"/>
      <c r="I61" s="19"/>
      <c r="J61" s="19"/>
      <c r="K61" s="19">
        <v>210.702</v>
      </c>
      <c r="L61" s="19">
        <v>712</v>
      </c>
      <c r="M61" s="91">
        <v>192.48500000000001</v>
      </c>
      <c r="N61" s="92">
        <v>183.93700000000001</v>
      </c>
      <c r="O61" s="92">
        <v>218.76300000000001</v>
      </c>
      <c r="P61" s="118">
        <v>268.16899999999998</v>
      </c>
      <c r="Q61" s="18">
        <f>SUM(M61:P61)</f>
        <v>863.35400000000004</v>
      </c>
      <c r="R61" s="91">
        <v>240.72399999999999</v>
      </c>
      <c r="S61" s="92">
        <v>236.38</v>
      </c>
      <c r="T61" s="92">
        <v>280.464</v>
      </c>
      <c r="U61" s="141">
        <f>U58*U85</f>
        <v>339.2882150662237</v>
      </c>
      <c r="V61" s="17">
        <f t="shared" si="168"/>
        <v>1096.8562150662237</v>
      </c>
      <c r="W61" s="152">
        <f t="shared" ref="W61:Z61" ca="1" si="178">W58*W85</f>
        <v>273.45549994397277</v>
      </c>
      <c r="X61" s="132">
        <f t="shared" ca="1" si="178"/>
        <v>266.48511796022433</v>
      </c>
      <c r="Y61" s="132">
        <f t="shared" ca="1" si="178"/>
        <v>313.42986610481432</v>
      </c>
      <c r="Z61" s="141">
        <f t="shared" ca="1" si="178"/>
        <v>375.79262005515091</v>
      </c>
      <c r="AA61" s="17">
        <f t="shared" ca="1" si="170"/>
        <v>1229.1631040641623</v>
      </c>
      <c r="AB61" s="152">
        <f t="shared" ref="AB61:AE61" ca="1" si="179">AB58*AB85</f>
        <v>300.241509092076</v>
      </c>
      <c r="AC61" s="132">
        <f t="shared" ca="1" si="179"/>
        <v>290.103579644744</v>
      </c>
      <c r="AD61" s="132">
        <f t="shared" ca="1" si="179"/>
        <v>338.23573427940039</v>
      </c>
      <c r="AE61" s="141">
        <f t="shared" ca="1" si="179"/>
        <v>401.95703894467073</v>
      </c>
      <c r="AF61" s="17">
        <f t="shared" ca="1" si="175"/>
        <v>1330.5378619608912</v>
      </c>
    </row>
    <row r="62" spans="2:32" x14ac:dyDescent="0.25">
      <c r="B62" s="15" t="s">
        <v>45</v>
      </c>
      <c r="G62" s="19">
        <v>17.27</v>
      </c>
      <c r="H62" s="19"/>
      <c r="I62" s="19"/>
      <c r="J62" s="19"/>
      <c r="K62" s="19">
        <v>1.5680000000000001</v>
      </c>
      <c r="L62" s="19">
        <v>14.366</v>
      </c>
      <c r="M62" s="91">
        <v>3.117</v>
      </c>
      <c r="N62" s="92">
        <v>4.0780000000000003</v>
      </c>
      <c r="O62" s="92">
        <v>6.1059999999999999</v>
      </c>
      <c r="P62" s="118">
        <v>1.381</v>
      </c>
      <c r="Q62" s="18">
        <f>SUM(M62:P62)</f>
        <v>14.682</v>
      </c>
      <c r="R62" s="91">
        <v>2.5419999999999998</v>
      </c>
      <c r="S62" s="92">
        <v>4.6890000000000001</v>
      </c>
      <c r="T62" s="92">
        <v>6.9279999999999999</v>
      </c>
      <c r="U62" s="141">
        <f>U58*U86</f>
        <v>3.0844383187838518</v>
      </c>
      <c r="V62" s="17">
        <f t="shared" si="168"/>
        <v>17.243438318783852</v>
      </c>
      <c r="W62" s="152">
        <f t="shared" ref="W62:Z62" ca="1" si="180">W58*W86</f>
        <v>2.8876384608829149</v>
      </c>
      <c r="X62" s="132">
        <f t="shared" ca="1" si="180"/>
        <v>5.2861863022061586</v>
      </c>
      <c r="Y62" s="132">
        <f t="shared" ca="1" si="180"/>
        <v>7.7423202706021215</v>
      </c>
      <c r="Z62" s="141">
        <f t="shared" ca="1" si="180"/>
        <v>3.4162965459559174</v>
      </c>
      <c r="AA62" s="17">
        <f t="shared" ca="1" si="170"/>
        <v>19.33244157964711</v>
      </c>
      <c r="AB62" s="152">
        <f t="shared" ref="AB62:AE62" ca="1" si="181">AB58*AB86</f>
        <v>3.1704936612554508</v>
      </c>
      <c r="AC62" s="132">
        <f t="shared" ca="1" si="181"/>
        <v>5.7546987264328822</v>
      </c>
      <c r="AD62" s="132">
        <f t="shared" ca="1" si="181"/>
        <v>8.355072904499993</v>
      </c>
      <c r="AE62" s="141">
        <f t="shared" ca="1" si="181"/>
        <v>3.6541548994970068</v>
      </c>
      <c r="AF62" s="17">
        <f t="shared" ca="1" si="175"/>
        <v>20.934420191685334</v>
      </c>
    </row>
    <row r="63" spans="2:32" x14ac:dyDescent="0.25">
      <c r="B63" t="s">
        <v>46</v>
      </c>
      <c r="G63" s="18">
        <f>G60-G61-G62</f>
        <v>327.58799999999985</v>
      </c>
      <c r="H63" s="18">
        <f t="shared" ref="H63:AE63" si="182">H60-H61-H62</f>
        <v>713.77</v>
      </c>
      <c r="I63" s="18">
        <f t="shared" si="182"/>
        <v>734.23599999999999</v>
      </c>
      <c r="J63" s="18">
        <f t="shared" si="182"/>
        <v>745.72199999999998</v>
      </c>
      <c r="K63" s="18">
        <f t="shared" si="182"/>
        <v>137.46700000000007</v>
      </c>
      <c r="L63" s="18">
        <f t="shared" si="182"/>
        <v>410.45200000000023</v>
      </c>
      <c r="M63" s="93">
        <f t="shared" si="182"/>
        <v>107.58199999999995</v>
      </c>
      <c r="N63" s="94">
        <f t="shared" si="182"/>
        <v>118.46000000000001</v>
      </c>
      <c r="O63" s="94">
        <f t="shared" si="182"/>
        <v>110.76900000000003</v>
      </c>
      <c r="P63" s="119">
        <f t="shared" si="182"/>
        <v>169.49099999999996</v>
      </c>
      <c r="Q63" s="18">
        <f t="shared" si="182"/>
        <v>506.30200000000013</v>
      </c>
      <c r="R63" s="93">
        <f t="shared" si="182"/>
        <v>147.16399999999996</v>
      </c>
      <c r="S63" s="94">
        <f t="shared" si="182"/>
        <v>143.76899999999998</v>
      </c>
      <c r="T63" s="94">
        <f t="shared" si="182"/>
        <v>139.62900000000008</v>
      </c>
      <c r="U63" s="119">
        <f t="shared" si="182"/>
        <v>212.82624399608574</v>
      </c>
      <c r="V63" s="17">
        <f t="shared" si="168"/>
        <v>643.38824399608575</v>
      </c>
      <c r="W63" s="93">
        <f t="shared" ca="1" si="182"/>
        <v>167.17404660006812</v>
      </c>
      <c r="X63" s="94">
        <f t="shared" ca="1" si="182"/>
        <v>162.07927457493651</v>
      </c>
      <c r="Y63" s="94">
        <f t="shared" ca="1" si="182"/>
        <v>156.0410561581848</v>
      </c>
      <c r="Z63" s="119">
        <f t="shared" ca="1" si="182"/>
        <v>235.72446167095822</v>
      </c>
      <c r="AA63" s="17">
        <f t="shared" ca="1" si="170"/>
        <v>721.01883900414771</v>
      </c>
      <c r="AB63" s="93">
        <f t="shared" ca="1" si="182"/>
        <v>183.54938204759915</v>
      </c>
      <c r="AC63" s="94">
        <f t="shared" ca="1" si="182"/>
        <v>176.44429114961167</v>
      </c>
      <c r="AD63" s="94">
        <f t="shared" ca="1" si="182"/>
        <v>168.39065741663256</v>
      </c>
      <c r="AE63" s="119">
        <f t="shared" ca="1" si="182"/>
        <v>252.13668806529344</v>
      </c>
      <c r="AF63" s="17">
        <f t="shared" ca="1" si="175"/>
        <v>780.52101867913677</v>
      </c>
    </row>
    <row r="64" spans="2:32" x14ac:dyDescent="0.25">
      <c r="B64" s="15" t="s">
        <v>47</v>
      </c>
      <c r="G64" s="19">
        <v>-0.11799999999999999</v>
      </c>
      <c r="H64" s="19"/>
      <c r="I64" s="19"/>
      <c r="J64" s="19"/>
      <c r="K64" s="19">
        <v>-0.23100000000000001</v>
      </c>
      <c r="L64" s="19">
        <v>-0.89400000000000002</v>
      </c>
      <c r="M64" s="91">
        <v>-0.311</v>
      </c>
      <c r="N64" s="92">
        <v>-0.27600000000000002</v>
      </c>
      <c r="O64" s="92">
        <v>-0.28299999999999997</v>
      </c>
      <c r="P64" s="118">
        <v>-0.27300000000000002</v>
      </c>
      <c r="Q64" s="18">
        <f>SUM(M64:P64)</f>
        <v>-1.1429999999999998</v>
      </c>
      <c r="R64" s="91">
        <v>-0.315</v>
      </c>
      <c r="S64" s="92">
        <v>-0.248</v>
      </c>
      <c r="T64" s="92">
        <v>-0.21099999999999999</v>
      </c>
      <c r="U64" s="119">
        <f>T64</f>
        <v>-0.21099999999999999</v>
      </c>
      <c r="V64" s="17">
        <f t="shared" si="168"/>
        <v>-0.98499999999999988</v>
      </c>
      <c r="W64" s="93">
        <f>R64</f>
        <v>-0.315</v>
      </c>
      <c r="X64" s="94">
        <f t="shared" ref="X64:Z64" si="183">S64</f>
        <v>-0.248</v>
      </c>
      <c r="Y64" s="94">
        <f t="shared" si="183"/>
        <v>-0.21099999999999999</v>
      </c>
      <c r="Z64" s="119">
        <f t="shared" si="183"/>
        <v>-0.21099999999999999</v>
      </c>
      <c r="AA64" s="17">
        <f t="shared" si="170"/>
        <v>-0.98499999999999988</v>
      </c>
      <c r="AB64" s="93">
        <f>W64</f>
        <v>-0.315</v>
      </c>
      <c r="AC64" s="94">
        <f t="shared" ref="AC64" si="184">X64</f>
        <v>-0.248</v>
      </c>
      <c r="AD64" s="94">
        <f t="shared" ref="AD64" si="185">Y64</f>
        <v>-0.21099999999999999</v>
      </c>
      <c r="AE64" s="119">
        <f t="shared" ref="AE64" si="186">Z64</f>
        <v>-0.21099999999999999</v>
      </c>
      <c r="AF64" s="17">
        <f t="shared" si="175"/>
        <v>-0.98499999999999988</v>
      </c>
    </row>
    <row r="65" spans="2:32" x14ac:dyDescent="0.25">
      <c r="B65" t="s">
        <v>48</v>
      </c>
      <c r="G65" s="18">
        <f>G63-G64</f>
        <v>327.70599999999985</v>
      </c>
      <c r="H65" s="18">
        <f t="shared" ref="H65:AE65" si="187">H63-H64</f>
        <v>713.77</v>
      </c>
      <c r="I65" s="18">
        <f t="shared" si="187"/>
        <v>734.23599999999999</v>
      </c>
      <c r="J65" s="18">
        <f t="shared" si="187"/>
        <v>745.72199999999998</v>
      </c>
      <c r="K65" s="18">
        <f t="shared" si="187"/>
        <v>137.69800000000006</v>
      </c>
      <c r="L65" s="18">
        <f t="shared" si="187"/>
        <v>411.34600000000023</v>
      </c>
      <c r="M65" s="93">
        <f t="shared" si="187"/>
        <v>107.89299999999996</v>
      </c>
      <c r="N65" s="94">
        <f t="shared" si="187"/>
        <v>118.736</v>
      </c>
      <c r="O65" s="94">
        <f t="shared" si="187"/>
        <v>111.05200000000004</v>
      </c>
      <c r="P65" s="119">
        <f t="shared" si="187"/>
        <v>169.76399999999995</v>
      </c>
      <c r="Q65" s="18">
        <f t="shared" si="187"/>
        <v>507.44500000000011</v>
      </c>
      <c r="R65" s="93">
        <f t="shared" si="187"/>
        <v>147.47899999999996</v>
      </c>
      <c r="S65" s="94">
        <f t="shared" si="187"/>
        <v>144.01699999999997</v>
      </c>
      <c r="T65" s="94">
        <f t="shared" si="187"/>
        <v>139.84000000000009</v>
      </c>
      <c r="U65" s="119">
        <f t="shared" si="187"/>
        <v>213.03724399608575</v>
      </c>
      <c r="V65" s="17">
        <f t="shared" si="168"/>
        <v>644.37324399608576</v>
      </c>
      <c r="W65" s="93">
        <f t="shared" ca="1" si="187"/>
        <v>167.48904660006812</v>
      </c>
      <c r="X65" s="94">
        <f t="shared" ca="1" si="187"/>
        <v>162.3272745749365</v>
      </c>
      <c r="Y65" s="94">
        <f t="shared" ca="1" si="187"/>
        <v>156.25205615818481</v>
      </c>
      <c r="Z65" s="119">
        <f t="shared" ca="1" si="187"/>
        <v>235.93546167095823</v>
      </c>
      <c r="AA65" s="17">
        <f t="shared" ca="1" si="170"/>
        <v>722.00383900414772</v>
      </c>
      <c r="AB65" s="93">
        <f t="shared" ca="1" si="187"/>
        <v>183.86438204759915</v>
      </c>
      <c r="AC65" s="94">
        <f t="shared" ca="1" si="187"/>
        <v>176.69229114961166</v>
      </c>
      <c r="AD65" s="94">
        <f t="shared" ca="1" si="187"/>
        <v>168.60165741663258</v>
      </c>
      <c r="AE65" s="119">
        <f t="shared" ca="1" si="187"/>
        <v>252.34768806529345</v>
      </c>
      <c r="AF65" s="17">
        <f t="shared" ca="1" si="175"/>
        <v>781.5060186791369</v>
      </c>
    </row>
    <row r="66" spans="2:32" x14ac:dyDescent="0.25">
      <c r="B66" s="15" t="s">
        <v>49</v>
      </c>
      <c r="G66" s="19">
        <v>124.857</v>
      </c>
      <c r="H66" s="19"/>
      <c r="I66" s="19"/>
      <c r="J66" s="19"/>
      <c r="K66" s="19">
        <v>50.433999999999997</v>
      </c>
      <c r="L66" s="19">
        <v>154.14699999999999</v>
      </c>
      <c r="M66" s="91">
        <v>40.947000000000003</v>
      </c>
      <c r="N66" s="92">
        <v>44.567</v>
      </c>
      <c r="O66" s="92">
        <v>39.981999999999999</v>
      </c>
      <c r="P66" s="118">
        <v>61.936</v>
      </c>
      <c r="Q66" s="18">
        <f>SUM(M66:P66)</f>
        <v>187.43200000000002</v>
      </c>
      <c r="R66" s="91">
        <v>55.503</v>
      </c>
      <c r="S66" s="92">
        <v>54.012999999999998</v>
      </c>
      <c r="T66" s="92">
        <v>52.31</v>
      </c>
      <c r="U66" s="140">
        <f>U65*U90</f>
        <v>78.823780278551723</v>
      </c>
      <c r="V66" s="17">
        <f t="shared" si="168"/>
        <v>240.6497802785517</v>
      </c>
      <c r="W66" s="153">
        <f t="shared" ref="W66:Z66" ca="1" si="188">W65*W90</f>
        <v>61.970947242025204</v>
      </c>
      <c r="X66" s="131">
        <f t="shared" ca="1" si="188"/>
        <v>60.061091592726505</v>
      </c>
      <c r="Y66" s="131">
        <f t="shared" ca="1" si="188"/>
        <v>57.813260778528381</v>
      </c>
      <c r="Z66" s="140">
        <f t="shared" ca="1" si="188"/>
        <v>87.29612081825455</v>
      </c>
      <c r="AA66" s="17">
        <f t="shared" ca="1" si="170"/>
        <v>267.14142043153464</v>
      </c>
      <c r="AB66" s="153">
        <f t="shared" ref="AB66:AE66" ca="1" si="189">AB65*AB90</f>
        <v>68.029821357611681</v>
      </c>
      <c r="AC66" s="131">
        <f t="shared" ca="1" si="189"/>
        <v>65.376147725356319</v>
      </c>
      <c r="AD66" s="131">
        <f t="shared" ca="1" si="189"/>
        <v>62.382613244154051</v>
      </c>
      <c r="AE66" s="140">
        <f t="shared" ca="1" si="189"/>
        <v>93.368644584158574</v>
      </c>
      <c r="AF66" s="17">
        <f t="shared" ca="1" si="175"/>
        <v>289.15722691128065</v>
      </c>
    </row>
    <row r="67" spans="2:32" x14ac:dyDescent="0.25">
      <c r="B67" t="s">
        <v>50</v>
      </c>
      <c r="G67" s="18">
        <f>G65-G66</f>
        <v>202.84899999999985</v>
      </c>
      <c r="H67" s="18">
        <f t="shared" ref="H67:AE67" si="190">H65-H66</f>
        <v>713.77</v>
      </c>
      <c r="I67" s="18">
        <f t="shared" si="190"/>
        <v>734.23599999999999</v>
      </c>
      <c r="J67" s="18">
        <f t="shared" si="190"/>
        <v>745.72199999999998</v>
      </c>
      <c r="K67" s="18">
        <f t="shared" si="190"/>
        <v>87.264000000000067</v>
      </c>
      <c r="L67" s="18">
        <f t="shared" si="190"/>
        <v>257.19900000000024</v>
      </c>
      <c r="M67" s="93">
        <f t="shared" si="190"/>
        <v>66.945999999999955</v>
      </c>
      <c r="N67" s="94">
        <f t="shared" si="190"/>
        <v>74.169000000000011</v>
      </c>
      <c r="O67" s="94">
        <f t="shared" si="190"/>
        <v>71.070000000000036</v>
      </c>
      <c r="P67" s="119">
        <f t="shared" si="190"/>
        <v>107.82799999999995</v>
      </c>
      <c r="Q67" s="18">
        <f t="shared" si="190"/>
        <v>320.01300000000009</v>
      </c>
      <c r="R67" s="93">
        <f t="shared" si="190"/>
        <v>91.975999999999956</v>
      </c>
      <c r="S67" s="94">
        <f t="shared" si="190"/>
        <v>90.003999999999962</v>
      </c>
      <c r="T67" s="94">
        <f t="shared" si="190"/>
        <v>87.530000000000086</v>
      </c>
      <c r="U67" s="119">
        <f t="shared" si="190"/>
        <v>134.21346371753401</v>
      </c>
      <c r="V67" s="17">
        <f t="shared" si="168"/>
        <v>403.723463717534</v>
      </c>
      <c r="W67" s="93">
        <f t="shared" ca="1" si="190"/>
        <v>105.51809935804292</v>
      </c>
      <c r="X67" s="94">
        <f t="shared" ca="1" si="190"/>
        <v>102.26618298220998</v>
      </c>
      <c r="Y67" s="94">
        <f t="shared" ca="1" si="190"/>
        <v>98.438795379656426</v>
      </c>
      <c r="Z67" s="119">
        <f t="shared" ca="1" si="190"/>
        <v>148.6393408527037</v>
      </c>
      <c r="AA67" s="17">
        <f t="shared" ca="1" si="170"/>
        <v>454.86241857261302</v>
      </c>
      <c r="AB67" s="93">
        <f t="shared" ca="1" si="190"/>
        <v>115.83456068998747</v>
      </c>
      <c r="AC67" s="94">
        <f t="shared" ca="1" si="190"/>
        <v>111.31614342425534</v>
      </c>
      <c r="AD67" s="94">
        <f t="shared" ca="1" si="190"/>
        <v>106.21904417247853</v>
      </c>
      <c r="AE67" s="119">
        <f t="shared" ca="1" si="190"/>
        <v>158.97904348113488</v>
      </c>
      <c r="AF67" s="17">
        <f t="shared" ca="1" si="175"/>
        <v>492.34879176785626</v>
      </c>
    </row>
    <row r="68" spans="2:32" x14ac:dyDescent="0.25">
      <c r="B68" s="22" t="s">
        <v>51</v>
      </c>
      <c r="G68" s="19">
        <v>64.460999999999999</v>
      </c>
      <c r="H68" s="19"/>
      <c r="I68" s="19"/>
      <c r="J68" s="19"/>
      <c r="K68" s="19">
        <v>64.656999999999996</v>
      </c>
      <c r="L68" s="19">
        <v>64.650999999999996</v>
      </c>
      <c r="M68" s="91">
        <v>64.555000000000007</v>
      </c>
      <c r="N68" s="92">
        <v>64.41</v>
      </c>
      <c r="O68" s="92">
        <v>64.195999999999998</v>
      </c>
      <c r="P68" s="118">
        <v>63.966999999999999</v>
      </c>
      <c r="Q68" s="17">
        <f>AVERAGE(M68:P68)</f>
        <v>64.281999999999996</v>
      </c>
      <c r="R68" s="91">
        <v>63.335000000000001</v>
      </c>
      <c r="S68" s="92">
        <v>62.813000000000002</v>
      </c>
      <c r="T68" s="92">
        <v>62.692</v>
      </c>
      <c r="U68" s="112">
        <f>T68</f>
        <v>62.692</v>
      </c>
      <c r="V68" s="17">
        <f>AVERAGE(R68:U68)</f>
        <v>62.883000000000003</v>
      </c>
      <c r="W68" s="79">
        <f>U68</f>
        <v>62.692</v>
      </c>
      <c r="X68" s="80">
        <f>W68</f>
        <v>62.692</v>
      </c>
      <c r="Y68" s="80">
        <f>X68</f>
        <v>62.692</v>
      </c>
      <c r="Z68" s="112">
        <f>Y68</f>
        <v>62.692</v>
      </c>
      <c r="AA68" s="17">
        <f>AVERAGE(W68:Z68)</f>
        <v>62.692</v>
      </c>
      <c r="AB68" s="79">
        <f>AA68</f>
        <v>62.692</v>
      </c>
      <c r="AC68" s="80">
        <f>AB68</f>
        <v>62.692</v>
      </c>
      <c r="AD68" s="80">
        <f>AC68</f>
        <v>62.692</v>
      </c>
      <c r="AE68" s="112">
        <f>AD68</f>
        <v>62.692</v>
      </c>
      <c r="AF68" s="17">
        <f>AVERAGE(AB68:AE68)</f>
        <v>62.692</v>
      </c>
    </row>
    <row r="69" spans="2:32" s="47" customFormat="1" x14ac:dyDescent="0.25">
      <c r="B69" s="47" t="s">
        <v>41</v>
      </c>
      <c r="G69" s="48">
        <f>G67/G68</f>
        <v>3.1468484820278904</v>
      </c>
      <c r="H69" s="48"/>
      <c r="I69" s="48"/>
      <c r="J69" s="48"/>
      <c r="K69" s="48">
        <f t="shared" ref="K69:P69" si="191">K67/K68</f>
        <v>1.3496450500332535</v>
      </c>
      <c r="L69" s="48">
        <f t="shared" si="191"/>
        <v>3.9782679308904774</v>
      </c>
      <c r="M69" s="101">
        <f t="shared" si="191"/>
        <v>1.0370381844938417</v>
      </c>
      <c r="N69" s="102">
        <f t="shared" si="191"/>
        <v>1.1515137401024689</v>
      </c>
      <c r="O69" s="102">
        <f t="shared" si="191"/>
        <v>1.107078322636925</v>
      </c>
      <c r="P69" s="123">
        <f t="shared" si="191"/>
        <v>1.6856816796160512</v>
      </c>
      <c r="Q69" s="48">
        <f>SUM(M69:P69)</f>
        <v>4.9813119268492869</v>
      </c>
      <c r="R69" s="101">
        <f>R67/R68</f>
        <v>1.45221441541012</v>
      </c>
      <c r="S69" s="102">
        <f>S67/S68</f>
        <v>1.4328880964131623</v>
      </c>
      <c r="T69" s="102">
        <f>T67/T68</f>
        <v>1.3961909015504383</v>
      </c>
      <c r="U69" s="123">
        <f>U67/U68</f>
        <v>2.1408387628012187</v>
      </c>
      <c r="V69" s="49">
        <f>SUM(R69:U69)</f>
        <v>6.422132176174939</v>
      </c>
      <c r="W69" s="101">
        <f t="shared" ref="W69:Z69" ca="1" si="192">W67/W68</f>
        <v>1.6831190480131901</v>
      </c>
      <c r="X69" s="102">
        <f t="shared" ca="1" si="192"/>
        <v>1.6312477346744398</v>
      </c>
      <c r="Y69" s="102">
        <f t="shared" ca="1" si="192"/>
        <v>1.5701970806427683</v>
      </c>
      <c r="Z69" s="123">
        <f t="shared" ca="1" si="192"/>
        <v>2.3709459078144532</v>
      </c>
      <c r="AA69" s="49">
        <f ca="1">SUM(W69:Z69)</f>
        <v>7.2555097711448511</v>
      </c>
      <c r="AB69" s="101">
        <f t="shared" ref="AB69" ca="1" si="193">AB67/AB68</f>
        <v>1.8476769075797146</v>
      </c>
      <c r="AC69" s="102">
        <f t="shared" ref="AC69" ca="1" si="194">AC67/AC68</f>
        <v>1.7756036404047622</v>
      </c>
      <c r="AD69" s="102">
        <f t="shared" ref="AD69" ca="1" si="195">AD67/AD68</f>
        <v>1.6942998177196218</v>
      </c>
      <c r="AE69" s="123">
        <f t="shared" ref="AE69" ca="1" si="196">AE67/AE68</f>
        <v>2.5358744892671297</v>
      </c>
      <c r="AF69" s="49">
        <f ca="1">SUM(AB69:AE69)</f>
        <v>7.8534548549712282</v>
      </c>
    </row>
    <row r="70" spans="2:32" x14ac:dyDescent="0.25">
      <c r="B70" s="5"/>
      <c r="C70" s="5"/>
      <c r="D70" s="5"/>
      <c r="E70" s="5"/>
      <c r="F70" s="5"/>
      <c r="G70" s="77"/>
      <c r="H70" s="77"/>
      <c r="I70" s="77"/>
      <c r="J70" s="77"/>
      <c r="K70" s="77"/>
      <c r="L70" s="77"/>
      <c r="M70" s="103"/>
      <c r="N70" s="77"/>
      <c r="O70" s="77"/>
      <c r="P70" s="124"/>
      <c r="Q70" s="77"/>
      <c r="R70" s="103"/>
      <c r="S70" s="77"/>
      <c r="T70" s="77"/>
      <c r="U70" s="142"/>
      <c r="V70" s="78"/>
      <c r="W70" s="154"/>
      <c r="X70" s="78"/>
      <c r="Y70" s="78"/>
      <c r="Z70" s="142"/>
      <c r="AA70" s="78"/>
      <c r="AB70" s="154"/>
      <c r="AC70" s="78"/>
      <c r="AD70" s="78"/>
      <c r="AE70" s="142"/>
      <c r="AF70" s="78"/>
    </row>
    <row r="71" spans="2:32" x14ac:dyDescent="0.25">
      <c r="G71" s="19"/>
      <c r="H71" s="19"/>
      <c r="I71" s="19"/>
      <c r="J71" s="19"/>
      <c r="K71" s="19"/>
      <c r="L71" s="19"/>
      <c r="M71" s="91"/>
      <c r="N71" s="92"/>
      <c r="O71" s="92"/>
      <c r="P71" s="118"/>
      <c r="Q71" s="19"/>
      <c r="R71" s="91"/>
      <c r="S71" s="92"/>
      <c r="T71" s="92"/>
      <c r="U71" s="112"/>
      <c r="V71" s="17"/>
      <c r="W71" s="79"/>
      <c r="X71" s="80"/>
      <c r="Y71" s="80"/>
      <c r="Z71" s="112"/>
      <c r="AA71" s="17"/>
      <c r="AB71" s="79"/>
      <c r="AC71" s="80"/>
      <c r="AD71" s="80"/>
      <c r="AE71" s="112"/>
      <c r="AF71" s="17"/>
    </row>
    <row r="72" spans="2:32" x14ac:dyDescent="0.25">
      <c r="B72" s="190" t="s">
        <v>103</v>
      </c>
      <c r="C72" s="190"/>
      <c r="D72" s="190"/>
      <c r="E72" s="190"/>
      <c r="F72" s="190"/>
      <c r="G72" s="191">
        <f t="shared" ref="G72:AF72" si="197">G63+G143</f>
        <v>433.87099999999987</v>
      </c>
      <c r="H72" s="191">
        <f t="shared" si="197"/>
        <v>713.77</v>
      </c>
      <c r="I72" s="191">
        <f t="shared" si="197"/>
        <v>734.23599999999999</v>
      </c>
      <c r="J72" s="191">
        <f t="shared" si="197"/>
        <v>745.72199999999998</v>
      </c>
      <c r="K72" s="191">
        <f t="shared" si="197"/>
        <v>137.46700000000007</v>
      </c>
      <c r="L72" s="191">
        <f t="shared" si="197"/>
        <v>542.21600000000024</v>
      </c>
      <c r="M72" s="192">
        <f t="shared" si="197"/>
        <v>145.54899999999995</v>
      </c>
      <c r="N72" s="193">
        <f t="shared" si="197"/>
        <v>157.23099999999999</v>
      </c>
      <c r="O72" s="193">
        <f t="shared" si="197"/>
        <v>153.08200000000005</v>
      </c>
      <c r="P72" s="194">
        <f t="shared" si="197"/>
        <v>215.48899999999998</v>
      </c>
      <c r="Q72" s="191">
        <f t="shared" si="197"/>
        <v>671.35100000000011</v>
      </c>
      <c r="R72" s="192">
        <f t="shared" si="197"/>
        <v>195.05099999999996</v>
      </c>
      <c r="S72" s="193">
        <f t="shared" si="197"/>
        <v>193.43399999999997</v>
      </c>
      <c r="T72" s="193">
        <f t="shared" si="197"/>
        <v>193.09100000000007</v>
      </c>
      <c r="U72" s="194">
        <f t="shared" si="197"/>
        <v>268.75859193719572</v>
      </c>
      <c r="V72" s="191">
        <f t="shared" si="197"/>
        <v>850.3345919371958</v>
      </c>
      <c r="W72" s="192">
        <f t="shared" ca="1" si="197"/>
        <v>221.57229324692105</v>
      </c>
      <c r="X72" s="193">
        <f t="shared" ca="1" si="197"/>
        <v>218.06955879312139</v>
      </c>
      <c r="Y72" s="193">
        <f t="shared" ca="1" si="197"/>
        <v>215.78700395075563</v>
      </c>
      <c r="Z72" s="194">
        <f t="shared" ca="1" si="197"/>
        <v>297.6746345483848</v>
      </c>
      <c r="AA72" s="191">
        <f t="shared" ca="1" si="197"/>
        <v>953.10349053918299</v>
      </c>
      <c r="AB72" s="192">
        <f t="shared" ca="1" si="197"/>
        <v>243.27614442231976</v>
      </c>
      <c r="AC72" s="193">
        <f t="shared" ca="1" si="197"/>
        <v>237.39697023860487</v>
      </c>
      <c r="AD72" s="193">
        <f t="shared" ca="1" si="197"/>
        <v>232.86509558354635</v>
      </c>
      <c r="AE72" s="194">
        <f t="shared" ca="1" si="197"/>
        <v>318.4001182738653</v>
      </c>
      <c r="AF72" s="191">
        <f t="shared" ca="1" si="197"/>
        <v>1031.9383285183362</v>
      </c>
    </row>
    <row r="73" spans="2:32" x14ac:dyDescent="0.25">
      <c r="B73" s="190" t="s">
        <v>104</v>
      </c>
      <c r="C73" s="190"/>
      <c r="D73" s="190"/>
      <c r="E73" s="190"/>
      <c r="F73" s="190"/>
      <c r="G73" s="191">
        <f>G159+G161</f>
        <v>83.107999999999834</v>
      </c>
      <c r="H73" s="191">
        <f t="shared" ref="H73:AF73" si="198">H159+H161</f>
        <v>713.77</v>
      </c>
      <c r="I73" s="191">
        <f t="shared" si="198"/>
        <v>734.23599999999999</v>
      </c>
      <c r="J73" s="191">
        <f t="shared" si="198"/>
        <v>745.72199999999998</v>
      </c>
      <c r="K73" s="191">
        <f t="shared" si="198"/>
        <v>87.264000000000067</v>
      </c>
      <c r="L73" s="191">
        <f t="shared" si="198"/>
        <v>147.58900000000023</v>
      </c>
      <c r="M73" s="192">
        <f t="shared" si="198"/>
        <v>11.671999999999954</v>
      </c>
      <c r="N73" s="193">
        <f t="shared" si="198"/>
        <v>250.51999999999995</v>
      </c>
      <c r="O73" s="193">
        <f t="shared" si="198"/>
        <v>-345.12799999999987</v>
      </c>
      <c r="P73" s="194">
        <f t="shared" si="198"/>
        <v>159.64999999999998</v>
      </c>
      <c r="Q73" s="191">
        <f t="shared" si="198"/>
        <v>76.71200000000016</v>
      </c>
      <c r="R73" s="192">
        <f t="shared" si="198"/>
        <v>112.60799999999992</v>
      </c>
      <c r="S73" s="193">
        <f t="shared" si="198"/>
        <v>-42.577999999999989</v>
      </c>
      <c r="T73" s="193">
        <f t="shared" si="198"/>
        <v>-28.214999999999947</v>
      </c>
      <c r="U73" s="194">
        <f t="shared" si="198"/>
        <v>121.11385823323374</v>
      </c>
      <c r="V73" s="191">
        <f t="shared" si="198"/>
        <v>162.92885823323377</v>
      </c>
      <c r="W73" s="192">
        <f t="shared" ca="1" si="198"/>
        <v>113.72784372951426</v>
      </c>
      <c r="X73" s="193">
        <f t="shared" ca="1" si="198"/>
        <v>12.059778678600935</v>
      </c>
      <c r="Y73" s="193">
        <f t="shared" ca="1" si="198"/>
        <v>-29.962931896885465</v>
      </c>
      <c r="Z73" s="194">
        <f t="shared" ca="1" si="198"/>
        <v>136.60054856301127</v>
      </c>
      <c r="AA73" s="191">
        <f t="shared" ca="1" si="198"/>
        <v>232.42523907424101</v>
      </c>
      <c r="AB73" s="192">
        <f t="shared" ca="1" si="198"/>
        <v>127.02811537906176</v>
      </c>
      <c r="AC73" s="193">
        <f t="shared" ca="1" si="198"/>
        <v>14.866162517066101</v>
      </c>
      <c r="AD73" s="193">
        <f t="shared" ca="1" si="198"/>
        <v>-29.941397169801718</v>
      </c>
      <c r="AE73" s="194">
        <f t="shared" ca="1" si="198"/>
        <v>148.84289048703096</v>
      </c>
      <c r="AF73" s="191">
        <f t="shared" ca="1" si="198"/>
        <v>260.79577121335706</v>
      </c>
    </row>
    <row r="74" spans="2:32" s="32" customFormat="1" x14ac:dyDescent="0.25">
      <c r="B74" s="195" t="s">
        <v>105</v>
      </c>
      <c r="C74" s="196"/>
      <c r="D74" s="196"/>
      <c r="E74" s="196"/>
      <c r="F74" s="196"/>
      <c r="G74" s="196">
        <f>G73/G68</f>
        <v>1.2892756860737475</v>
      </c>
      <c r="H74" s="196" t="e">
        <f t="shared" ref="H74:AF74" si="199">H73/H68</f>
        <v>#DIV/0!</v>
      </c>
      <c r="I74" s="196" t="e">
        <f t="shared" si="199"/>
        <v>#DIV/0!</v>
      </c>
      <c r="J74" s="196" t="e">
        <f t="shared" si="199"/>
        <v>#DIV/0!</v>
      </c>
      <c r="K74" s="196">
        <f t="shared" si="199"/>
        <v>1.3496450500332535</v>
      </c>
      <c r="L74" s="196">
        <f t="shared" si="199"/>
        <v>2.2828571870504746</v>
      </c>
      <c r="M74" s="197">
        <f t="shared" si="199"/>
        <v>0.18080706374409347</v>
      </c>
      <c r="N74" s="198">
        <f t="shared" si="199"/>
        <v>3.8894581586710135</v>
      </c>
      <c r="O74" s="198">
        <f t="shared" si="199"/>
        <v>-5.3761605084428918</v>
      </c>
      <c r="P74" s="199">
        <f t="shared" si="199"/>
        <v>2.4958181562368091</v>
      </c>
      <c r="Q74" s="196">
        <f t="shared" si="199"/>
        <v>1.1933667278553897</v>
      </c>
      <c r="R74" s="197">
        <f t="shared" si="199"/>
        <v>1.777974263835161</v>
      </c>
      <c r="S74" s="198">
        <f t="shared" si="199"/>
        <v>-0.67785331062041276</v>
      </c>
      <c r="T74" s="198">
        <f t="shared" si="199"/>
        <v>-0.45005742359471618</v>
      </c>
      <c r="U74" s="199">
        <f t="shared" si="199"/>
        <v>1.9318869749447096</v>
      </c>
      <c r="V74" s="196">
        <f t="shared" si="199"/>
        <v>2.5909841806725784</v>
      </c>
      <c r="W74" s="197">
        <f t="shared" ca="1" si="199"/>
        <v>1.8140726684347965</v>
      </c>
      <c r="X74" s="198">
        <f t="shared" ca="1" si="199"/>
        <v>0.19236551200473642</v>
      </c>
      <c r="Y74" s="198">
        <f t="shared" ca="1" si="199"/>
        <v>-0.47793868271686124</v>
      </c>
      <c r="Z74" s="199">
        <f t="shared" ca="1" si="199"/>
        <v>2.1789151496683989</v>
      </c>
      <c r="AA74" s="196">
        <f t="shared" ca="1" si="199"/>
        <v>3.7074146473910705</v>
      </c>
      <c r="AB74" s="197">
        <f t="shared" ca="1" si="199"/>
        <v>2.0262252819986881</v>
      </c>
      <c r="AC74" s="198">
        <f t="shared" ca="1" si="199"/>
        <v>0.23713013649374881</v>
      </c>
      <c r="AD74" s="198">
        <f t="shared" ca="1" si="199"/>
        <v>-0.47759518231675041</v>
      </c>
      <c r="AE74" s="199">
        <f t="shared" ca="1" si="199"/>
        <v>2.3741927277329</v>
      </c>
      <c r="AF74" s="196">
        <f t="shared" ca="1" si="199"/>
        <v>4.1599529639085855</v>
      </c>
    </row>
    <row r="75" spans="2:32" x14ac:dyDescent="0.25">
      <c r="G75" s="19"/>
      <c r="H75" s="19"/>
      <c r="I75" s="19"/>
      <c r="J75" s="19"/>
      <c r="K75" s="19"/>
      <c r="L75" s="19"/>
      <c r="M75" s="91"/>
      <c r="N75" s="92"/>
      <c r="O75" s="92"/>
      <c r="P75" s="118"/>
      <c r="Q75" s="19"/>
      <c r="R75" s="91"/>
      <c r="S75" s="92"/>
      <c r="T75" s="92"/>
      <c r="U75" s="112"/>
      <c r="V75" s="17"/>
      <c r="W75" s="79"/>
      <c r="X75" s="80"/>
      <c r="Y75" s="80"/>
      <c r="Z75" s="112"/>
      <c r="AA75" s="17"/>
      <c r="AB75" s="79"/>
      <c r="AC75" s="80"/>
      <c r="AD75" s="80"/>
      <c r="AE75" s="112"/>
      <c r="AF75" s="17"/>
    </row>
    <row r="76" spans="2:32" x14ac:dyDescent="0.25">
      <c r="B76" s="41" t="s">
        <v>99</v>
      </c>
      <c r="G76" s="19"/>
      <c r="H76" s="19"/>
      <c r="I76" s="19"/>
      <c r="J76" s="19"/>
      <c r="K76" s="19"/>
      <c r="L76" s="19"/>
      <c r="M76" s="91"/>
      <c r="N76" s="92"/>
      <c r="O76" s="92"/>
      <c r="P76" s="118"/>
      <c r="Q76" s="19"/>
      <c r="R76" s="133"/>
      <c r="S76" s="134"/>
      <c r="T76" s="134"/>
      <c r="U76" s="112"/>
      <c r="V76" s="17"/>
      <c r="W76" s="79"/>
      <c r="X76" s="80"/>
      <c r="Y76" s="80"/>
      <c r="Z76" s="112"/>
      <c r="AA76" s="17"/>
      <c r="AB76" s="79"/>
      <c r="AC76" s="80"/>
      <c r="AD76" s="80"/>
      <c r="AE76" s="112"/>
      <c r="AF76" s="17"/>
    </row>
    <row r="77" spans="2:32" x14ac:dyDescent="0.25">
      <c r="B77" s="15" t="s">
        <v>100</v>
      </c>
      <c r="G77" s="26">
        <f t="shared" ref="G77:T77" si="200">G60/G58</f>
        <v>0.35245170231257483</v>
      </c>
      <c r="H77" s="26">
        <f t="shared" si="200"/>
        <v>1</v>
      </c>
      <c r="I77" s="26">
        <f t="shared" si="200"/>
        <v>1</v>
      </c>
      <c r="J77" s="26">
        <f t="shared" si="200"/>
        <v>1</v>
      </c>
      <c r="K77" s="26">
        <f t="shared" si="200"/>
        <v>0.33383286832035025</v>
      </c>
      <c r="L77" s="26">
        <f t="shared" si="200"/>
        <v>0.35071820818164995</v>
      </c>
      <c r="M77" s="83">
        <f t="shared" si="200"/>
        <v>0.34924123567885618</v>
      </c>
      <c r="N77" s="84">
        <f t="shared" si="200"/>
        <v>0.34945877931445762</v>
      </c>
      <c r="O77" s="84">
        <f t="shared" si="200"/>
        <v>0.36854946744262657</v>
      </c>
      <c r="P77" s="114">
        <f t="shared" si="200"/>
        <v>0.34616494520223917</v>
      </c>
      <c r="Q77" s="26">
        <f t="shared" si="200"/>
        <v>0.35277658359668324</v>
      </c>
      <c r="R77" s="83">
        <f t="shared" si="200"/>
        <v>0.363625018161227</v>
      </c>
      <c r="S77" s="84">
        <f t="shared" si="200"/>
        <v>0.3599257399119915</v>
      </c>
      <c r="T77" s="84">
        <f t="shared" si="200"/>
        <v>0.37749381188118819</v>
      </c>
      <c r="U77" s="136">
        <v>0.36</v>
      </c>
      <c r="V77" s="26">
        <f>V60/V58</f>
        <v>0.36490035799286236</v>
      </c>
      <c r="W77" s="150">
        <f>'Scenario Drivers'!W18</f>
        <v>0.363625018161227</v>
      </c>
      <c r="X77" s="151">
        <f>'Scenario Drivers'!X18</f>
        <v>0.3599257399119915</v>
      </c>
      <c r="Y77" s="151">
        <f>'Scenario Drivers'!Y18</f>
        <v>0.37749381188118819</v>
      </c>
      <c r="Z77" s="160">
        <f>'Scenario Drivers'!Z18</f>
        <v>0.36</v>
      </c>
      <c r="AA77" s="45">
        <f ca="1">AA60/AA58</f>
        <v>0.3648999372453231</v>
      </c>
      <c r="AB77" s="150">
        <f>'Scenario Drivers'!AB18</f>
        <v>0.363625018161227</v>
      </c>
      <c r="AC77" s="151">
        <f>'Scenario Drivers'!AC18</f>
        <v>0.3599257399119915</v>
      </c>
      <c r="AD77" s="151">
        <f>'Scenario Drivers'!AD18</f>
        <v>0.37749381188118819</v>
      </c>
      <c r="AE77" s="160">
        <f>'Scenario Drivers'!AE18</f>
        <v>0.36</v>
      </c>
      <c r="AF77" s="26">
        <f ca="1">AF60/AF58</f>
        <v>0.36489883162274922</v>
      </c>
    </row>
    <row r="78" spans="2:32" x14ac:dyDescent="0.25">
      <c r="B78" s="15" t="s">
        <v>101</v>
      </c>
      <c r="G78" s="26">
        <f t="shared" ref="G78:AF78" si="201">G63/G58</f>
        <v>0.12266580992169092</v>
      </c>
      <c r="H78" s="26">
        <f t="shared" si="201"/>
        <v>1</v>
      </c>
      <c r="I78" s="26">
        <f t="shared" si="201"/>
        <v>1</v>
      </c>
      <c r="J78" s="26">
        <f t="shared" si="201"/>
        <v>1</v>
      </c>
      <c r="K78" s="26">
        <f t="shared" si="201"/>
        <v>0.13121575043359324</v>
      </c>
      <c r="L78" s="26">
        <f t="shared" si="201"/>
        <v>0.12662800024680701</v>
      </c>
      <c r="M78" s="83">
        <f t="shared" si="201"/>
        <v>0.12392497828646198</v>
      </c>
      <c r="N78" s="84">
        <f t="shared" si="201"/>
        <v>0.13507427032413949</v>
      </c>
      <c r="O78" s="84">
        <f t="shared" si="201"/>
        <v>0.12163061381355005</v>
      </c>
      <c r="P78" s="114">
        <f t="shared" si="201"/>
        <v>0.13363636363636361</v>
      </c>
      <c r="Q78" s="26">
        <f t="shared" si="201"/>
        <v>0.12902303471274207</v>
      </c>
      <c r="R78" s="83">
        <f t="shared" si="201"/>
        <v>0.13706045173956613</v>
      </c>
      <c r="S78" s="84">
        <f t="shared" si="201"/>
        <v>0.13446219890293346</v>
      </c>
      <c r="T78" s="84">
        <f t="shared" si="201"/>
        <v>0.12343440594059413</v>
      </c>
      <c r="U78" s="143">
        <f t="shared" si="201"/>
        <v>0.13799999999999998</v>
      </c>
      <c r="V78" s="26">
        <f t="shared" si="201"/>
        <v>0.13358419190960877</v>
      </c>
      <c r="W78" s="83">
        <f t="shared" ca="1" si="201"/>
        <v>0.1370604517395661</v>
      </c>
      <c r="X78" s="84">
        <f t="shared" ca="1" si="201"/>
        <v>0.13446219890293346</v>
      </c>
      <c r="Y78" s="84">
        <f t="shared" ca="1" si="201"/>
        <v>0.12343440594059413</v>
      </c>
      <c r="Z78" s="114">
        <f t="shared" ca="1" si="201"/>
        <v>0.13799999999999996</v>
      </c>
      <c r="AA78" s="26">
        <f t="shared" ca="1" si="201"/>
        <v>0.13358609165595775</v>
      </c>
      <c r="AB78" s="83">
        <f t="shared" ca="1" si="201"/>
        <v>0.1370604517395661</v>
      </c>
      <c r="AC78" s="84">
        <f t="shared" ca="1" si="201"/>
        <v>0.13446219890293348</v>
      </c>
      <c r="AD78" s="84">
        <f t="shared" ca="1" si="201"/>
        <v>0.12343440594059416</v>
      </c>
      <c r="AE78" s="114">
        <f t="shared" ca="1" si="201"/>
        <v>0.13799999999999998</v>
      </c>
      <c r="AF78" s="26">
        <f t="shared" ca="1" si="201"/>
        <v>0.13358916637397833</v>
      </c>
    </row>
    <row r="79" spans="2:32" x14ac:dyDescent="0.25">
      <c r="B79" s="15" t="s">
        <v>109</v>
      </c>
      <c r="G79" s="26"/>
      <c r="H79" s="26"/>
      <c r="I79" s="26"/>
      <c r="J79" s="26"/>
      <c r="K79" s="26"/>
      <c r="L79" s="26">
        <f t="shared" ref="L79:AF79" si="202">(L60-G60)/(L58-G58)</f>
        <v>0.34260818076229804</v>
      </c>
      <c r="M79" s="83">
        <f t="shared" si="202"/>
        <v>-2.6600627137970361</v>
      </c>
      <c r="N79" s="84">
        <f t="shared" si="202"/>
        <v>-2.9963015627298382</v>
      </c>
      <c r="O79" s="84">
        <f t="shared" si="202"/>
        <v>-2.4856890009577022</v>
      </c>
      <c r="P79" s="114">
        <f t="shared" si="202"/>
        <v>0.40471496743844532</v>
      </c>
      <c r="Q79" s="26">
        <f t="shared" si="202"/>
        <v>0.36254926976026808</v>
      </c>
      <c r="R79" s="83">
        <f t="shared" si="202"/>
        <v>0.42436063309240546</v>
      </c>
      <c r="S79" s="84">
        <f t="shared" si="202"/>
        <v>0.40768198276938439</v>
      </c>
      <c r="T79" s="84">
        <f t="shared" si="202"/>
        <v>0.41443537414966003</v>
      </c>
      <c r="U79" s="143">
        <f t="shared" si="202"/>
        <v>0.42405904588402166</v>
      </c>
      <c r="V79" s="26">
        <f t="shared" si="202"/>
        <v>0.41822203797441826</v>
      </c>
      <c r="W79" s="83">
        <f t="shared" ca="1" si="202"/>
        <v>0.363625018161227</v>
      </c>
      <c r="X79" s="84">
        <f t="shared" ca="1" si="202"/>
        <v>0.35992573991199167</v>
      </c>
      <c r="Y79" s="84">
        <f t="shared" ca="1" si="202"/>
        <v>0.37749381188118858</v>
      </c>
      <c r="Z79" s="114">
        <f t="shared" ca="1" si="202"/>
        <v>0.35999999999999976</v>
      </c>
      <c r="AA79" s="26">
        <f t="shared" ca="1" si="202"/>
        <v>0.36489644970564078</v>
      </c>
      <c r="AB79" s="83">
        <f t="shared" ca="1" si="202"/>
        <v>0.36362501816122705</v>
      </c>
      <c r="AC79" s="84">
        <f t="shared" ca="1" si="202"/>
        <v>0.35992573991199156</v>
      </c>
      <c r="AD79" s="84">
        <f t="shared" ca="1" si="202"/>
        <v>0.37749381188118819</v>
      </c>
      <c r="AE79" s="114">
        <f t="shared" ca="1" si="202"/>
        <v>0.36000000000000021</v>
      </c>
      <c r="AF79" s="26">
        <f t="shared" ca="1" si="202"/>
        <v>0.36488543017323466</v>
      </c>
    </row>
    <row r="80" spans="2:32" x14ac:dyDescent="0.25">
      <c r="B80" s="15" t="s">
        <v>110</v>
      </c>
      <c r="G80" s="26"/>
      <c r="H80" s="26"/>
      <c r="I80" s="26"/>
      <c r="J80" s="26"/>
      <c r="K80" s="26"/>
      <c r="L80" s="26">
        <f t="shared" ref="L80:AF80" si="203">(L63-G63)/(L58-G58)</f>
        <v>0.14516482226664179</v>
      </c>
      <c r="M80" s="83">
        <f t="shared" si="203"/>
        <v>-3.9273090079817567</v>
      </c>
      <c r="N80" s="84">
        <f t="shared" si="203"/>
        <v>-4.3132744478611391</v>
      </c>
      <c r="O80" s="84">
        <f t="shared" si="203"/>
        <v>-3.8487131617548989</v>
      </c>
      <c r="P80" s="114">
        <f t="shared" si="203"/>
        <v>0.14512890931255876</v>
      </c>
      <c r="Q80" s="26">
        <f t="shared" si="203"/>
        <v>0.14039409949305778</v>
      </c>
      <c r="R80" s="83">
        <f t="shared" si="203"/>
        <v>0.19252507368892097</v>
      </c>
      <c r="S80" s="84">
        <f t="shared" si="203"/>
        <v>0.13166958005577051</v>
      </c>
      <c r="T80" s="84">
        <f t="shared" si="203"/>
        <v>0.13088435374149679</v>
      </c>
      <c r="U80" s="143">
        <f t="shared" si="203"/>
        <v>0.15820450125608534</v>
      </c>
      <c r="V80" s="26">
        <f t="shared" si="203"/>
        <v>0.15364465793688364</v>
      </c>
      <c r="W80" s="83">
        <f t="shared" ca="1" si="203"/>
        <v>0.1370604517395661</v>
      </c>
      <c r="X80" s="84">
        <f t="shared" ca="1" si="203"/>
        <v>0.13446219890293362</v>
      </c>
      <c r="Y80" s="84">
        <f t="shared" ca="1" si="203"/>
        <v>0.1234344059405942</v>
      </c>
      <c r="Z80" s="114">
        <f t="shared" ca="1" si="203"/>
        <v>0.13799999999999973</v>
      </c>
      <c r="AA80" s="26">
        <f t="shared" ca="1" si="203"/>
        <v>0.13360183848787135</v>
      </c>
      <c r="AB80" s="83">
        <f t="shared" ca="1" si="203"/>
        <v>0.1370604517395661</v>
      </c>
      <c r="AC80" s="84">
        <f t="shared" ca="1" si="203"/>
        <v>0.13446219890293362</v>
      </c>
      <c r="AD80" s="84">
        <f t="shared" ca="1" si="203"/>
        <v>0.1234344059405945</v>
      </c>
      <c r="AE80" s="114">
        <f t="shared" ca="1" si="203"/>
        <v>0.13800000000000043</v>
      </c>
      <c r="AF80" s="26">
        <f t="shared" ca="1" si="203"/>
        <v>0.13362643558256368</v>
      </c>
    </row>
    <row r="81" spans="2:32" x14ac:dyDescent="0.25">
      <c r="B81" s="15" t="s">
        <v>108</v>
      </c>
      <c r="G81" s="26">
        <f t="shared" ref="G81:AF81" si="204">G72/G58</f>
        <v>0.16246363608109565</v>
      </c>
      <c r="H81" s="26">
        <f t="shared" si="204"/>
        <v>1</v>
      </c>
      <c r="I81" s="26">
        <f t="shared" si="204"/>
        <v>1</v>
      </c>
      <c r="J81" s="26">
        <f t="shared" si="204"/>
        <v>1</v>
      </c>
      <c r="K81" s="26">
        <f t="shared" si="204"/>
        <v>0.13121575043359324</v>
      </c>
      <c r="L81" s="26">
        <f t="shared" si="204"/>
        <v>0.16727833652125632</v>
      </c>
      <c r="M81" s="83">
        <f t="shared" si="204"/>
        <v>0.16765961466245521</v>
      </c>
      <c r="N81" s="84">
        <f t="shared" si="204"/>
        <v>0.17928298663966549</v>
      </c>
      <c r="O81" s="84">
        <f t="shared" si="204"/>
        <v>0.16809267596354457</v>
      </c>
      <c r="P81" s="114">
        <f t="shared" si="204"/>
        <v>0.16990380824726009</v>
      </c>
      <c r="Q81" s="26">
        <f t="shared" si="204"/>
        <v>0.1710831546733651</v>
      </c>
      <c r="R81" s="83">
        <f t="shared" si="204"/>
        <v>0.18165976850489327</v>
      </c>
      <c r="S81" s="84">
        <f t="shared" si="204"/>
        <v>0.18091216453192294</v>
      </c>
      <c r="T81" s="84">
        <f t="shared" si="204"/>
        <v>0.17069572135785013</v>
      </c>
      <c r="U81" s="143">
        <f t="shared" si="204"/>
        <v>0.17426744461089644</v>
      </c>
      <c r="V81" s="26">
        <f t="shared" si="204"/>
        <v>0.17655165504921519</v>
      </c>
      <c r="W81" s="83">
        <f t="shared" ca="1" si="204"/>
        <v>0.18165976850489327</v>
      </c>
      <c r="X81" s="84">
        <f t="shared" ca="1" si="204"/>
        <v>0.18091216453192296</v>
      </c>
      <c r="Y81" s="84">
        <f t="shared" ca="1" si="204"/>
        <v>0.17069572135785016</v>
      </c>
      <c r="Z81" s="114">
        <f t="shared" ca="1" si="204"/>
        <v>0.17426744461089644</v>
      </c>
      <c r="AA81" s="26">
        <f t="shared" ca="1" si="204"/>
        <v>0.17658535860260391</v>
      </c>
      <c r="AB81" s="83">
        <f t="shared" ca="1" si="204"/>
        <v>0.18165976850489327</v>
      </c>
      <c r="AC81" s="84">
        <f t="shared" ca="1" si="204"/>
        <v>0.18091216453192296</v>
      </c>
      <c r="AD81" s="84">
        <f t="shared" ca="1" si="204"/>
        <v>0.17069572135785019</v>
      </c>
      <c r="AE81" s="114">
        <f t="shared" ca="1" si="204"/>
        <v>0.17426744461089649</v>
      </c>
      <c r="AF81" s="26">
        <f t="shared" ca="1" si="204"/>
        <v>0.17662020337314202</v>
      </c>
    </row>
    <row r="82" spans="2:32" x14ac:dyDescent="0.25">
      <c r="B82" s="15" t="s">
        <v>107</v>
      </c>
      <c r="G82" s="26">
        <f t="shared" ref="G82:AF82" si="205">G73/G67</f>
        <v>0.40970376979920975</v>
      </c>
      <c r="H82" s="26">
        <f t="shared" si="205"/>
        <v>1</v>
      </c>
      <c r="I82" s="26">
        <f t="shared" si="205"/>
        <v>1</v>
      </c>
      <c r="J82" s="26">
        <f t="shared" si="205"/>
        <v>1</v>
      </c>
      <c r="K82" s="26">
        <f t="shared" si="205"/>
        <v>1</v>
      </c>
      <c r="L82" s="26">
        <f t="shared" si="205"/>
        <v>0.57383193558295365</v>
      </c>
      <c r="M82" s="83">
        <f t="shared" si="205"/>
        <v>0.17434947569682971</v>
      </c>
      <c r="N82" s="84">
        <f t="shared" si="205"/>
        <v>3.3776914883576685</v>
      </c>
      <c r="O82" s="84">
        <f t="shared" si="205"/>
        <v>-4.8561699732657901</v>
      </c>
      <c r="P82" s="114">
        <f t="shared" si="205"/>
        <v>1.4805987313128322</v>
      </c>
      <c r="Q82" s="26">
        <f t="shared" si="205"/>
        <v>0.23971526156749925</v>
      </c>
      <c r="R82" s="83">
        <f t="shared" si="205"/>
        <v>1.2243193876663474</v>
      </c>
      <c r="S82" s="84">
        <f t="shared" si="205"/>
        <v>-0.47306786365050452</v>
      </c>
      <c r="T82" s="84">
        <f t="shared" si="205"/>
        <v>-0.32234662401462261</v>
      </c>
      <c r="U82" s="143">
        <f t="shared" si="205"/>
        <v>0.90239723257668303</v>
      </c>
      <c r="V82" s="26">
        <f t="shared" si="205"/>
        <v>0.40356549191608865</v>
      </c>
      <c r="W82" s="83">
        <f t="shared" ca="1" si="205"/>
        <v>1.077804134280453</v>
      </c>
      <c r="X82" s="84">
        <f t="shared" ca="1" si="205"/>
        <v>0.11792538185080037</v>
      </c>
      <c r="Y82" s="84">
        <f t="shared" ca="1" si="205"/>
        <v>-0.30438133442536691</v>
      </c>
      <c r="Z82" s="114">
        <f t="shared" ca="1" si="205"/>
        <v>0.919006689476493</v>
      </c>
      <c r="AA82" s="26">
        <f t="shared" ca="1" si="205"/>
        <v>0.51097920950164688</v>
      </c>
      <c r="AB82" s="83">
        <f t="shared" ca="1" si="205"/>
        <v>1.0966339805874694</v>
      </c>
      <c r="AC82" s="84">
        <f t="shared" ca="1" si="205"/>
        <v>0.13354902586237841</v>
      </c>
      <c r="AD82" s="84">
        <f t="shared" ca="1" si="205"/>
        <v>-0.28188351159687391</v>
      </c>
      <c r="AE82" s="114">
        <f t="shared" ca="1" si="205"/>
        <v>0.93624220669495517</v>
      </c>
      <c r="AF82" s="26">
        <f t="shared" ca="1" si="205"/>
        <v>0.52969718941916877</v>
      </c>
    </row>
    <row r="83" spans="2:32" x14ac:dyDescent="0.25">
      <c r="B83" s="15"/>
      <c r="G83" s="26"/>
      <c r="H83" s="26"/>
      <c r="I83" s="26"/>
      <c r="J83" s="26"/>
      <c r="K83" s="26"/>
      <c r="L83" s="26"/>
      <c r="M83" s="83"/>
      <c r="N83" s="84"/>
      <c r="O83" s="84"/>
      <c r="P83" s="114"/>
      <c r="Q83" s="26"/>
      <c r="R83" s="83"/>
      <c r="S83" s="84"/>
      <c r="T83" s="84"/>
      <c r="U83" s="143"/>
      <c r="V83" s="26"/>
      <c r="W83" s="83"/>
      <c r="X83" s="84"/>
      <c r="Y83" s="84"/>
      <c r="Z83" s="114"/>
      <c r="AA83" s="26"/>
      <c r="AB83" s="83"/>
      <c r="AC83" s="84"/>
      <c r="AD83" s="84"/>
      <c r="AE83" s="114"/>
      <c r="AF83" s="26"/>
    </row>
    <row r="84" spans="2:32" x14ac:dyDescent="0.25">
      <c r="B84" s="41" t="s">
        <v>106</v>
      </c>
      <c r="G84" s="26"/>
      <c r="H84" s="26"/>
      <c r="I84" s="26"/>
      <c r="J84" s="26"/>
      <c r="K84" s="26"/>
      <c r="L84" s="26"/>
      <c r="M84" s="83"/>
      <c r="N84" s="84"/>
      <c r="O84" s="84"/>
      <c r="P84" s="114"/>
      <c r="Q84" s="26"/>
      <c r="R84" s="83"/>
      <c r="S84" s="84"/>
      <c r="T84" s="84"/>
      <c r="U84" s="143"/>
      <c r="V84" s="26"/>
      <c r="W84" s="83"/>
      <c r="X84" s="84"/>
      <c r="Y84" s="84"/>
      <c r="Z84" s="114"/>
      <c r="AA84" s="26"/>
      <c r="AB84" s="83"/>
      <c r="AC84" s="84"/>
      <c r="AD84" s="84"/>
      <c r="AE84" s="114"/>
      <c r="AF84" s="26"/>
    </row>
    <row r="85" spans="2:32" x14ac:dyDescent="0.25">
      <c r="B85" s="15" t="s">
        <v>111</v>
      </c>
      <c r="G85" s="26">
        <f t="shared" ref="G85:T85" si="206">G61/G58</f>
        <v>0.22331911541081259</v>
      </c>
      <c r="H85" s="26">
        <f t="shared" si="206"/>
        <v>0</v>
      </c>
      <c r="I85" s="26">
        <f t="shared" si="206"/>
        <v>0</v>
      </c>
      <c r="J85" s="26">
        <f t="shared" si="206"/>
        <v>0</v>
      </c>
      <c r="K85" s="26">
        <f t="shared" si="206"/>
        <v>0.2011204219766122</v>
      </c>
      <c r="L85" s="26">
        <f t="shared" si="206"/>
        <v>0.21965817239464427</v>
      </c>
      <c r="M85" s="83">
        <f t="shared" si="206"/>
        <v>0.22172574822432795</v>
      </c>
      <c r="N85" s="84">
        <f t="shared" si="206"/>
        <v>0.20973456070075336</v>
      </c>
      <c r="O85" s="84">
        <f t="shared" si="206"/>
        <v>0.24021412100581968</v>
      </c>
      <c r="P85" s="114">
        <f t="shared" si="206"/>
        <v>0.21143972246313963</v>
      </c>
      <c r="Q85" s="26">
        <f t="shared" si="206"/>
        <v>0.22001207404154968</v>
      </c>
      <c r="R85" s="83">
        <f t="shared" si="206"/>
        <v>0.22419708749799763</v>
      </c>
      <c r="S85" s="84">
        <f t="shared" si="206"/>
        <v>0.22107808064795201</v>
      </c>
      <c r="T85" s="84">
        <f t="shared" si="206"/>
        <v>0.24793493635077793</v>
      </c>
      <c r="U85" s="136">
        <v>0.22</v>
      </c>
      <c r="V85" s="26">
        <f>V61/V58</f>
        <v>0.22773597823392147</v>
      </c>
      <c r="W85" s="150">
        <f>'Scenario Drivers'!W23</f>
        <v>0.22419708749799763</v>
      </c>
      <c r="X85" s="151">
        <f>'Scenario Drivers'!X23</f>
        <v>0.22107808064795201</v>
      </c>
      <c r="Y85" s="151">
        <f>'Scenario Drivers'!Y23</f>
        <v>0.24793493635077793</v>
      </c>
      <c r="Z85" s="160">
        <f>'Scenario Drivers'!Z23</f>
        <v>0.22</v>
      </c>
      <c r="AA85" s="45">
        <f ca="1">AA61/AA58</f>
        <v>0.22773204554048021</v>
      </c>
      <c r="AB85" s="150">
        <f>'Scenario Drivers'!AB23</f>
        <v>0.22419708749799763</v>
      </c>
      <c r="AC85" s="151">
        <f>'Scenario Drivers'!AC23</f>
        <v>0.22107808064795201</v>
      </c>
      <c r="AD85" s="151">
        <f>'Scenario Drivers'!AD23</f>
        <v>0.24793493635077793</v>
      </c>
      <c r="AE85" s="160">
        <f>'Scenario Drivers'!AE23</f>
        <v>0.22</v>
      </c>
      <c r="AF85" s="26">
        <f ca="1">AF61/AF58</f>
        <v>0.22772665892991156</v>
      </c>
    </row>
    <row r="86" spans="2:32" x14ac:dyDescent="0.25">
      <c r="B86" s="15" t="s">
        <v>113</v>
      </c>
      <c r="G86" s="26">
        <f t="shared" ref="G86:T86" si="207">G62/G58</f>
        <v>6.466776980071318E-3</v>
      </c>
      <c r="H86" s="26">
        <f t="shared" si="207"/>
        <v>0</v>
      </c>
      <c r="I86" s="26">
        <f t="shared" si="207"/>
        <v>0</v>
      </c>
      <c r="J86" s="26">
        <f t="shared" si="207"/>
        <v>0</v>
      </c>
      <c r="K86" s="26">
        <f t="shared" si="207"/>
        <v>1.4966959101447919E-3</v>
      </c>
      <c r="L86" s="26">
        <f t="shared" si="207"/>
        <v>4.4320355401986792E-3</v>
      </c>
      <c r="M86" s="83">
        <f t="shared" si="207"/>
        <v>3.5905091680662397E-3</v>
      </c>
      <c r="N86" s="84">
        <f t="shared" si="207"/>
        <v>4.6499482895647542E-3</v>
      </c>
      <c r="O86" s="84">
        <f t="shared" si="207"/>
        <v>6.7047326232568347E-3</v>
      </c>
      <c r="P86" s="114">
        <f t="shared" si="207"/>
        <v>1.0888591027359458E-3</v>
      </c>
      <c r="Q86" s="26">
        <f t="shared" si="207"/>
        <v>3.7414748423914555E-3</v>
      </c>
      <c r="R86" s="83">
        <f t="shared" si="207"/>
        <v>2.3674789236632406E-3</v>
      </c>
      <c r="S86" s="84">
        <f t="shared" si="207"/>
        <v>4.3854603611060451E-3</v>
      </c>
      <c r="T86" s="84">
        <f t="shared" si="207"/>
        <v>6.1244695898161243E-3</v>
      </c>
      <c r="U86" s="136">
        <v>2E-3</v>
      </c>
      <c r="V86" s="26">
        <f>V62/V58</f>
        <v>3.5801878493321327E-3</v>
      </c>
      <c r="W86" s="83">
        <f>R86</f>
        <v>2.3674789236632406E-3</v>
      </c>
      <c r="X86" s="84">
        <f t="shared" ref="X86:Z86" si="208">S86</f>
        <v>4.3854603611060451E-3</v>
      </c>
      <c r="Y86" s="84">
        <f t="shared" si="208"/>
        <v>6.1244695898161243E-3</v>
      </c>
      <c r="Z86" s="114">
        <f t="shared" si="208"/>
        <v>2E-3</v>
      </c>
      <c r="AA86" s="26">
        <f ca="1">AA62/AA58</f>
        <v>3.5818000488851741E-3</v>
      </c>
      <c r="AB86" s="83">
        <f>W86</f>
        <v>2.3674789236632406E-3</v>
      </c>
      <c r="AC86" s="84">
        <f t="shared" ref="AC86" si="209">X86</f>
        <v>4.3854603611060451E-3</v>
      </c>
      <c r="AD86" s="84">
        <f t="shared" ref="AD86" si="210">Y86</f>
        <v>6.1244695898161243E-3</v>
      </c>
      <c r="AE86" s="114">
        <f t="shared" ref="AE86" si="211">Z86</f>
        <v>2E-3</v>
      </c>
      <c r="AF86" s="26">
        <f ca="1">AF62/AF58</f>
        <v>3.5830063188592729E-3</v>
      </c>
    </row>
    <row r="87" spans="2:32" x14ac:dyDescent="0.25">
      <c r="B87" s="15" t="s">
        <v>133</v>
      </c>
      <c r="G87" s="26"/>
      <c r="H87" s="26"/>
      <c r="I87" s="26"/>
      <c r="J87" s="26"/>
      <c r="K87" s="26"/>
      <c r="L87" s="26">
        <f t="shared" ref="L87:T87" si="212">L143/L58</f>
        <v>4.0650336274449313E-2</v>
      </c>
      <c r="M87" s="83">
        <f t="shared" si="212"/>
        <v>4.3734636375993237E-2</v>
      </c>
      <c r="N87" s="84">
        <f t="shared" si="212"/>
        <v>4.4208716315526017E-2</v>
      </c>
      <c r="O87" s="84">
        <f t="shared" si="212"/>
        <v>4.6462062149994508E-2</v>
      </c>
      <c r="P87" s="114">
        <f t="shared" si="212"/>
        <v>3.6267444610896482E-2</v>
      </c>
      <c r="Q87" s="26">
        <f t="shared" si="212"/>
        <v>4.2060119960623032E-2</v>
      </c>
      <c r="R87" s="83">
        <f t="shared" si="212"/>
        <v>4.4599316765327149E-2</v>
      </c>
      <c r="S87" s="84">
        <f t="shared" si="212"/>
        <v>4.6449965628989502E-2</v>
      </c>
      <c r="T87" s="84">
        <f t="shared" si="212"/>
        <v>4.7261315417256013E-2</v>
      </c>
      <c r="U87" s="136">
        <f>P87</f>
        <v>3.6267444610896482E-2</v>
      </c>
      <c r="V87" s="26">
        <f>V143/V58</f>
        <v>4.2967463139606414E-2</v>
      </c>
      <c r="W87" s="83">
        <f>R87</f>
        <v>4.4599316765327149E-2</v>
      </c>
      <c r="X87" s="84">
        <f t="shared" ref="X87" si="213">S87</f>
        <v>4.6449965628989502E-2</v>
      </c>
      <c r="Y87" s="84">
        <f t="shared" ref="Y87" si="214">T87</f>
        <v>4.7261315417256013E-2</v>
      </c>
      <c r="Z87" s="114">
        <f t="shared" ref="Z87" si="215">U87</f>
        <v>3.6267444610896482E-2</v>
      </c>
      <c r="AA87" s="26">
        <f ca="1">AA143/AA58</f>
        <v>4.2999266946646152E-2</v>
      </c>
      <c r="AB87" s="83">
        <f>W87</f>
        <v>4.4599316765327149E-2</v>
      </c>
      <c r="AC87" s="84">
        <f t="shared" ref="AC87" si="216">X87</f>
        <v>4.6449965628989502E-2</v>
      </c>
      <c r="AD87" s="84">
        <f t="shared" ref="AD87" si="217">Y87</f>
        <v>4.7261315417256013E-2</v>
      </c>
      <c r="AE87" s="114">
        <f t="shared" ref="AE87" si="218">Z87</f>
        <v>3.6267444610896482E-2</v>
      </c>
      <c r="AF87" s="26">
        <f ca="1">AF143/AF58</f>
        <v>4.3031036999163698E-2</v>
      </c>
    </row>
    <row r="88" spans="2:32" x14ac:dyDescent="0.25">
      <c r="B88" s="15" t="s">
        <v>131</v>
      </c>
      <c r="G88" s="26"/>
      <c r="H88" s="26"/>
      <c r="I88" s="26"/>
      <c r="J88" s="26"/>
      <c r="K88" s="26"/>
      <c r="L88" s="26">
        <f t="shared" ref="L88:V88" si="219">-L161/L58</f>
        <v>7.6839328685136057E-2</v>
      </c>
      <c r="M88" s="83">
        <f t="shared" si="219"/>
        <v>6.5223551528471813E-2</v>
      </c>
      <c r="N88" s="84">
        <f t="shared" si="219"/>
        <v>-0.22102647779529963</v>
      </c>
      <c r="O88" s="84">
        <f t="shared" si="219"/>
        <v>0.40532227956516959</v>
      </c>
      <c r="P88" s="114">
        <f t="shared" si="219"/>
        <v>5.3030040211306473E-2</v>
      </c>
      <c r="Q88" s="26">
        <f t="shared" si="219"/>
        <v>7.6237965139199323E-2</v>
      </c>
      <c r="R88" s="83">
        <f t="shared" si="219"/>
        <v>5.0591590327423643E-2</v>
      </c>
      <c r="S88" s="84">
        <f t="shared" si="219"/>
        <v>8.910649401663838E-2</v>
      </c>
      <c r="T88" s="84">
        <f t="shared" si="219"/>
        <v>0.11634370579915132</v>
      </c>
      <c r="U88" s="143">
        <f t="shared" si="219"/>
        <v>7.0545745290116285E-2</v>
      </c>
      <c r="V88" s="26">
        <f t="shared" si="219"/>
        <v>8.0974179013852746E-2</v>
      </c>
      <c r="W88" s="83">
        <f>R88</f>
        <v>5.0591590327423643E-2</v>
      </c>
      <c r="X88" s="84">
        <f t="shared" ref="X88:Z88" si="220">S88</f>
        <v>8.910649401663838E-2</v>
      </c>
      <c r="Y88" s="84">
        <f t="shared" si="220"/>
        <v>0.11634370579915132</v>
      </c>
      <c r="Z88" s="114">
        <f t="shared" si="220"/>
        <v>7.0545745290116285E-2</v>
      </c>
      <c r="AA88" s="26">
        <f ca="1">-AA161/AA58</f>
        <v>8.0908247326637664E-2</v>
      </c>
      <c r="AB88" s="83">
        <f>W88</f>
        <v>5.0591590327423643E-2</v>
      </c>
      <c r="AC88" s="84">
        <f t="shared" ref="AC88" si="221">X88</f>
        <v>8.910649401663838E-2</v>
      </c>
      <c r="AD88" s="84">
        <f t="shared" ref="AD88" si="222">Y88</f>
        <v>0.11634370579915132</v>
      </c>
      <c r="AE88" s="114">
        <f t="shared" ref="AE88" si="223">Z88</f>
        <v>7.0545745290116285E-2</v>
      </c>
      <c r="AF88" s="26">
        <f ca="1">-AF161/AF58</f>
        <v>8.0834080192277433E-2</v>
      </c>
    </row>
    <row r="89" spans="2:32" x14ac:dyDescent="0.25">
      <c r="B89" s="15" t="s">
        <v>132</v>
      </c>
      <c r="G89" s="26"/>
      <c r="H89" s="26"/>
      <c r="I89" s="26"/>
      <c r="J89" s="26"/>
      <c r="K89" s="26"/>
      <c r="L89" s="26">
        <f t="shared" ref="L89:V89" si="224">-L161/L143</f>
        <v>1.8902507513433107</v>
      </c>
      <c r="M89" s="83">
        <f t="shared" si="224"/>
        <v>1.4913477493612874</v>
      </c>
      <c r="N89" s="84">
        <f t="shared" si="224"/>
        <v>-4.9996131128936572</v>
      </c>
      <c r="O89" s="84">
        <f t="shared" si="224"/>
        <v>8.7237255689740731</v>
      </c>
      <c r="P89" s="114">
        <f t="shared" si="224"/>
        <v>1.462194008435149</v>
      </c>
      <c r="Q89" s="26">
        <f t="shared" si="224"/>
        <v>1.812595047531339</v>
      </c>
      <c r="R89" s="83">
        <f t="shared" si="224"/>
        <v>1.1343579677156639</v>
      </c>
      <c r="S89" s="84">
        <f t="shared" si="224"/>
        <v>1.9183328299607367</v>
      </c>
      <c r="T89" s="84">
        <f t="shared" si="224"/>
        <v>2.4617111219183712</v>
      </c>
      <c r="U89" s="143">
        <f t="shared" si="224"/>
        <v>1.9451534577906533</v>
      </c>
      <c r="V89" s="26">
        <f t="shared" si="224"/>
        <v>1.8845464241339542</v>
      </c>
      <c r="W89" s="83">
        <f t="shared" ref="W89:AF89" ca="1" si="225">-W161/W143</f>
        <v>1.1343579677156639</v>
      </c>
      <c r="X89" s="84">
        <f t="shared" ca="1" si="225"/>
        <v>1.918332829960737</v>
      </c>
      <c r="Y89" s="84">
        <f t="shared" ca="1" si="225"/>
        <v>2.4617111219183712</v>
      </c>
      <c r="Z89" s="114">
        <f t="shared" ca="1" si="225"/>
        <v>1.9451534577906535</v>
      </c>
      <c r="AA89" s="26">
        <f t="shared" ca="1" si="225"/>
        <v>1.8816192245097874</v>
      </c>
      <c r="AB89" s="83">
        <f t="shared" ca="1" si="225"/>
        <v>1.1343579677156639</v>
      </c>
      <c r="AC89" s="84">
        <f t="shared" ca="1" si="225"/>
        <v>1.9183328299607367</v>
      </c>
      <c r="AD89" s="84">
        <f t="shared" ca="1" si="225"/>
        <v>2.4617111219183712</v>
      </c>
      <c r="AE89" s="114">
        <f t="shared" ca="1" si="225"/>
        <v>1.9451534577906533</v>
      </c>
      <c r="AF89" s="26">
        <f t="shared" ca="1" si="225"/>
        <v>1.8785064416144197</v>
      </c>
    </row>
    <row r="90" spans="2:32" x14ac:dyDescent="0.25">
      <c r="B90" s="15" t="s">
        <v>112</v>
      </c>
      <c r="G90" s="26">
        <f t="shared" ref="G90:T90" si="226">G66/G65</f>
        <v>0.38100309423690765</v>
      </c>
      <c r="H90" s="26">
        <f t="shared" si="226"/>
        <v>0</v>
      </c>
      <c r="I90" s="26">
        <f t="shared" si="226"/>
        <v>0</v>
      </c>
      <c r="J90" s="26">
        <f t="shared" si="226"/>
        <v>0</v>
      </c>
      <c r="K90" s="26">
        <f t="shared" si="226"/>
        <v>0.36626530523319129</v>
      </c>
      <c r="L90" s="26">
        <f t="shared" si="226"/>
        <v>0.37473805506799607</v>
      </c>
      <c r="M90" s="83">
        <f t="shared" si="226"/>
        <v>0.37951488975188397</v>
      </c>
      <c r="N90" s="84">
        <f t="shared" si="226"/>
        <v>0.37534530386740328</v>
      </c>
      <c r="O90" s="84">
        <f t="shared" si="226"/>
        <v>0.36002953571299917</v>
      </c>
      <c r="P90" s="114">
        <f t="shared" si="226"/>
        <v>0.36483588982351983</v>
      </c>
      <c r="Q90" s="26">
        <f t="shared" si="226"/>
        <v>0.36936416754525114</v>
      </c>
      <c r="R90" s="83">
        <f t="shared" si="226"/>
        <v>0.37634510676096267</v>
      </c>
      <c r="S90" s="84">
        <f t="shared" si="226"/>
        <v>0.37504600151371026</v>
      </c>
      <c r="T90" s="84">
        <f t="shared" si="226"/>
        <v>0.37407036613272288</v>
      </c>
      <c r="U90" s="136">
        <v>0.37</v>
      </c>
      <c r="V90" s="26">
        <f>V66/V65</f>
        <v>0.37346333436528212</v>
      </c>
      <c r="W90" s="155">
        <v>0.37</v>
      </c>
      <c r="X90" s="129">
        <v>0.37</v>
      </c>
      <c r="Y90" s="129">
        <v>0.37</v>
      </c>
      <c r="Z90" s="136">
        <v>0.37</v>
      </c>
      <c r="AA90" s="26">
        <f ca="1">AA66/AA65</f>
        <v>0.37</v>
      </c>
      <c r="AB90" s="155">
        <v>0.37</v>
      </c>
      <c r="AC90" s="129">
        <v>0.37</v>
      </c>
      <c r="AD90" s="129">
        <v>0.37</v>
      </c>
      <c r="AE90" s="136">
        <v>0.37</v>
      </c>
      <c r="AF90" s="26">
        <f ca="1">AF66/AF65</f>
        <v>0.37</v>
      </c>
    </row>
    <row r="91" spans="2:32" x14ac:dyDescent="0.25">
      <c r="G91" s="26"/>
      <c r="H91" s="26"/>
      <c r="I91" s="26"/>
      <c r="J91" s="26"/>
      <c r="K91" s="26"/>
      <c r="L91" s="26"/>
      <c r="M91" s="83"/>
      <c r="N91" s="84"/>
      <c r="O91" s="84"/>
      <c r="P91" s="114"/>
      <c r="Q91" s="26"/>
      <c r="R91" s="83"/>
      <c r="S91" s="84"/>
      <c r="T91" s="84"/>
      <c r="U91" s="114"/>
      <c r="V91" s="26"/>
      <c r="W91" s="83"/>
      <c r="X91" s="84"/>
      <c r="Y91" s="84"/>
      <c r="Z91" s="114"/>
      <c r="AA91" s="26"/>
      <c r="AB91" s="83"/>
      <c r="AC91" s="84"/>
      <c r="AD91" s="84"/>
      <c r="AE91" s="114"/>
      <c r="AF91" s="26"/>
    </row>
    <row r="92" spans="2:32" x14ac:dyDescent="0.25">
      <c r="B92" s="41" t="s">
        <v>102</v>
      </c>
      <c r="G92" s="26"/>
      <c r="H92" s="26"/>
      <c r="I92" s="26"/>
      <c r="J92" s="26"/>
      <c r="K92" s="26"/>
      <c r="L92" s="26"/>
      <c r="M92" s="83"/>
      <c r="N92" s="84"/>
      <c r="O92" s="84"/>
      <c r="P92" s="114"/>
      <c r="Q92" s="26"/>
      <c r="R92" s="83"/>
      <c r="S92" s="84"/>
      <c r="T92" s="84"/>
      <c r="U92" s="114"/>
      <c r="V92" s="26"/>
      <c r="W92" s="83"/>
      <c r="X92" s="84"/>
      <c r="Y92" s="84"/>
      <c r="Z92" s="114"/>
      <c r="AA92" s="26"/>
      <c r="AB92" s="83"/>
      <c r="AC92" s="84"/>
      <c r="AD92" s="84"/>
      <c r="AE92" s="114"/>
      <c r="AF92" s="26"/>
    </row>
    <row r="93" spans="2:32" x14ac:dyDescent="0.25">
      <c r="B93" s="15" t="s">
        <v>114</v>
      </c>
      <c r="G93" s="26"/>
      <c r="H93" s="26"/>
      <c r="I93" s="26"/>
      <c r="J93" s="26"/>
      <c r="K93" s="26"/>
      <c r="L93" s="26">
        <f t="shared" ref="L93:AF93" si="227">L58/G58-1</f>
        <v>0.2137470123452907</v>
      </c>
      <c r="M93" s="83">
        <f t="shared" si="227"/>
        <v>0.21624893172870818</v>
      </c>
      <c r="N93" s="84">
        <f t="shared" si="227"/>
        <v>0.1944374833159912</v>
      </c>
      <c r="O93" s="84">
        <f t="shared" si="227"/>
        <v>0.22123257728751478</v>
      </c>
      <c r="P93" s="114">
        <f t="shared" si="227"/>
        <v>0.21062463191112202</v>
      </c>
      <c r="Q93" s="26">
        <f t="shared" si="227"/>
        <v>0.21062534707225278</v>
      </c>
      <c r="R93" s="83">
        <f t="shared" si="227"/>
        <v>0.23682616037837989</v>
      </c>
      <c r="S93" s="84">
        <f t="shared" si="227"/>
        <v>0.21917470829499219</v>
      </c>
      <c r="T93" s="84">
        <f t="shared" si="227"/>
        <v>0.24212144504227506</v>
      </c>
      <c r="U93" s="114">
        <f t="shared" si="227"/>
        <v>0.21597347582742721</v>
      </c>
      <c r="V93" s="26">
        <f t="shared" si="227"/>
        <v>0.22737045045041304</v>
      </c>
      <c r="W93" s="83">
        <f t="shared" ca="1" si="227"/>
        <v>0.13597107037093425</v>
      </c>
      <c r="X93" s="84">
        <f t="shared" ca="1" si="227"/>
        <v>0.12735898959397729</v>
      </c>
      <c r="Y93" s="84">
        <f t="shared" ca="1" si="227"/>
        <v>0.11754045476358566</v>
      </c>
      <c r="Z93" s="114">
        <f t="shared" ca="1" si="227"/>
        <v>0.10759113746936988</v>
      </c>
      <c r="AA93" s="26">
        <f t="shared" ca="1" si="227"/>
        <v>0.12064308296494008</v>
      </c>
      <c r="AB93" s="83">
        <f t="shared" ca="1" si="227"/>
        <v>9.7953813887785346E-2</v>
      </c>
      <c r="AC93" s="84">
        <f t="shared" ca="1" si="227"/>
        <v>8.8629571006831886E-2</v>
      </c>
      <c r="AD93" s="84">
        <f t="shared" ca="1" si="227"/>
        <v>7.914328166254192E-2</v>
      </c>
      <c r="AE93" s="114">
        <f t="shared" ca="1" si="227"/>
        <v>6.9624621382080365E-2</v>
      </c>
      <c r="AF93" s="26">
        <f t="shared" ca="1" si="227"/>
        <v>8.2500223033644682E-2</v>
      </c>
    </row>
    <row r="94" spans="2:32" x14ac:dyDescent="0.25">
      <c r="B94" s="15" t="s">
        <v>43</v>
      </c>
      <c r="G94" s="26"/>
      <c r="H94" s="26"/>
      <c r="I94" s="26"/>
      <c r="J94" s="26"/>
      <c r="K94" s="26"/>
      <c r="L94" s="26">
        <f t="shared" ref="L94:AF94" si="228">L60/G60-1</f>
        <v>0.20777733392262232</v>
      </c>
      <c r="M94" s="83">
        <f t="shared" si="228"/>
        <v>-0.57523572018997715</v>
      </c>
      <c r="N94" s="84">
        <f t="shared" si="228"/>
        <v>-0.58259333511296085</v>
      </c>
      <c r="O94" s="84">
        <f t="shared" si="228"/>
        <v>-0.54991538401710016</v>
      </c>
      <c r="P94" s="114">
        <f t="shared" si="228"/>
        <v>0.25534616011459987</v>
      </c>
      <c r="Q94" s="26">
        <f t="shared" si="228"/>
        <v>0.21773054261983882</v>
      </c>
      <c r="R94" s="83">
        <f t="shared" si="228"/>
        <v>0.28776584516333314</v>
      </c>
      <c r="S94" s="84">
        <f t="shared" si="228"/>
        <v>0.25569132881964252</v>
      </c>
      <c r="T94" s="84">
        <f t="shared" si="228"/>
        <v>0.27226654907966319</v>
      </c>
      <c r="U94" s="114">
        <f t="shared" si="228"/>
        <v>0.26457186773238339</v>
      </c>
      <c r="V94" s="26">
        <f t="shared" si="228"/>
        <v>0.26955114818858772</v>
      </c>
      <c r="W94" s="83">
        <f t="shared" ca="1" si="228"/>
        <v>0.13597107037093425</v>
      </c>
      <c r="X94" s="84">
        <f t="shared" ca="1" si="228"/>
        <v>0.12735898959397729</v>
      </c>
      <c r="Y94" s="84">
        <f t="shared" ca="1" si="228"/>
        <v>0.11754045476358588</v>
      </c>
      <c r="Z94" s="114">
        <f t="shared" ca="1" si="228"/>
        <v>0.10759113746936988</v>
      </c>
      <c r="AA94" s="26">
        <f t="shared" ca="1" si="228"/>
        <v>0.1206417908099473</v>
      </c>
      <c r="AB94" s="83">
        <f t="shared" ca="1" si="228"/>
        <v>9.7953813887785346E-2</v>
      </c>
      <c r="AC94" s="84">
        <f t="shared" ca="1" si="228"/>
        <v>8.8629571006831886E-2</v>
      </c>
      <c r="AD94" s="84">
        <f t="shared" ca="1" si="228"/>
        <v>7.914328166254192E-2</v>
      </c>
      <c r="AE94" s="114">
        <f t="shared" ca="1" si="228"/>
        <v>6.9624621382080365E-2</v>
      </c>
      <c r="AF94" s="26">
        <f t="shared" ca="1" si="228"/>
        <v>8.2496943129866329E-2</v>
      </c>
    </row>
    <row r="95" spans="2:32" x14ac:dyDescent="0.25">
      <c r="B95" s="15" t="s">
        <v>46</v>
      </c>
      <c r="G95" s="26"/>
      <c r="H95" s="26"/>
      <c r="I95" s="26"/>
      <c r="J95" s="26"/>
      <c r="K95" s="26"/>
      <c r="L95" s="26">
        <f t="shared" ref="L95:AF95" si="229">L63/G63-1</f>
        <v>0.25295187857919221</v>
      </c>
      <c r="M95" s="83">
        <f t="shared" si="229"/>
        <v>-0.84927637754458729</v>
      </c>
      <c r="N95" s="84">
        <f t="shared" si="229"/>
        <v>-0.83866222849329097</v>
      </c>
      <c r="O95" s="84">
        <f t="shared" si="229"/>
        <v>-0.85146073201541594</v>
      </c>
      <c r="P95" s="114">
        <f t="shared" si="229"/>
        <v>0.23295772803654602</v>
      </c>
      <c r="Q95" s="26">
        <f t="shared" si="229"/>
        <v>0.23352304288930226</v>
      </c>
      <c r="R95" s="83">
        <f t="shared" si="229"/>
        <v>0.3679240021564949</v>
      </c>
      <c r="S95" s="84">
        <f t="shared" si="229"/>
        <v>0.21365017727502922</v>
      </c>
      <c r="T95" s="84">
        <f t="shared" si="229"/>
        <v>0.2605422094629366</v>
      </c>
      <c r="U95" s="114">
        <f t="shared" si="229"/>
        <v>0.25567873218097592</v>
      </c>
      <c r="V95" s="26">
        <f t="shared" si="229"/>
        <v>0.27075983108122337</v>
      </c>
      <c r="W95" s="83">
        <f t="shared" ca="1" si="229"/>
        <v>0.13597107037093425</v>
      </c>
      <c r="X95" s="84">
        <f t="shared" ca="1" si="229"/>
        <v>0.12735898959397729</v>
      </c>
      <c r="Y95" s="84">
        <f t="shared" ca="1" si="229"/>
        <v>0.11754045476358566</v>
      </c>
      <c r="Z95" s="114">
        <f t="shared" ca="1" si="229"/>
        <v>0.10759113746936966</v>
      </c>
      <c r="AA95" s="26">
        <f t="shared" ca="1" si="229"/>
        <v>0.1206590200123927</v>
      </c>
      <c r="AB95" s="83">
        <f t="shared" ca="1" si="229"/>
        <v>9.7953813887785346E-2</v>
      </c>
      <c r="AC95" s="84">
        <f t="shared" ca="1" si="229"/>
        <v>8.8629571006832109E-2</v>
      </c>
      <c r="AD95" s="84">
        <f t="shared" ca="1" si="229"/>
        <v>7.9143281662542142E-2</v>
      </c>
      <c r="AE95" s="114">
        <f t="shared" ca="1" si="229"/>
        <v>6.9624621382080587E-2</v>
      </c>
      <c r="AF95" s="26">
        <f t="shared" ca="1" si="229"/>
        <v>8.252513867345268E-2</v>
      </c>
    </row>
    <row r="96" spans="2:32" x14ac:dyDescent="0.25">
      <c r="B96" s="15" t="s">
        <v>103</v>
      </c>
      <c r="G96" s="26"/>
      <c r="H96" s="26"/>
      <c r="I96" s="26"/>
      <c r="J96" s="26"/>
      <c r="K96" s="26"/>
      <c r="L96" s="26">
        <f t="shared" ref="L96:AF96" si="230">L72/G72-1</f>
        <v>0.2497170818054224</v>
      </c>
      <c r="M96" s="83">
        <f t="shared" si="230"/>
        <v>-0.79608417277274202</v>
      </c>
      <c r="N96" s="84">
        <f t="shared" si="230"/>
        <v>-0.78585768063674344</v>
      </c>
      <c r="O96" s="84">
        <f t="shared" si="230"/>
        <v>-0.79471974810988533</v>
      </c>
      <c r="P96" s="114">
        <f t="shared" si="230"/>
        <v>0.56756894381924283</v>
      </c>
      <c r="Q96" s="26">
        <f t="shared" si="230"/>
        <v>0.23816154447673954</v>
      </c>
      <c r="R96" s="83">
        <f t="shared" si="230"/>
        <v>0.34010539405973272</v>
      </c>
      <c r="S96" s="84">
        <f t="shared" si="230"/>
        <v>0.23025357594876317</v>
      </c>
      <c r="T96" s="84">
        <f t="shared" si="230"/>
        <v>0.26135665852288326</v>
      </c>
      <c r="U96" s="114">
        <f t="shared" si="230"/>
        <v>0.24720330010903457</v>
      </c>
      <c r="V96" s="26">
        <f t="shared" si="230"/>
        <v>0.26660210819257824</v>
      </c>
      <c r="W96" s="83">
        <f t="shared" ca="1" si="230"/>
        <v>0.13597107037093425</v>
      </c>
      <c r="X96" s="84">
        <f t="shared" ca="1" si="230"/>
        <v>0.12735898959397729</v>
      </c>
      <c r="Y96" s="84">
        <f t="shared" ca="1" si="230"/>
        <v>0.11754045476358588</v>
      </c>
      <c r="Z96" s="114">
        <f t="shared" ca="1" si="230"/>
        <v>0.10759113746936988</v>
      </c>
      <c r="AA96" s="26">
        <f t="shared" ca="1" si="230"/>
        <v>0.12085701272938154</v>
      </c>
      <c r="AB96" s="83">
        <f t="shared" ca="1" si="230"/>
        <v>9.7953813887785346E-2</v>
      </c>
      <c r="AC96" s="84">
        <f t="shared" ca="1" si="230"/>
        <v>8.8629571006832109E-2</v>
      </c>
      <c r="AD96" s="84">
        <f t="shared" ca="1" si="230"/>
        <v>7.914328166254192E-2</v>
      </c>
      <c r="AE96" s="114">
        <f t="shared" ca="1" si="230"/>
        <v>6.9624621382080587E-2</v>
      </c>
      <c r="AF96" s="26">
        <f t="shared" ca="1" si="230"/>
        <v>8.2713827786482286E-2</v>
      </c>
    </row>
    <row r="97" spans="2:32" x14ac:dyDescent="0.25">
      <c r="B97" s="15" t="s">
        <v>115</v>
      </c>
      <c r="G97" s="26"/>
      <c r="H97" s="26"/>
      <c r="I97" s="26"/>
      <c r="J97" s="26"/>
      <c r="K97" s="26"/>
      <c r="L97" s="26">
        <f t="shared" ref="L97:AF97" si="231">L69/G69-1</f>
        <v>0.26420701651539447</v>
      </c>
      <c r="M97" s="83" t="e">
        <f t="shared" si="231"/>
        <v>#DIV/0!</v>
      </c>
      <c r="N97" s="84" t="e">
        <f t="shared" si="231"/>
        <v>#DIV/0!</v>
      </c>
      <c r="O97" s="84" t="e">
        <f t="shared" si="231"/>
        <v>#DIV/0!</v>
      </c>
      <c r="P97" s="114">
        <f t="shared" si="231"/>
        <v>0.2489814855946888</v>
      </c>
      <c r="Q97" s="26">
        <f t="shared" si="231"/>
        <v>0.25213083014604609</v>
      </c>
      <c r="R97" s="83">
        <f t="shared" si="231"/>
        <v>0.40034806540794632</v>
      </c>
      <c r="S97" s="84">
        <f t="shared" si="231"/>
        <v>0.2443517141928806</v>
      </c>
      <c r="T97" s="84">
        <f t="shared" si="231"/>
        <v>0.26114916442847758</v>
      </c>
      <c r="U97" s="114">
        <f t="shared" si="231"/>
        <v>0.27001366194407406</v>
      </c>
      <c r="V97" s="26">
        <f t="shared" si="231"/>
        <v>0.2892451367198321</v>
      </c>
      <c r="W97" s="83">
        <f t="shared" ca="1" si="231"/>
        <v>0.15900174943371592</v>
      </c>
      <c r="X97" s="84">
        <f t="shared" ca="1" si="231"/>
        <v>0.13843344693686532</v>
      </c>
      <c r="Y97" s="84">
        <f t="shared" ca="1" si="231"/>
        <v>0.12462921717875397</v>
      </c>
      <c r="Z97" s="114">
        <f t="shared" ca="1" si="231"/>
        <v>0.10748457521020716</v>
      </c>
      <c r="AA97" s="26">
        <f t="shared" ca="1" si="231"/>
        <v>0.12976649687491748</v>
      </c>
      <c r="AB97" s="83">
        <f t="shared" ca="1" si="231"/>
        <v>9.7769590190767586E-2</v>
      </c>
      <c r="AC97" s="84">
        <f t="shared" ca="1" si="231"/>
        <v>8.8494164719335133E-2</v>
      </c>
      <c r="AD97" s="84">
        <f t="shared" ca="1" si="231"/>
        <v>7.9036407981379897E-2</v>
      </c>
      <c r="AE97" s="114">
        <f t="shared" ca="1" si="231"/>
        <v>6.9562355222480887E-2</v>
      </c>
      <c r="AF97" s="26">
        <f t="shared" ca="1" si="231"/>
        <v>8.2412553037197078E-2</v>
      </c>
    </row>
    <row r="98" spans="2:32" x14ac:dyDescent="0.25">
      <c r="B98" s="15" t="s">
        <v>116</v>
      </c>
      <c r="G98" s="26"/>
      <c r="H98" s="26"/>
      <c r="I98" s="26"/>
      <c r="J98" s="26"/>
      <c r="K98" s="26"/>
      <c r="L98" s="26">
        <f t="shared" ref="L98:AF98" si="232">L73/G73-1</f>
        <v>0.77586995235116385</v>
      </c>
      <c r="M98" s="83">
        <f t="shared" si="232"/>
        <v>-0.98364739341804786</v>
      </c>
      <c r="N98" s="84">
        <f t="shared" si="232"/>
        <v>-0.65880180214535933</v>
      </c>
      <c r="O98" s="84">
        <f t="shared" si="232"/>
        <v>-1.4628105379752774</v>
      </c>
      <c r="P98" s="114">
        <f t="shared" si="232"/>
        <v>0.82950586725339037</v>
      </c>
      <c r="Q98" s="26">
        <f t="shared" si="232"/>
        <v>-0.48023226663233676</v>
      </c>
      <c r="R98" s="83">
        <f t="shared" si="232"/>
        <v>8.6477039067854999</v>
      </c>
      <c r="S98" s="84">
        <f t="shared" si="232"/>
        <v>-1.1699584863483954</v>
      </c>
      <c r="T98" s="84">
        <f t="shared" si="232"/>
        <v>-0.91824772258408482</v>
      </c>
      <c r="U98" s="114">
        <f t="shared" si="232"/>
        <v>-0.24137890239126991</v>
      </c>
      <c r="V98" s="26">
        <f t="shared" si="232"/>
        <v>1.1239031472681384</v>
      </c>
      <c r="W98" s="83">
        <f t="shared" ca="1" si="232"/>
        <v>9.944619649708164E-3</v>
      </c>
      <c r="X98" s="84">
        <f t="shared" ca="1" si="232"/>
        <v>-1.2832396702193842</v>
      </c>
      <c r="Y98" s="84">
        <f t="shared" ca="1" si="232"/>
        <v>6.1950448232696242E-2</v>
      </c>
      <c r="Z98" s="114">
        <f t="shared" ca="1" si="232"/>
        <v>0.12786885461079267</v>
      </c>
      <c r="AA98" s="26">
        <f t="shared" ca="1" si="232"/>
        <v>0.42654433103264422</v>
      </c>
      <c r="AB98" s="83">
        <f t="shared" ca="1" si="232"/>
        <v>0.11694824427675177</v>
      </c>
      <c r="AC98" s="84">
        <f t="shared" ca="1" si="232"/>
        <v>0.23270608136821447</v>
      </c>
      <c r="AD98" s="84">
        <f t="shared" ca="1" si="232"/>
        <v>-7.1871227948772098E-4</v>
      </c>
      <c r="AE98" s="114">
        <f t="shared" ca="1" si="232"/>
        <v>8.9621469699827205E-2</v>
      </c>
      <c r="AF98" s="26">
        <f t="shared" ca="1" si="232"/>
        <v>0.12206304380762178</v>
      </c>
    </row>
    <row r="99" spans="2:32" x14ac:dyDescent="0.25">
      <c r="G99" s="26"/>
      <c r="H99" s="26"/>
      <c r="I99" s="26"/>
      <c r="J99" s="26"/>
      <c r="K99" s="26"/>
      <c r="L99" s="26"/>
      <c r="M99" s="83"/>
      <c r="N99" s="84"/>
      <c r="O99" s="84"/>
      <c r="P99" s="114"/>
      <c r="Q99" s="26"/>
      <c r="R99" s="83"/>
      <c r="S99" s="84"/>
      <c r="T99" s="84"/>
      <c r="U99" s="114"/>
      <c r="V99" s="26"/>
      <c r="W99" s="83"/>
      <c r="X99" s="84"/>
      <c r="Y99" s="84"/>
      <c r="Z99" s="114"/>
      <c r="AA99" s="26"/>
      <c r="AB99" s="83"/>
      <c r="AC99" s="84"/>
      <c r="AD99" s="84"/>
      <c r="AE99" s="114"/>
      <c r="AF99" s="26"/>
    </row>
    <row r="100" spans="2:32" x14ac:dyDescent="0.25">
      <c r="B100" s="41" t="s">
        <v>122</v>
      </c>
      <c r="G100" s="26"/>
      <c r="H100" s="26"/>
      <c r="I100" s="26"/>
      <c r="J100" s="26"/>
      <c r="K100" s="26"/>
      <c r="L100" s="26"/>
      <c r="M100" s="83"/>
      <c r="N100" s="84"/>
      <c r="O100" s="84"/>
      <c r="P100" s="114"/>
      <c r="Q100" s="26"/>
      <c r="R100" s="83"/>
      <c r="S100" s="84"/>
      <c r="T100" s="84"/>
      <c r="U100" s="114"/>
      <c r="V100" s="26"/>
      <c r="W100" s="83"/>
      <c r="X100" s="84"/>
      <c r="Y100" s="84"/>
      <c r="Z100" s="114"/>
      <c r="AA100" s="26"/>
      <c r="AB100" s="83"/>
      <c r="AC100" s="84"/>
      <c r="AD100" s="84"/>
      <c r="AE100" s="114"/>
      <c r="AF100" s="26"/>
    </row>
    <row r="101" spans="2:32" x14ac:dyDescent="0.25">
      <c r="B101" s="15" t="s">
        <v>123</v>
      </c>
      <c r="G101" s="26">
        <f t="shared" ref="G101:L101" si="233">G67/G128</f>
        <v>0.20222332104468757</v>
      </c>
      <c r="H101" s="26" t="e">
        <f t="shared" si="233"/>
        <v>#DIV/0!</v>
      </c>
      <c r="I101" s="26" t="e">
        <f t="shared" si="233"/>
        <v>#DIV/0!</v>
      </c>
      <c r="J101" s="26" t="e">
        <f t="shared" si="233"/>
        <v>#DIV/0!</v>
      </c>
      <c r="K101" s="26">
        <f t="shared" si="233"/>
        <v>6.9950597550799284E-2</v>
      </c>
      <c r="L101" s="26">
        <f t="shared" si="233"/>
        <v>0.20617005568697319</v>
      </c>
      <c r="M101" s="83">
        <f>M67/M128*4</f>
        <v>0.20551579642129406</v>
      </c>
      <c r="N101" s="84">
        <f>N67/N128*4</f>
        <v>0.22077573190433919</v>
      </c>
      <c r="O101" s="84">
        <f>O67/O128*4</f>
        <v>0.20687562356321221</v>
      </c>
      <c r="P101" s="114">
        <f>P67/P128*4</f>
        <v>0.298923130448282</v>
      </c>
      <c r="Q101" s="26">
        <f>Q67/Q128</f>
        <v>0.22178675238376427</v>
      </c>
      <c r="R101" s="83">
        <f>R67/R128*4</f>
        <v>0.27878104521674807</v>
      </c>
      <c r="S101" s="84">
        <f>S67/S128*4</f>
        <v>0.25864388977374686</v>
      </c>
      <c r="T101" s="84">
        <f>T67/T128*4</f>
        <v>0.24111552775183828</v>
      </c>
      <c r="U101" s="114">
        <f>U67/U128*4</f>
        <v>0.33767675357252092</v>
      </c>
      <c r="V101" s="26">
        <f>V67/V128</f>
        <v>0.25393880910507355</v>
      </c>
      <c r="W101" s="83">
        <f ca="1">W67/W128*4</f>
        <v>0.24836794153069064</v>
      </c>
      <c r="X101" s="84">
        <f ca="1">X67/X128*4</f>
        <v>0.22644151727873685</v>
      </c>
      <c r="Y101" s="84">
        <f ca="1">Y67/Y128*4</f>
        <v>0.20612524082431358</v>
      </c>
      <c r="Z101" s="114">
        <f ca="1">Z67/Z128*4</f>
        <v>0.28827598383470338</v>
      </c>
      <c r="AA101" s="26">
        <f ca="1">AA67/AA128</f>
        <v>0.22054375118864694</v>
      </c>
      <c r="AB101" s="83">
        <f ca="1">AB67/AB128*4</f>
        <v>0.21231516684753687</v>
      </c>
      <c r="AC101" s="84">
        <f ca="1">AC67/AC128*4</f>
        <v>0.19372202655485957</v>
      </c>
      <c r="AD101" s="84">
        <f ca="1">AD67/AD128*4</f>
        <v>0.17629485493027131</v>
      </c>
      <c r="AE101" s="114">
        <f ca="1">AE67/AE128*4</f>
        <v>0.2471920972443491</v>
      </c>
      <c r="AF101" s="26">
        <f ca="1">AF67/AF128</f>
        <v>0.1913848639227404</v>
      </c>
    </row>
    <row r="102" spans="2:32" x14ac:dyDescent="0.25">
      <c r="B102" s="15" t="s">
        <v>124</v>
      </c>
      <c r="G102" s="26">
        <f t="shared" ref="G102:L102" si="234">(G63-G66)/G128</f>
        <v>0.20210568501057713</v>
      </c>
      <c r="H102" s="26" t="e">
        <f t="shared" si="234"/>
        <v>#DIV/0!</v>
      </c>
      <c r="I102" s="26" t="e">
        <f t="shared" si="234"/>
        <v>#DIV/0!</v>
      </c>
      <c r="J102" s="26" t="e">
        <f t="shared" si="234"/>
        <v>#DIV/0!</v>
      </c>
      <c r="K102" s="26">
        <f t="shared" si="234"/>
        <v>6.9765428546006536E-2</v>
      </c>
      <c r="L102" s="26">
        <f t="shared" si="234"/>
        <v>0.20545342759050253</v>
      </c>
      <c r="M102" s="83">
        <f>(M63-M66)/M128*4</f>
        <v>0.20456106555332548</v>
      </c>
      <c r="N102" s="84">
        <f>(N63-N66)/N128*4</f>
        <v>0.21995417435326528</v>
      </c>
      <c r="O102" s="84">
        <f>(O63-O66)/O128*4</f>
        <v>0.20605184698422827</v>
      </c>
      <c r="P102" s="114">
        <f>(P63-P66)/P128*4</f>
        <v>0.2981663139014446</v>
      </c>
      <c r="Q102" s="26">
        <f>(Q63-Q66)/Q128</f>
        <v>0.22099459000919</v>
      </c>
      <c r="R102" s="83">
        <f>(R63-R66)/R128*4</f>
        <v>0.27782627408902694</v>
      </c>
      <c r="S102" s="84">
        <f>(S63-S66)/S128*4</f>
        <v>0.25793121384085627</v>
      </c>
      <c r="T102" s="84">
        <f>(T63-T66)/T128*4</f>
        <v>0.24053429415929126</v>
      </c>
      <c r="U102" s="114">
        <f>(U63-U66)/U128*4</f>
        <v>0.33714588436588339</v>
      </c>
      <c r="V102" s="26">
        <f>(V63-V66)/V128</f>
        <v>0.2533192520333461</v>
      </c>
      <c r="W102" s="83">
        <f ca="1">(W63-W66)/W128*4</f>
        <v>0.24762649620464572</v>
      </c>
      <c r="X102" s="84">
        <f ca="1">(X63-X66)/X128*4</f>
        <v>0.22589238662139244</v>
      </c>
      <c r="Y102" s="84">
        <f ca="1">(Y63-Y66)/Y128*4</f>
        <v>0.20568341882063917</v>
      </c>
      <c r="Z102" s="114">
        <f ca="1">(Z63-Z66)/Z128*4</f>
        <v>0.2878667635553333</v>
      </c>
      <c r="AA102" s="26">
        <f ca="1">(AA63-AA66)/AA128</f>
        <v>0.22006616590999828</v>
      </c>
      <c r="AB102" s="83">
        <f ca="1">(AB63-AB66)/AB128*4</f>
        <v>0.21173779790722583</v>
      </c>
      <c r="AC102" s="84">
        <f ca="1">(AC63-AC66)/AC128*4</f>
        <v>0.19329043540277932</v>
      </c>
      <c r="AD102" s="84">
        <f ca="1">(AD63-AD66)/AD128*4</f>
        <v>0.17594465205770651</v>
      </c>
      <c r="AE102" s="114">
        <f ca="1">(AE63-AE66)/AE128*4</f>
        <v>0.24686401920729165</v>
      </c>
      <c r="AF102" s="26">
        <f ca="1">(AF63-AF66)/AF128</f>
        <v>0.19100197664015556</v>
      </c>
    </row>
    <row r="103" spans="2:32" x14ac:dyDescent="0.25">
      <c r="G103" s="19"/>
      <c r="H103" s="19"/>
      <c r="I103" s="19"/>
      <c r="J103" s="19"/>
      <c r="K103" s="19"/>
      <c r="L103" s="19"/>
      <c r="M103" s="91"/>
      <c r="N103" s="92"/>
      <c r="O103" s="92"/>
      <c r="P103" s="118"/>
      <c r="Q103" s="19"/>
      <c r="R103" s="91"/>
      <c r="S103" s="92"/>
      <c r="T103" s="92"/>
      <c r="U103" s="112"/>
      <c r="V103" s="17"/>
      <c r="W103" s="79"/>
      <c r="X103" s="80"/>
      <c r="Y103" s="80"/>
      <c r="Z103" s="112"/>
      <c r="AA103" s="17"/>
      <c r="AB103" s="79"/>
      <c r="AC103" s="80"/>
      <c r="AD103" s="80"/>
      <c r="AE103" s="112"/>
      <c r="AF103" s="17"/>
    </row>
    <row r="104" spans="2:32" x14ac:dyDescent="0.25">
      <c r="B104" s="162" t="s">
        <v>22</v>
      </c>
      <c r="C104" s="163"/>
      <c r="D104" s="163"/>
      <c r="E104" s="163"/>
      <c r="F104" s="163"/>
      <c r="G104" s="163"/>
      <c r="H104" s="163"/>
      <c r="I104" s="163"/>
      <c r="J104" s="163"/>
      <c r="K104" s="163"/>
      <c r="L104" s="163"/>
      <c r="M104" s="162"/>
      <c r="N104" s="163"/>
      <c r="O104" s="163"/>
      <c r="P104" s="164"/>
      <c r="Q104" s="163"/>
      <c r="R104" s="162"/>
      <c r="S104" s="163"/>
      <c r="T104" s="163"/>
      <c r="U104" s="164"/>
      <c r="V104" s="163"/>
      <c r="W104" s="162"/>
      <c r="X104" s="163"/>
      <c r="Y104" s="163"/>
      <c r="Z104" s="164"/>
      <c r="AA104" s="163"/>
      <c r="AB104" s="162"/>
      <c r="AC104" s="163"/>
      <c r="AD104" s="163"/>
      <c r="AE104" s="164"/>
      <c r="AF104" s="164"/>
    </row>
    <row r="105" spans="2:32" x14ac:dyDescent="0.25">
      <c r="G105" s="19"/>
      <c r="H105" s="19"/>
      <c r="I105" s="19"/>
      <c r="J105" s="19"/>
      <c r="K105" s="19"/>
      <c r="L105" s="19"/>
      <c r="M105" s="91"/>
      <c r="N105" s="92"/>
      <c r="O105" s="92"/>
      <c r="P105" s="118"/>
      <c r="Q105" s="19"/>
      <c r="R105" s="91"/>
      <c r="S105" s="92"/>
      <c r="T105" s="92"/>
      <c r="U105" s="112"/>
      <c r="V105" s="17"/>
      <c r="W105" s="79"/>
      <c r="X105" s="80"/>
      <c r="Y105" s="80"/>
      <c r="Z105" s="112"/>
      <c r="AA105" s="17"/>
      <c r="AB105" s="79"/>
      <c r="AC105" s="80"/>
      <c r="AD105" s="80"/>
      <c r="AE105" s="112"/>
      <c r="AF105" s="17"/>
    </row>
    <row r="106" spans="2:32" x14ac:dyDescent="0.25">
      <c r="B106" t="s">
        <v>52</v>
      </c>
      <c r="G106" s="19"/>
      <c r="H106" s="19"/>
      <c r="I106" s="19"/>
      <c r="J106" s="19"/>
      <c r="K106" s="19">
        <v>389.149</v>
      </c>
      <c r="L106" s="17">
        <f>K106</f>
        <v>389.149</v>
      </c>
      <c r="M106" s="91">
        <v>386</v>
      </c>
      <c r="N106" s="92">
        <v>325.214</v>
      </c>
      <c r="O106" s="92">
        <v>209.55199999999999</v>
      </c>
      <c r="P106" s="119">
        <f>Q106</f>
        <v>345.84</v>
      </c>
      <c r="Q106" s="19">
        <v>345.84</v>
      </c>
      <c r="R106" s="91">
        <v>239.25</v>
      </c>
      <c r="S106" s="92">
        <v>194.084</v>
      </c>
      <c r="T106" s="92">
        <v>133.108</v>
      </c>
      <c r="U106" s="112">
        <f>U175</f>
        <v>255.64085823323401</v>
      </c>
      <c r="V106" s="17">
        <f>U106</f>
        <v>255.64085823323401</v>
      </c>
      <c r="W106" s="79">
        <f t="shared" ref="W106:AE106" ca="1" si="235">W175</f>
        <v>372.57170196274825</v>
      </c>
      <c r="X106" s="80">
        <f t="shared" ca="1" si="235"/>
        <v>386.11348064134916</v>
      </c>
      <c r="Y106" s="80">
        <f t="shared" ca="1" si="235"/>
        <v>360.46554874446372</v>
      </c>
      <c r="Z106" s="112">
        <f t="shared" ca="1" si="235"/>
        <v>498.41709730747499</v>
      </c>
      <c r="AA106" s="17">
        <f ca="1">Z106</f>
        <v>498.41709730747499</v>
      </c>
      <c r="AB106" s="79">
        <f t="shared" ca="1" si="235"/>
        <v>628.64821268653668</v>
      </c>
      <c r="AC106" s="80">
        <f t="shared" ca="1" si="235"/>
        <v>644.99637520360284</v>
      </c>
      <c r="AD106" s="80">
        <f t="shared" ca="1" si="235"/>
        <v>619.36997803380109</v>
      </c>
      <c r="AE106" s="112">
        <f t="shared" ca="1" si="235"/>
        <v>769.5638685208321</v>
      </c>
      <c r="AF106" s="17">
        <f ca="1">AE106</f>
        <v>769.5638685208321</v>
      </c>
    </row>
    <row r="107" spans="2:32" x14ac:dyDescent="0.25">
      <c r="B107" t="s">
        <v>53</v>
      </c>
      <c r="G107" s="19"/>
      <c r="H107" s="19"/>
      <c r="I107" s="19"/>
      <c r="J107" s="19"/>
      <c r="K107" s="19">
        <v>150.21</v>
      </c>
      <c r="L107" s="17">
        <f t="shared" ref="L107:L128" si="236">K107</f>
        <v>150.21</v>
      </c>
      <c r="M107" s="91">
        <v>150.19999999999999</v>
      </c>
      <c r="N107" s="92">
        <v>150.209</v>
      </c>
      <c r="O107" s="92">
        <v>150.19999999999999</v>
      </c>
      <c r="P107" s="119">
        <f t="shared" ref="P107:P112" si="237">Q107</f>
        <v>130</v>
      </c>
      <c r="Q107" s="19">
        <v>130</v>
      </c>
      <c r="R107" s="91">
        <v>130</v>
      </c>
      <c r="S107" s="92">
        <v>110</v>
      </c>
      <c r="T107" s="92">
        <v>110</v>
      </c>
      <c r="U107" s="112">
        <f>T107</f>
        <v>110</v>
      </c>
      <c r="V107" s="17">
        <f t="shared" ref="V107:Z128" si="238">U107</f>
        <v>110</v>
      </c>
      <c r="W107" s="79">
        <f>V107</f>
        <v>110</v>
      </c>
      <c r="X107" s="80">
        <f t="shared" ref="X107:AE107" si="239">W107</f>
        <v>110</v>
      </c>
      <c r="Y107" s="80">
        <f t="shared" si="239"/>
        <v>110</v>
      </c>
      <c r="Z107" s="112">
        <f t="shared" si="239"/>
        <v>110</v>
      </c>
      <c r="AA107" s="17">
        <f t="shared" ref="AA107:AE128" si="240">Z107</f>
        <v>110</v>
      </c>
      <c r="AB107" s="79">
        <f t="shared" si="239"/>
        <v>110</v>
      </c>
      <c r="AC107" s="80">
        <f t="shared" si="239"/>
        <v>110</v>
      </c>
      <c r="AD107" s="80">
        <f t="shared" si="239"/>
        <v>110</v>
      </c>
      <c r="AE107" s="112">
        <f t="shared" si="239"/>
        <v>110</v>
      </c>
      <c r="AF107" s="17">
        <f t="shared" ref="AF107:AF128" si="241">AE107</f>
        <v>110</v>
      </c>
    </row>
    <row r="108" spans="2:32" x14ac:dyDescent="0.25">
      <c r="B108" t="s">
        <v>60</v>
      </c>
      <c r="G108" s="19"/>
      <c r="H108" s="19"/>
      <c r="I108" s="19"/>
      <c r="J108" s="19"/>
      <c r="K108" s="19">
        <v>52.44</v>
      </c>
      <c r="L108" s="17">
        <f t="shared" si="236"/>
        <v>52.44</v>
      </c>
      <c r="M108" s="91">
        <v>43.558</v>
      </c>
      <c r="N108" s="92">
        <v>45.277000000000001</v>
      </c>
      <c r="O108" s="92">
        <v>50.939</v>
      </c>
      <c r="P108" s="119">
        <f t="shared" si="237"/>
        <v>64.992000000000004</v>
      </c>
      <c r="Q108" s="19">
        <v>64.992000000000004</v>
      </c>
      <c r="R108" s="91">
        <v>54.112000000000002</v>
      </c>
      <c r="S108" s="92">
        <v>56</v>
      </c>
      <c r="T108" s="92">
        <v>65.709999999999994</v>
      </c>
      <c r="U108" s="112">
        <f>U132*U58/91</f>
        <v>79.028548140976156</v>
      </c>
      <c r="V108" s="17">
        <f t="shared" si="238"/>
        <v>79.028548140976156</v>
      </c>
      <c r="W108" s="79">
        <f t="shared" ref="W108:Z109" ca="1" si="242">W132*W58/91</f>
        <v>61.469666559911992</v>
      </c>
      <c r="X108" s="80">
        <f t="shared" ca="1" si="242"/>
        <v>63.132103417262734</v>
      </c>
      <c r="Y108" s="80">
        <f t="shared" ca="1" si="242"/>
        <v>73.433583282515215</v>
      </c>
      <c r="Z108" s="112">
        <f t="shared" ca="1" si="242"/>
        <v>87.531319528016638</v>
      </c>
      <c r="AA108" s="17">
        <f t="shared" ca="1" si="240"/>
        <v>87.531319528016638</v>
      </c>
      <c r="AB108" s="79">
        <f t="shared" ref="AB108:AE109" ca="1" si="243">AB132*AB58/91</f>
        <v>67.490854837865825</v>
      </c>
      <c r="AC108" s="80">
        <f t="shared" ca="1" si="243"/>
        <v>68.727474659893673</v>
      </c>
      <c r="AD108" s="80">
        <f t="shared" ca="1" si="243"/>
        <v>79.245358047733035</v>
      </c>
      <c r="AE108" s="112">
        <f t="shared" ca="1" si="243"/>
        <v>93.625654509228681</v>
      </c>
      <c r="AF108" s="17">
        <f t="shared" ca="1" si="241"/>
        <v>93.625654509228681</v>
      </c>
    </row>
    <row r="109" spans="2:32" x14ac:dyDescent="0.25">
      <c r="B109" t="s">
        <v>55</v>
      </c>
      <c r="G109" s="19"/>
      <c r="H109" s="19"/>
      <c r="I109" s="19"/>
      <c r="J109" s="19"/>
      <c r="K109" s="19">
        <v>581.22900000000004</v>
      </c>
      <c r="L109" s="17">
        <f t="shared" si="236"/>
        <v>581.22900000000004</v>
      </c>
      <c r="M109" s="91">
        <v>662.93600000000004</v>
      </c>
      <c r="N109" s="92">
        <v>705.66</v>
      </c>
      <c r="O109" s="92">
        <v>884.4</v>
      </c>
      <c r="P109" s="119">
        <f t="shared" si="237"/>
        <v>761.79300000000001</v>
      </c>
      <c r="Q109" s="19">
        <v>761.79300000000001</v>
      </c>
      <c r="R109" s="91">
        <v>843.49</v>
      </c>
      <c r="S109" s="92">
        <v>930.20500000000004</v>
      </c>
      <c r="T109" s="92">
        <v>1137.0229999999999</v>
      </c>
      <c r="U109" s="112">
        <f>U133*U59/91</f>
        <v>906.71928367134774</v>
      </c>
      <c r="V109" s="17">
        <f t="shared" si="238"/>
        <v>906.71928367134774</v>
      </c>
      <c r="W109" s="79">
        <f t="shared" ca="1" si="242"/>
        <v>958.18023814717958</v>
      </c>
      <c r="X109" s="80">
        <f t="shared" ca="1" si="242"/>
        <v>1048.6749689152655</v>
      </c>
      <c r="Y109" s="80">
        <f t="shared" ca="1" si="242"/>
        <v>1270.6692004966565</v>
      </c>
      <c r="Z109" s="112">
        <f t="shared" ca="1" si="242"/>
        <v>1004.2742427669605</v>
      </c>
      <c r="AA109" s="17">
        <f t="shared" ca="1" si="240"/>
        <v>1004.2742427669605</v>
      </c>
      <c r="AB109" s="79">
        <f t="shared" ca="1" si="243"/>
        <v>1052.0376468656023</v>
      </c>
      <c r="AC109" s="80">
        <f t="shared" ca="1" si="243"/>
        <v>1141.6185815358285</v>
      </c>
      <c r="AD109" s="80">
        <f t="shared" ca="1" si="243"/>
        <v>1371.2341309314802</v>
      </c>
      <c r="AE109" s="112">
        <f t="shared" ca="1" si="243"/>
        <v>1074.1964566833853</v>
      </c>
      <c r="AF109" s="17">
        <f t="shared" ca="1" si="241"/>
        <v>1074.1964566833853</v>
      </c>
    </row>
    <row r="110" spans="2:32" x14ac:dyDescent="0.25">
      <c r="B110" t="s">
        <v>56</v>
      </c>
      <c r="G110" s="19"/>
      <c r="H110" s="19"/>
      <c r="I110" s="19"/>
      <c r="J110" s="19"/>
      <c r="K110" s="19">
        <v>66.548000000000002</v>
      </c>
      <c r="L110" s="17">
        <f t="shared" si="236"/>
        <v>66.548000000000002</v>
      </c>
      <c r="M110" s="91">
        <v>61.725000000000001</v>
      </c>
      <c r="N110" s="92">
        <v>67.075999999999993</v>
      </c>
      <c r="O110" s="92">
        <v>70.466999999999999</v>
      </c>
      <c r="P110" s="119">
        <f t="shared" si="237"/>
        <v>72.548000000000002</v>
      </c>
      <c r="Q110" s="19">
        <v>72.548000000000002</v>
      </c>
      <c r="R110" s="91">
        <v>71.56</v>
      </c>
      <c r="S110" s="92">
        <v>82.72</v>
      </c>
      <c r="T110" s="92">
        <v>85.611000000000004</v>
      </c>
      <c r="U110" s="112">
        <f>U136*U58</f>
        <v>88.216443724328187</v>
      </c>
      <c r="V110" s="17">
        <f t="shared" si="238"/>
        <v>88.216443724328187</v>
      </c>
      <c r="W110" s="79">
        <f ca="1">W136*W58</f>
        <v>81.290089795744052</v>
      </c>
      <c r="X110" s="80">
        <f ca="1">X136*X58</f>
        <v>93.255135619213789</v>
      </c>
      <c r="Y110" s="80">
        <f ca="1">Y136*Y58</f>
        <v>95.673755872765327</v>
      </c>
      <c r="Z110" s="112">
        <f ca="1">Z136*Z58</f>
        <v>97.707751248131316</v>
      </c>
      <c r="AA110" s="17">
        <f t="shared" ca="1" si="240"/>
        <v>97.707751248131316</v>
      </c>
      <c r="AB110" s="79">
        <f ca="1">AB136*AB58</f>
        <v>89.252764122517732</v>
      </c>
      <c r="AC110" s="80">
        <f ca="1">AC136*AC58</f>
        <v>101.52029828332864</v>
      </c>
      <c r="AD110" s="80">
        <f ca="1">AD136*AD58</f>
        <v>103.24569088151686</v>
      </c>
      <c r="AE110" s="112">
        <f ca="1">AE136*AE58</f>
        <v>104.51061643487694</v>
      </c>
      <c r="AF110" s="17">
        <f t="shared" ca="1" si="241"/>
        <v>104.51061643487694</v>
      </c>
    </row>
    <row r="111" spans="2:32" x14ac:dyDescent="0.25">
      <c r="B111" t="s">
        <v>57</v>
      </c>
      <c r="G111" s="19"/>
      <c r="H111" s="19"/>
      <c r="I111" s="19"/>
      <c r="J111" s="19"/>
      <c r="K111" s="19">
        <v>0</v>
      </c>
      <c r="L111" s="17">
        <f t="shared" si="236"/>
        <v>0</v>
      </c>
      <c r="M111" s="91">
        <v>0</v>
      </c>
      <c r="N111" s="92">
        <v>1.883</v>
      </c>
      <c r="O111" s="92">
        <v>2.133</v>
      </c>
      <c r="P111" s="119">
        <f t="shared" si="237"/>
        <v>0</v>
      </c>
      <c r="Q111" s="19">
        <v>0</v>
      </c>
      <c r="R111" s="91">
        <v>0</v>
      </c>
      <c r="S111" s="92">
        <v>3.07</v>
      </c>
      <c r="T111" s="92">
        <v>7</v>
      </c>
      <c r="U111" s="112">
        <f>T111</f>
        <v>7</v>
      </c>
      <c r="V111" s="17">
        <f t="shared" si="238"/>
        <v>7</v>
      </c>
      <c r="W111" s="79">
        <f>V111</f>
        <v>7</v>
      </c>
      <c r="X111" s="80">
        <f t="shared" ref="X111:Z111" si="244">W111</f>
        <v>7</v>
      </c>
      <c r="Y111" s="80">
        <f t="shared" si="244"/>
        <v>7</v>
      </c>
      <c r="Z111" s="112">
        <f t="shared" si="244"/>
        <v>7</v>
      </c>
      <c r="AA111" s="17">
        <f t="shared" si="240"/>
        <v>7</v>
      </c>
      <c r="AB111" s="79">
        <f t="shared" si="240"/>
        <v>7</v>
      </c>
      <c r="AC111" s="80">
        <f t="shared" si="240"/>
        <v>7</v>
      </c>
      <c r="AD111" s="80">
        <f t="shared" si="240"/>
        <v>7</v>
      </c>
      <c r="AE111" s="112">
        <f t="shared" si="240"/>
        <v>7</v>
      </c>
      <c r="AF111" s="17">
        <f t="shared" si="241"/>
        <v>7</v>
      </c>
    </row>
    <row r="112" spans="2:32" x14ac:dyDescent="0.25">
      <c r="B112" t="s">
        <v>58</v>
      </c>
      <c r="G112" s="19"/>
      <c r="H112" s="19"/>
      <c r="I112" s="19"/>
      <c r="J112" s="19"/>
      <c r="K112" s="19">
        <v>20.78</v>
      </c>
      <c r="L112" s="17">
        <f t="shared" si="236"/>
        <v>20.78</v>
      </c>
      <c r="M112" s="91">
        <v>20.765999999999998</v>
      </c>
      <c r="N112" s="92">
        <v>20.765999999999998</v>
      </c>
      <c r="O112" s="92">
        <v>20.483000000000001</v>
      </c>
      <c r="P112" s="119">
        <f t="shared" si="237"/>
        <v>0</v>
      </c>
      <c r="Q112" s="19">
        <v>0</v>
      </c>
      <c r="R112" s="91">
        <v>0</v>
      </c>
      <c r="S112" s="92">
        <v>0</v>
      </c>
      <c r="T112" s="92">
        <v>0</v>
      </c>
      <c r="U112" s="112">
        <f>T112</f>
        <v>0</v>
      </c>
      <c r="V112" s="17">
        <f t="shared" si="238"/>
        <v>0</v>
      </c>
      <c r="W112" s="79">
        <f>V112</f>
        <v>0</v>
      </c>
      <c r="X112" s="80">
        <f t="shared" ref="X112:Z112" si="245">W112</f>
        <v>0</v>
      </c>
      <c r="Y112" s="80">
        <f t="shared" si="245"/>
        <v>0</v>
      </c>
      <c r="Z112" s="112">
        <f t="shared" si="245"/>
        <v>0</v>
      </c>
      <c r="AA112" s="17">
        <f t="shared" si="240"/>
        <v>0</v>
      </c>
      <c r="AB112" s="79">
        <f t="shared" si="240"/>
        <v>0</v>
      </c>
      <c r="AC112" s="80">
        <f t="shared" si="240"/>
        <v>0</v>
      </c>
      <c r="AD112" s="80">
        <f t="shared" si="240"/>
        <v>0</v>
      </c>
      <c r="AE112" s="112">
        <f t="shared" si="240"/>
        <v>0</v>
      </c>
      <c r="AF112" s="17">
        <f t="shared" si="241"/>
        <v>0</v>
      </c>
    </row>
    <row r="113" spans="2:32" s="3" customFormat="1" x14ac:dyDescent="0.25">
      <c r="B113" s="33" t="s">
        <v>59</v>
      </c>
      <c r="G113" s="39">
        <f>SUM(G106:G112)</f>
        <v>0</v>
      </c>
      <c r="H113" s="39">
        <f t="shared" ref="H113:AE113" si="246">SUM(H106:H112)</f>
        <v>0</v>
      </c>
      <c r="I113" s="39">
        <f t="shared" si="246"/>
        <v>0</v>
      </c>
      <c r="J113" s="39">
        <f t="shared" si="246"/>
        <v>0</v>
      </c>
      <c r="K113" s="39">
        <f t="shared" si="246"/>
        <v>1260.356</v>
      </c>
      <c r="L113" s="38">
        <f t="shared" si="236"/>
        <v>1260.356</v>
      </c>
      <c r="M113" s="104">
        <f t="shared" si="246"/>
        <v>1325.1849999999999</v>
      </c>
      <c r="N113" s="105">
        <f t="shared" si="246"/>
        <v>1316.0850000000003</v>
      </c>
      <c r="O113" s="105">
        <f t="shared" si="246"/>
        <v>1388.174</v>
      </c>
      <c r="P113" s="125">
        <f t="shared" si="246"/>
        <v>1375.173</v>
      </c>
      <c r="Q113" s="39">
        <f t="shared" si="246"/>
        <v>1375.173</v>
      </c>
      <c r="R113" s="104">
        <f t="shared" si="246"/>
        <v>1338.412</v>
      </c>
      <c r="S113" s="105">
        <f t="shared" si="246"/>
        <v>1376.079</v>
      </c>
      <c r="T113" s="105">
        <f t="shared" si="246"/>
        <v>1538.452</v>
      </c>
      <c r="U113" s="125">
        <f t="shared" si="246"/>
        <v>1446.6051337698862</v>
      </c>
      <c r="V113" s="38">
        <f t="shared" si="238"/>
        <v>1446.6051337698862</v>
      </c>
      <c r="W113" s="81">
        <f t="shared" ca="1" si="246"/>
        <v>1590.5116964655838</v>
      </c>
      <c r="X113" s="82">
        <f t="shared" ca="1" si="246"/>
        <v>1708.1756885930913</v>
      </c>
      <c r="Y113" s="82">
        <f t="shared" ca="1" si="246"/>
        <v>1917.2420883964007</v>
      </c>
      <c r="Z113" s="113">
        <f t="shared" ca="1" si="246"/>
        <v>1804.9304108505833</v>
      </c>
      <c r="AA113" s="38">
        <f t="shared" ca="1" si="240"/>
        <v>1804.9304108505833</v>
      </c>
      <c r="AB113" s="81">
        <f t="shared" ca="1" si="246"/>
        <v>1954.4294785125223</v>
      </c>
      <c r="AC113" s="82">
        <f t="shared" ca="1" si="246"/>
        <v>2073.8627296826535</v>
      </c>
      <c r="AD113" s="82">
        <f t="shared" ca="1" si="246"/>
        <v>2290.0951578945314</v>
      </c>
      <c r="AE113" s="113">
        <f t="shared" ca="1" si="246"/>
        <v>2158.8965961483227</v>
      </c>
      <c r="AF113" s="38">
        <f t="shared" ca="1" si="241"/>
        <v>2158.8965961483227</v>
      </c>
    </row>
    <row r="114" spans="2:32" s="3" customFormat="1" x14ac:dyDescent="0.25">
      <c r="B114" s="33"/>
      <c r="G114" s="39"/>
      <c r="H114" s="39"/>
      <c r="I114" s="39"/>
      <c r="J114" s="39"/>
      <c r="K114" s="39"/>
      <c r="L114" s="17"/>
      <c r="M114" s="104"/>
      <c r="N114" s="105"/>
      <c r="O114" s="105"/>
      <c r="P114" s="125"/>
      <c r="Q114" s="39"/>
      <c r="R114" s="104"/>
      <c r="S114" s="105"/>
      <c r="T114" s="105"/>
      <c r="U114" s="125"/>
      <c r="V114" s="17"/>
      <c r="W114" s="79"/>
      <c r="X114" s="80"/>
      <c r="Y114" s="80"/>
      <c r="Z114" s="112"/>
      <c r="AA114" s="17"/>
      <c r="AB114" s="79"/>
      <c r="AC114" s="80"/>
      <c r="AD114" s="80"/>
      <c r="AE114" s="112"/>
      <c r="AF114" s="17"/>
    </row>
    <row r="115" spans="2:32" x14ac:dyDescent="0.25">
      <c r="B115" t="s">
        <v>66</v>
      </c>
      <c r="G115" s="19"/>
      <c r="H115" s="19"/>
      <c r="I115" s="19"/>
      <c r="J115" s="19"/>
      <c r="K115" s="19">
        <v>717.15899999999999</v>
      </c>
      <c r="L115" s="17">
        <f t="shared" si="236"/>
        <v>717.15899999999999</v>
      </c>
      <c r="M115" s="91">
        <v>744.66499999999996</v>
      </c>
      <c r="N115" s="92">
        <v>791.904</v>
      </c>
      <c r="O115" s="92">
        <v>844.23800000000006</v>
      </c>
      <c r="P115" s="119">
        <f t="shared" ref="P115:P116" si="247">Q115</f>
        <v>847.6</v>
      </c>
      <c r="Q115" s="19">
        <v>847.6</v>
      </c>
      <c r="R115" s="91">
        <v>870.83500000000004</v>
      </c>
      <c r="S115" s="92">
        <v>919.59699999999998</v>
      </c>
      <c r="T115" s="92">
        <v>1001.938</v>
      </c>
      <c r="U115" s="119">
        <f>T115-U161-U143</f>
        <v>1054.8026520588901</v>
      </c>
      <c r="V115" s="17">
        <f t="shared" si="238"/>
        <v>1054.8026520588901</v>
      </c>
      <c r="W115" s="79">
        <f ca="1">V115-W161-W143</f>
        <v>1062.1114899256568</v>
      </c>
      <c r="X115" s="80">
        <f ca="1">W115-X161-X143</f>
        <v>1113.5292060820486</v>
      </c>
      <c r="Y115" s="80">
        <f ca="1">X115-Y161-Y143</f>
        <v>1200.8605224600037</v>
      </c>
      <c r="Z115" s="112">
        <f ca="1">Y115-Z161-Z143</f>
        <v>1259.4129425658321</v>
      </c>
      <c r="AA115" s="17">
        <f t="shared" ca="1" si="240"/>
        <v>1259.4129425658321</v>
      </c>
      <c r="AB115" s="79">
        <f ca="1">AA115-AB161-AB143</f>
        <v>1267.4377089767358</v>
      </c>
      <c r="AC115" s="80">
        <f ca="1">AB115-AC161-AC143</f>
        <v>1323.4125552582198</v>
      </c>
      <c r="AD115" s="80">
        <f ca="1">AC115-AD161-AD143</f>
        <v>1417.6555586062359</v>
      </c>
      <c r="AE115" s="112">
        <f ca="1">AD115-AE161-AE143</f>
        <v>1480.2846687929371</v>
      </c>
      <c r="AF115" s="17">
        <f t="shared" ca="1" si="241"/>
        <v>1480.2846687929371</v>
      </c>
    </row>
    <row r="116" spans="2:32" s="35" customFormat="1" x14ac:dyDescent="0.25">
      <c r="B116" s="35" t="s">
        <v>67</v>
      </c>
      <c r="G116" s="19"/>
      <c r="H116" s="19"/>
      <c r="I116" s="19"/>
      <c r="J116" s="19"/>
      <c r="K116" s="19">
        <v>5.6559999999999997</v>
      </c>
      <c r="L116" s="18">
        <f t="shared" si="236"/>
        <v>5.6559999999999997</v>
      </c>
      <c r="M116" s="91">
        <v>8.0850000000000009</v>
      </c>
      <c r="N116" s="92">
        <v>7.9210000000000003</v>
      </c>
      <c r="O116" s="92">
        <v>7.57</v>
      </c>
      <c r="P116" s="119">
        <f t="shared" si="247"/>
        <v>8.1449999999999996</v>
      </c>
      <c r="Q116" s="19">
        <v>8.1449999999999996</v>
      </c>
      <c r="R116" s="91">
        <v>9.6980000000000004</v>
      </c>
      <c r="S116" s="92">
        <v>10.11</v>
      </c>
      <c r="T116" s="92">
        <v>10.798</v>
      </c>
      <c r="U116" s="119">
        <f>T116</f>
        <v>10.798</v>
      </c>
      <c r="V116" s="18">
        <f t="shared" si="238"/>
        <v>10.798</v>
      </c>
      <c r="W116" s="79">
        <f>V116</f>
        <v>10.798</v>
      </c>
      <c r="X116" s="80">
        <f t="shared" ref="X116:AE116" si="248">W116</f>
        <v>10.798</v>
      </c>
      <c r="Y116" s="80">
        <f t="shared" si="248"/>
        <v>10.798</v>
      </c>
      <c r="Z116" s="112">
        <f t="shared" si="248"/>
        <v>10.798</v>
      </c>
      <c r="AA116" s="17">
        <f t="shared" si="240"/>
        <v>10.798</v>
      </c>
      <c r="AB116" s="79">
        <f t="shared" si="248"/>
        <v>10.798</v>
      </c>
      <c r="AC116" s="80">
        <f t="shared" si="248"/>
        <v>10.798</v>
      </c>
      <c r="AD116" s="80">
        <f t="shared" si="248"/>
        <v>10.798</v>
      </c>
      <c r="AE116" s="112">
        <f t="shared" si="248"/>
        <v>10.798</v>
      </c>
      <c r="AF116" s="17">
        <f t="shared" si="241"/>
        <v>10.798</v>
      </c>
    </row>
    <row r="117" spans="2:32" s="3" customFormat="1" x14ac:dyDescent="0.25">
      <c r="B117" s="33" t="s">
        <v>61</v>
      </c>
      <c r="G117" s="39">
        <v>1602.7270000000001</v>
      </c>
      <c r="H117" s="39">
        <f t="shared" ref="H117:AE117" si="249">SUM(H113:H116)</f>
        <v>0</v>
      </c>
      <c r="I117" s="39">
        <f t="shared" si="249"/>
        <v>0</v>
      </c>
      <c r="J117" s="39">
        <f t="shared" si="249"/>
        <v>0</v>
      </c>
      <c r="K117" s="39">
        <f t="shared" si="249"/>
        <v>1983.1709999999998</v>
      </c>
      <c r="L117" s="38">
        <f t="shared" si="236"/>
        <v>1983.1709999999998</v>
      </c>
      <c r="M117" s="104">
        <f t="shared" si="249"/>
        <v>2077.9349999999999</v>
      </c>
      <c r="N117" s="105">
        <f t="shared" si="249"/>
        <v>2115.9100000000003</v>
      </c>
      <c r="O117" s="105">
        <f t="shared" si="249"/>
        <v>2239.9820000000004</v>
      </c>
      <c r="P117" s="125">
        <f t="shared" si="249"/>
        <v>2230.9180000000001</v>
      </c>
      <c r="Q117" s="39">
        <f t="shared" si="249"/>
        <v>2230.9180000000001</v>
      </c>
      <c r="R117" s="104">
        <f t="shared" si="249"/>
        <v>2218.9450000000002</v>
      </c>
      <c r="S117" s="105">
        <f t="shared" si="249"/>
        <v>2305.7860000000001</v>
      </c>
      <c r="T117" s="105">
        <f t="shared" si="249"/>
        <v>2551.1879999999996</v>
      </c>
      <c r="U117" s="125">
        <f t="shared" si="249"/>
        <v>2512.2057858287762</v>
      </c>
      <c r="V117" s="38">
        <f t="shared" si="238"/>
        <v>2512.2057858287762</v>
      </c>
      <c r="W117" s="81">
        <f t="shared" ca="1" si="249"/>
        <v>2663.4211863912406</v>
      </c>
      <c r="X117" s="82">
        <f t="shared" ca="1" si="249"/>
        <v>2832.5028946751399</v>
      </c>
      <c r="Y117" s="82">
        <f t="shared" ca="1" si="249"/>
        <v>3128.9006108564045</v>
      </c>
      <c r="Z117" s="113">
        <f t="shared" ca="1" si="249"/>
        <v>3075.1413534164149</v>
      </c>
      <c r="AA117" s="38">
        <f t="shared" ca="1" si="240"/>
        <v>3075.1413534164149</v>
      </c>
      <c r="AB117" s="81">
        <f t="shared" ca="1" si="249"/>
        <v>3232.6651874892577</v>
      </c>
      <c r="AC117" s="82">
        <f t="shared" ca="1" si="249"/>
        <v>3408.0732849408732</v>
      </c>
      <c r="AD117" s="82">
        <f t="shared" ca="1" si="249"/>
        <v>3718.5487165007671</v>
      </c>
      <c r="AE117" s="113">
        <f t="shared" ca="1" si="249"/>
        <v>3649.9792649412593</v>
      </c>
      <c r="AF117" s="38">
        <f t="shared" ca="1" si="241"/>
        <v>3649.9792649412593</v>
      </c>
    </row>
    <row r="118" spans="2:32" x14ac:dyDescent="0.25">
      <c r="G118" s="19"/>
      <c r="H118" s="19"/>
      <c r="I118" s="19"/>
      <c r="J118" s="19"/>
      <c r="K118" s="19"/>
      <c r="L118" s="17"/>
      <c r="M118" s="91"/>
      <c r="N118" s="92"/>
      <c r="O118" s="92"/>
      <c r="P118" s="118"/>
      <c r="Q118" s="19"/>
      <c r="R118" s="91"/>
      <c r="S118" s="92"/>
      <c r="T118" s="92"/>
      <c r="U118" s="112"/>
      <c r="V118" s="17"/>
      <c r="W118" s="79"/>
      <c r="X118" s="80"/>
      <c r="Y118" s="80"/>
      <c r="Z118" s="112"/>
      <c r="AA118" s="17"/>
      <c r="AB118" s="79"/>
      <c r="AC118" s="80"/>
      <c r="AD118" s="80"/>
      <c r="AE118" s="112"/>
      <c r="AF118" s="17"/>
    </row>
    <row r="119" spans="2:32" x14ac:dyDescent="0.25">
      <c r="B119" t="s">
        <v>68</v>
      </c>
      <c r="G119" s="19"/>
      <c r="H119" s="19"/>
      <c r="I119" s="19"/>
      <c r="J119" s="19"/>
      <c r="K119" s="19">
        <v>190.77799999999999</v>
      </c>
      <c r="L119" s="17">
        <f t="shared" si="236"/>
        <v>190.77799999999999</v>
      </c>
      <c r="M119" s="91">
        <v>209.50899999999999</v>
      </c>
      <c r="N119" s="92">
        <v>215.72</v>
      </c>
      <c r="O119" s="92">
        <v>291.26900000000001</v>
      </c>
      <c r="P119" s="119">
        <f t="shared" ref="P119:P121" si="250">Q119</f>
        <v>196.17400000000001</v>
      </c>
      <c r="Q119" s="19">
        <v>196.17400000000001</v>
      </c>
      <c r="R119" s="91">
        <v>266.27800000000002</v>
      </c>
      <c r="S119" s="92">
        <v>285.238</v>
      </c>
      <c r="T119" s="92">
        <v>425.07</v>
      </c>
      <c r="U119" s="112">
        <f>U134*U59/91</f>
        <v>233.4948585179215</v>
      </c>
      <c r="V119" s="17">
        <f t="shared" si="238"/>
        <v>233.4948585179215</v>
      </c>
      <c r="W119" s="79">
        <f ca="1">W134*W59/91</f>
        <v>302.48410467623165</v>
      </c>
      <c r="X119" s="80">
        <f ca="1">X134*X59/91</f>
        <v>321.5656234738068</v>
      </c>
      <c r="Y119" s="80">
        <f ca="1">Y134*Y59/91</f>
        <v>475.03292110635732</v>
      </c>
      <c r="Z119" s="112">
        <f ca="1">Z134*Z59/91</f>
        <v>258.61683593911431</v>
      </c>
      <c r="AA119" s="17">
        <f t="shared" ca="1" si="240"/>
        <v>258.61683593911431</v>
      </c>
      <c r="AB119" s="79">
        <f ca="1">AB134*AB59/91</f>
        <v>332.11357636970064</v>
      </c>
      <c r="AC119" s="80">
        <f ca="1">AC134*AC59/91</f>
        <v>350.06584673283476</v>
      </c>
      <c r="AD119" s="80">
        <f ca="1">AD134*AD59/91</f>
        <v>512.62858538045771</v>
      </c>
      <c r="AE119" s="112">
        <f ca="1">AE134*AE59/91</f>
        <v>276.62293522440672</v>
      </c>
      <c r="AF119" s="17">
        <f t="shared" ca="1" si="241"/>
        <v>276.62293522440672</v>
      </c>
    </row>
    <row r="120" spans="2:32" x14ac:dyDescent="0.25">
      <c r="B120" t="s">
        <v>69</v>
      </c>
      <c r="G120" s="19"/>
      <c r="H120" s="19"/>
      <c r="I120" s="19"/>
      <c r="J120" s="19"/>
      <c r="K120" s="19">
        <v>149.41200000000001</v>
      </c>
      <c r="L120" s="17">
        <f t="shared" si="236"/>
        <v>149.41200000000001</v>
      </c>
      <c r="M120" s="91">
        <v>139.28399999999999</v>
      </c>
      <c r="N120" s="92">
        <v>154.494</v>
      </c>
      <c r="O120" s="92">
        <v>166.7</v>
      </c>
      <c r="P120" s="119">
        <f t="shared" si="250"/>
        <v>187.35</v>
      </c>
      <c r="Q120" s="19">
        <v>187.35</v>
      </c>
      <c r="R120" s="91">
        <v>179.3</v>
      </c>
      <c r="S120" s="92">
        <v>205.91800000000001</v>
      </c>
      <c r="T120" s="92">
        <v>229.56899999999999</v>
      </c>
      <c r="U120" s="141">
        <f>U137*U59</f>
        <v>222.99214851780863</v>
      </c>
      <c r="V120" s="17">
        <f t="shared" si="238"/>
        <v>222.99214851780863</v>
      </c>
      <c r="W120" s="79">
        <f ca="1">W137*W59</f>
        <v>203.67961291750854</v>
      </c>
      <c r="X120" s="80">
        <f ca="1">X137*X59</f>
        <v>232.14350841921259</v>
      </c>
      <c r="Y120" s="80">
        <f ca="1">Y137*Y59</f>
        <v>256.55264465962159</v>
      </c>
      <c r="Z120" s="112">
        <f ca="1">Z137*Z59</f>
        <v>246.98412742357834</v>
      </c>
      <c r="AA120" s="17">
        <f t="shared" ca="1" si="240"/>
        <v>246.98412742357834</v>
      </c>
      <c r="AB120" s="79">
        <f ca="1">AB137*AB59</f>
        <v>223.63080781396633</v>
      </c>
      <c r="AC120" s="80">
        <f ca="1">AC137*AC59</f>
        <v>252.71828798242831</v>
      </c>
      <c r="AD120" s="80">
        <f ca="1">AD137*AD59</f>
        <v>276.85706287718801</v>
      </c>
      <c r="AE120" s="112">
        <f ca="1">AE137*AE59</f>
        <v>264.1803037828285</v>
      </c>
      <c r="AF120" s="17">
        <f t="shared" ca="1" si="241"/>
        <v>264.1803037828285</v>
      </c>
    </row>
    <row r="121" spans="2:32" x14ac:dyDescent="0.25">
      <c r="B121" t="s">
        <v>70</v>
      </c>
      <c r="G121" s="19"/>
      <c r="H121" s="19"/>
      <c r="I121" s="19"/>
      <c r="J121" s="19"/>
      <c r="K121" s="19">
        <v>19.399999999999999</v>
      </c>
      <c r="L121" s="17">
        <f t="shared" si="236"/>
        <v>19.399999999999999</v>
      </c>
      <c r="M121" s="91">
        <v>34.871000000000002</v>
      </c>
      <c r="N121" s="92">
        <v>0</v>
      </c>
      <c r="O121" s="92">
        <v>0</v>
      </c>
      <c r="P121" s="119">
        <f t="shared" si="250"/>
        <v>12.702</v>
      </c>
      <c r="Q121" s="19">
        <v>12.702</v>
      </c>
      <c r="R121" s="91">
        <v>50.155999999999999</v>
      </c>
      <c r="S121" s="92">
        <v>1.089</v>
      </c>
      <c r="T121" s="92">
        <v>0</v>
      </c>
      <c r="U121" s="112">
        <f>T121</f>
        <v>0</v>
      </c>
      <c r="V121" s="17">
        <f t="shared" si="238"/>
        <v>0</v>
      </c>
      <c r="W121" s="79">
        <f t="shared" si="238"/>
        <v>0</v>
      </c>
      <c r="X121" s="80">
        <f t="shared" si="238"/>
        <v>0</v>
      </c>
      <c r="Y121" s="80">
        <f t="shared" si="238"/>
        <v>0</v>
      </c>
      <c r="Z121" s="112">
        <f t="shared" si="238"/>
        <v>0</v>
      </c>
      <c r="AA121" s="17">
        <f t="shared" si="240"/>
        <v>0</v>
      </c>
      <c r="AB121" s="79">
        <f t="shared" si="240"/>
        <v>0</v>
      </c>
      <c r="AC121" s="80">
        <f t="shared" si="240"/>
        <v>0</v>
      </c>
      <c r="AD121" s="80">
        <f t="shared" si="240"/>
        <v>0</v>
      </c>
      <c r="AE121" s="112">
        <f t="shared" si="240"/>
        <v>0</v>
      </c>
      <c r="AF121" s="17">
        <f t="shared" si="241"/>
        <v>0</v>
      </c>
    </row>
    <row r="122" spans="2:32" s="3" customFormat="1" x14ac:dyDescent="0.25">
      <c r="B122" s="33" t="s">
        <v>62</v>
      </c>
      <c r="G122" s="39">
        <f>SUM(G119:G121)</f>
        <v>0</v>
      </c>
      <c r="H122" s="39">
        <f t="shared" ref="H122:AE122" si="251">SUM(H119:H121)</f>
        <v>0</v>
      </c>
      <c r="I122" s="39">
        <f t="shared" si="251"/>
        <v>0</v>
      </c>
      <c r="J122" s="39">
        <f t="shared" si="251"/>
        <v>0</v>
      </c>
      <c r="K122" s="39">
        <f t="shared" si="251"/>
        <v>359.59</v>
      </c>
      <c r="L122" s="38">
        <f t="shared" si="236"/>
        <v>359.59</v>
      </c>
      <c r="M122" s="104">
        <f t="shared" si="251"/>
        <v>383.66399999999999</v>
      </c>
      <c r="N122" s="105">
        <f t="shared" si="251"/>
        <v>370.214</v>
      </c>
      <c r="O122" s="105">
        <f t="shared" si="251"/>
        <v>457.96899999999999</v>
      </c>
      <c r="P122" s="125">
        <f t="shared" si="251"/>
        <v>396.226</v>
      </c>
      <c r="Q122" s="39">
        <f t="shared" si="251"/>
        <v>396.226</v>
      </c>
      <c r="R122" s="104">
        <f t="shared" si="251"/>
        <v>495.73400000000004</v>
      </c>
      <c r="S122" s="105">
        <f t="shared" si="251"/>
        <v>492.245</v>
      </c>
      <c r="T122" s="105">
        <f t="shared" si="251"/>
        <v>654.63900000000001</v>
      </c>
      <c r="U122" s="125">
        <f t="shared" si="251"/>
        <v>456.48700703573013</v>
      </c>
      <c r="V122" s="38">
        <f t="shared" si="238"/>
        <v>456.48700703573013</v>
      </c>
      <c r="W122" s="81">
        <f t="shared" ca="1" si="251"/>
        <v>506.16371759374022</v>
      </c>
      <c r="X122" s="82">
        <f t="shared" ca="1" si="251"/>
        <v>553.70913189301939</v>
      </c>
      <c r="Y122" s="82">
        <f t="shared" ca="1" si="251"/>
        <v>731.58556576597891</v>
      </c>
      <c r="Z122" s="113">
        <f t="shared" ca="1" si="251"/>
        <v>505.60096336269265</v>
      </c>
      <c r="AA122" s="38">
        <f t="shared" ca="1" si="240"/>
        <v>505.60096336269265</v>
      </c>
      <c r="AB122" s="81">
        <f t="shared" ca="1" si="251"/>
        <v>555.74438418366697</v>
      </c>
      <c r="AC122" s="82">
        <f t="shared" ca="1" si="251"/>
        <v>602.78413471526301</v>
      </c>
      <c r="AD122" s="82">
        <f t="shared" ca="1" si="251"/>
        <v>789.48564825764572</v>
      </c>
      <c r="AE122" s="113">
        <f t="shared" ca="1" si="251"/>
        <v>540.80323900723522</v>
      </c>
      <c r="AF122" s="38">
        <f t="shared" ca="1" si="241"/>
        <v>540.80323900723522</v>
      </c>
    </row>
    <row r="123" spans="2:32" x14ac:dyDescent="0.25">
      <c r="G123" s="19"/>
      <c r="H123" s="19"/>
      <c r="I123" s="19"/>
      <c r="J123" s="19"/>
      <c r="K123" s="19"/>
      <c r="L123" s="17"/>
      <c r="M123" s="91"/>
      <c r="N123" s="92"/>
      <c r="O123" s="92"/>
      <c r="P123" s="118"/>
      <c r="Q123" s="19"/>
      <c r="R123" s="91"/>
      <c r="S123" s="92"/>
      <c r="T123" s="92"/>
      <c r="U123" s="112"/>
      <c r="V123" s="17"/>
      <c r="W123" s="79"/>
      <c r="X123" s="80"/>
      <c r="Y123" s="80"/>
      <c r="Z123" s="112"/>
      <c r="AA123" s="17"/>
      <c r="AB123" s="79"/>
      <c r="AC123" s="80"/>
      <c r="AD123" s="80"/>
      <c r="AE123" s="112"/>
      <c r="AF123" s="17"/>
    </row>
    <row r="124" spans="2:32" x14ac:dyDescent="0.25">
      <c r="B124" t="s">
        <v>71</v>
      </c>
      <c r="G124" s="19"/>
      <c r="H124" s="19"/>
      <c r="I124" s="19"/>
      <c r="J124" s="19"/>
      <c r="K124" s="19">
        <v>294.12700000000001</v>
      </c>
      <c r="L124" s="17">
        <f t="shared" si="236"/>
        <v>294.12700000000001</v>
      </c>
      <c r="M124" s="91">
        <v>305.35500000000002</v>
      </c>
      <c r="N124" s="92">
        <v>315.93099999999998</v>
      </c>
      <c r="O124" s="92">
        <v>324.31400000000002</v>
      </c>
      <c r="P124" s="119">
        <f t="shared" ref="P124:P126" si="252">Q124</f>
        <v>321.78899999999999</v>
      </c>
      <c r="Q124" s="19">
        <v>321.78899999999999</v>
      </c>
      <c r="R124" s="91">
        <v>330.12099999999998</v>
      </c>
      <c r="S124" s="92">
        <v>345.44099999999997</v>
      </c>
      <c r="T124" s="92">
        <v>361.66699999999997</v>
      </c>
      <c r="U124" s="141">
        <f>U138*U59</f>
        <v>383.00731507551177</v>
      </c>
      <c r="V124" s="17">
        <f t="shared" si="238"/>
        <v>383.00731507551177</v>
      </c>
      <c r="W124" s="79">
        <f ca="1">W138*W59</f>
        <v>375.00790572192318</v>
      </c>
      <c r="X124" s="80">
        <f ca="1">X138*X59</f>
        <v>389.436016724333</v>
      </c>
      <c r="Y124" s="80">
        <f ca="1">Y138*Y59</f>
        <v>404.17750365298167</v>
      </c>
      <c r="Z124" s="112">
        <f ca="1">Z138*Z59</f>
        <v>424.21550776357543</v>
      </c>
      <c r="AA124" s="17">
        <f t="shared" ca="1" si="240"/>
        <v>424.21550776357543</v>
      </c>
      <c r="AB124" s="79">
        <f ca="1">AB138*AB59</f>
        <v>411.74136032545664</v>
      </c>
      <c r="AC124" s="80">
        <f ca="1">AC138*AC59</f>
        <v>423.95156382122008</v>
      </c>
      <c r="AD124" s="80">
        <f ca="1">AD138*AD59</f>
        <v>436.16543766625261</v>
      </c>
      <c r="AE124" s="112">
        <f ca="1">AE138*AE59</f>
        <v>453.75135187602132</v>
      </c>
      <c r="AF124" s="17">
        <f t="shared" ca="1" si="241"/>
        <v>453.75135187602132</v>
      </c>
    </row>
    <row r="125" spans="2:32" x14ac:dyDescent="0.25">
      <c r="B125" t="s">
        <v>58</v>
      </c>
      <c r="G125" s="19"/>
      <c r="H125" s="19"/>
      <c r="I125" s="19"/>
      <c r="J125" s="19"/>
      <c r="K125" s="19">
        <v>74.498000000000005</v>
      </c>
      <c r="L125" s="17">
        <f t="shared" si="236"/>
        <v>74.498000000000005</v>
      </c>
      <c r="M125" s="91">
        <v>75.135000000000005</v>
      </c>
      <c r="N125" s="92">
        <v>75.167000000000002</v>
      </c>
      <c r="O125" s="92">
        <v>72.64</v>
      </c>
      <c r="P125" s="119">
        <f t="shared" si="252"/>
        <v>59.527000000000001</v>
      </c>
      <c r="Q125" s="19">
        <v>59.527000000000001</v>
      </c>
      <c r="R125" s="91">
        <v>59.976999999999997</v>
      </c>
      <c r="S125" s="92">
        <v>58.476999999999997</v>
      </c>
      <c r="T125" s="92">
        <v>62.668999999999997</v>
      </c>
      <c r="U125" s="112">
        <f>T125</f>
        <v>62.668999999999997</v>
      </c>
      <c r="V125" s="17">
        <f t="shared" si="238"/>
        <v>62.668999999999997</v>
      </c>
      <c r="W125" s="79">
        <f>V125</f>
        <v>62.668999999999997</v>
      </c>
      <c r="X125" s="80">
        <f t="shared" ref="X125:Z125" si="253">W125</f>
        <v>62.668999999999997</v>
      </c>
      <c r="Y125" s="80">
        <f t="shared" si="253"/>
        <v>62.668999999999997</v>
      </c>
      <c r="Z125" s="112">
        <f t="shared" si="253"/>
        <v>62.668999999999997</v>
      </c>
      <c r="AA125" s="17">
        <f t="shared" si="240"/>
        <v>62.668999999999997</v>
      </c>
      <c r="AB125" s="79">
        <f t="shared" ref="AB125:AE126" si="254">AA125</f>
        <v>62.668999999999997</v>
      </c>
      <c r="AC125" s="80">
        <f t="shared" si="254"/>
        <v>62.668999999999997</v>
      </c>
      <c r="AD125" s="80">
        <f t="shared" si="254"/>
        <v>62.668999999999997</v>
      </c>
      <c r="AE125" s="112">
        <f t="shared" si="254"/>
        <v>62.668999999999997</v>
      </c>
      <c r="AF125" s="17">
        <f t="shared" si="241"/>
        <v>62.668999999999997</v>
      </c>
    </row>
    <row r="126" spans="2:32" s="35" customFormat="1" x14ac:dyDescent="0.25">
      <c r="B126" s="35" t="s">
        <v>72</v>
      </c>
      <c r="G126" s="19"/>
      <c r="H126" s="19"/>
      <c r="I126" s="19"/>
      <c r="J126" s="19"/>
      <c r="K126" s="19">
        <v>7.4420000000000002</v>
      </c>
      <c r="L126" s="36">
        <f t="shared" si="236"/>
        <v>7.4420000000000002</v>
      </c>
      <c r="M126" s="91">
        <v>10.811999999999999</v>
      </c>
      <c r="N126" s="92">
        <v>10.808999999999999</v>
      </c>
      <c r="O126" s="92">
        <v>10.903</v>
      </c>
      <c r="P126" s="119">
        <f t="shared" si="252"/>
        <v>10.489000000000001</v>
      </c>
      <c r="Q126" s="19">
        <v>10.489000000000001</v>
      </c>
      <c r="R126" s="91">
        <v>13.43</v>
      </c>
      <c r="S126" s="92">
        <v>17.687999999999999</v>
      </c>
      <c r="T126" s="92">
        <v>20.140999999999998</v>
      </c>
      <c r="U126" s="144">
        <f>T126</f>
        <v>20.140999999999998</v>
      </c>
      <c r="V126" s="36">
        <f t="shared" si="238"/>
        <v>20.140999999999998</v>
      </c>
      <c r="W126" s="156">
        <f>V126</f>
        <v>20.140999999999998</v>
      </c>
      <c r="X126" s="135">
        <f t="shared" ref="X126:Z126" si="255">W126</f>
        <v>20.140999999999998</v>
      </c>
      <c r="Y126" s="135">
        <f t="shared" si="255"/>
        <v>20.140999999999998</v>
      </c>
      <c r="Z126" s="144">
        <f t="shared" si="255"/>
        <v>20.140999999999998</v>
      </c>
      <c r="AA126" s="36">
        <f t="shared" si="240"/>
        <v>20.140999999999998</v>
      </c>
      <c r="AB126" s="156">
        <f t="shared" si="254"/>
        <v>20.140999999999998</v>
      </c>
      <c r="AC126" s="135">
        <f t="shared" si="254"/>
        <v>20.140999999999998</v>
      </c>
      <c r="AD126" s="135">
        <f t="shared" si="254"/>
        <v>20.140999999999998</v>
      </c>
      <c r="AE126" s="144">
        <f t="shared" si="254"/>
        <v>20.140999999999998</v>
      </c>
      <c r="AF126" s="36">
        <f t="shared" si="241"/>
        <v>20.140999999999998</v>
      </c>
    </row>
    <row r="127" spans="2:32" s="3" customFormat="1" x14ac:dyDescent="0.25">
      <c r="B127" s="33" t="s">
        <v>63</v>
      </c>
      <c r="G127" s="39">
        <f>G117-G128</f>
        <v>599.63300000000004</v>
      </c>
      <c r="H127" s="39">
        <f t="shared" ref="H127:AE127" si="256">SUM(H122:H126)</f>
        <v>0</v>
      </c>
      <c r="I127" s="39">
        <f t="shared" si="256"/>
        <v>0</v>
      </c>
      <c r="J127" s="39">
        <f t="shared" si="256"/>
        <v>0</v>
      </c>
      <c r="K127" s="39">
        <f t="shared" si="256"/>
        <v>735.65700000000004</v>
      </c>
      <c r="L127" s="38">
        <f t="shared" si="236"/>
        <v>735.65700000000004</v>
      </c>
      <c r="M127" s="104">
        <f t="shared" si="256"/>
        <v>774.96600000000001</v>
      </c>
      <c r="N127" s="105">
        <f t="shared" si="256"/>
        <v>772.12099999999998</v>
      </c>
      <c r="O127" s="105">
        <f t="shared" si="256"/>
        <v>865.82600000000002</v>
      </c>
      <c r="P127" s="125">
        <f t="shared" si="256"/>
        <v>788.03100000000006</v>
      </c>
      <c r="Q127" s="39">
        <f t="shared" si="256"/>
        <v>788.03100000000006</v>
      </c>
      <c r="R127" s="104">
        <f t="shared" si="256"/>
        <v>899.26199999999994</v>
      </c>
      <c r="S127" s="105">
        <f t="shared" si="256"/>
        <v>913.85099999999989</v>
      </c>
      <c r="T127" s="105">
        <f t="shared" si="256"/>
        <v>1099.1160000000002</v>
      </c>
      <c r="U127" s="125">
        <f t="shared" si="256"/>
        <v>922.30432211124185</v>
      </c>
      <c r="V127" s="38">
        <f t="shared" si="238"/>
        <v>922.30432211124185</v>
      </c>
      <c r="W127" s="81">
        <f t="shared" ca="1" si="256"/>
        <v>963.98162331566334</v>
      </c>
      <c r="X127" s="82">
        <f t="shared" ca="1" si="256"/>
        <v>1025.9551486173523</v>
      </c>
      <c r="Y127" s="82">
        <f t="shared" ca="1" si="256"/>
        <v>1218.5730694189608</v>
      </c>
      <c r="Z127" s="113">
        <f t="shared" ca="1" si="256"/>
        <v>1012.626471126268</v>
      </c>
      <c r="AA127" s="38">
        <f t="shared" ca="1" si="240"/>
        <v>1012.626471126268</v>
      </c>
      <c r="AB127" s="81">
        <f t="shared" ca="1" si="256"/>
        <v>1050.2957445091238</v>
      </c>
      <c r="AC127" s="82">
        <f t="shared" ca="1" si="256"/>
        <v>1109.5456985364833</v>
      </c>
      <c r="AD127" s="82">
        <f t="shared" ca="1" si="256"/>
        <v>1308.4610859238985</v>
      </c>
      <c r="AE127" s="113">
        <f t="shared" ca="1" si="256"/>
        <v>1077.3645908832566</v>
      </c>
      <c r="AF127" s="38">
        <f t="shared" ca="1" si="241"/>
        <v>1077.3645908832566</v>
      </c>
    </row>
    <row r="128" spans="2:32" s="3" customFormat="1" x14ac:dyDescent="0.25">
      <c r="B128" s="33" t="s">
        <v>64</v>
      </c>
      <c r="G128" s="39">
        <v>1003.0940000000001</v>
      </c>
      <c r="H128" s="37"/>
      <c r="I128" s="37"/>
      <c r="J128" s="37"/>
      <c r="K128" s="37">
        <v>1247.509</v>
      </c>
      <c r="L128" s="38">
        <f t="shared" si="236"/>
        <v>1247.509</v>
      </c>
      <c r="M128" s="106">
        <v>1302.9849999999999</v>
      </c>
      <c r="N128" s="107">
        <v>1343.789</v>
      </c>
      <c r="O128" s="107">
        <v>1374.1590000000001</v>
      </c>
      <c r="P128" s="126">
        <f>Q128</f>
        <v>1442.886</v>
      </c>
      <c r="Q128" s="37">
        <v>1442.886</v>
      </c>
      <c r="R128" s="106">
        <v>1319.6880000000001</v>
      </c>
      <c r="S128" s="107">
        <v>1391.9369999999999</v>
      </c>
      <c r="T128" s="107">
        <v>1452.0840000000001</v>
      </c>
      <c r="U128" s="113">
        <f>T128+U142+U145+U166+U167+U168+U169+U146</f>
        <v>1589.8454637175341</v>
      </c>
      <c r="V128" s="38">
        <f t="shared" si="238"/>
        <v>1589.8454637175341</v>
      </c>
      <c r="W128" s="81">
        <f ca="1">V128+W142+W145+W166+W167+W168+W169+W146</f>
        <v>1699.3835630755771</v>
      </c>
      <c r="X128" s="82">
        <f ca="1">W128+X142+X145+X166+X167+X168+X169+X146</f>
        <v>1806.4917460577872</v>
      </c>
      <c r="Y128" s="82">
        <f ca="1">X128+Y142+Y145+Y166+Y167+Y168+Y169+Y146</f>
        <v>1910.2715414374434</v>
      </c>
      <c r="Z128" s="113">
        <f ca="1">Y128+Z142+Z145+Z166+Z167+Z168+Z169+Z146</f>
        <v>2062.4588822901469</v>
      </c>
      <c r="AA128" s="38">
        <f t="shared" ca="1" si="240"/>
        <v>2062.4588822901469</v>
      </c>
      <c r="AB128" s="81">
        <f ca="1">AA128+AB142+AB145+AB166+AB167+AB168+AB169+AB146</f>
        <v>2182.3134429801344</v>
      </c>
      <c r="AC128" s="82">
        <f ca="1">AB128+AC142+AC145+AC166+AC167+AC168+AC169+AC146</f>
        <v>2298.4715864043897</v>
      </c>
      <c r="AD128" s="82">
        <f ca="1">AC128+AD142+AD145+AD166+AD167+AD168+AD169+AD146</f>
        <v>2410.0316305768679</v>
      </c>
      <c r="AE128" s="113">
        <f ca="1">AD128+AE142+AE145+AE166+AE167+AE168+AE169+AE146</f>
        <v>2572.5586740580025</v>
      </c>
      <c r="AF128" s="38">
        <f t="shared" ca="1" si="241"/>
        <v>2572.5586740580025</v>
      </c>
    </row>
    <row r="129" spans="2:32" x14ac:dyDescent="0.25">
      <c r="B129" s="40" t="s">
        <v>65</v>
      </c>
      <c r="G129" s="18">
        <f t="shared" ref="G129" si="257">ROUND(G117-G127-G128,0)</f>
        <v>0</v>
      </c>
      <c r="H129" s="18">
        <f t="shared" ref="H129:K129" si="258">H117-H127-H128</f>
        <v>0</v>
      </c>
      <c r="I129" s="18">
        <f t="shared" si="258"/>
        <v>0</v>
      </c>
      <c r="J129" s="18">
        <f t="shared" si="258"/>
        <v>0</v>
      </c>
      <c r="K129" s="18">
        <f t="shared" si="258"/>
        <v>4.999999999654392E-3</v>
      </c>
      <c r="L129" s="18">
        <f t="shared" ref="L129:T129" si="259">ROUND(L117-L127-L128,0)</f>
        <v>0</v>
      </c>
      <c r="M129" s="93">
        <f t="shared" si="259"/>
        <v>0</v>
      </c>
      <c r="N129" s="94">
        <f t="shared" si="259"/>
        <v>0</v>
      </c>
      <c r="O129" s="94">
        <f t="shared" si="259"/>
        <v>0</v>
      </c>
      <c r="P129" s="119">
        <f t="shared" si="259"/>
        <v>0</v>
      </c>
      <c r="Q129" s="18">
        <f t="shared" si="259"/>
        <v>0</v>
      </c>
      <c r="R129" s="93">
        <f t="shared" si="259"/>
        <v>0</v>
      </c>
      <c r="S129" s="94">
        <f t="shared" si="259"/>
        <v>0</v>
      </c>
      <c r="T129" s="94">
        <f t="shared" si="259"/>
        <v>0</v>
      </c>
      <c r="U129" s="119">
        <f>ROUND(U117-U127-U128,0)</f>
        <v>0</v>
      </c>
      <c r="V129" s="18">
        <f t="shared" ref="V129:AF129" si="260">ROUND(V117-V127-V128,0)</f>
        <v>0</v>
      </c>
      <c r="W129" s="93">
        <f t="shared" ca="1" si="260"/>
        <v>0</v>
      </c>
      <c r="X129" s="94">
        <f t="shared" ca="1" si="260"/>
        <v>0</v>
      </c>
      <c r="Y129" s="94">
        <f t="shared" ca="1" si="260"/>
        <v>0</v>
      </c>
      <c r="Z129" s="119">
        <f t="shared" ca="1" si="260"/>
        <v>0</v>
      </c>
      <c r="AA129" s="18">
        <f t="shared" ca="1" si="260"/>
        <v>0</v>
      </c>
      <c r="AB129" s="93">
        <f t="shared" ca="1" si="260"/>
        <v>0</v>
      </c>
      <c r="AC129" s="94">
        <f t="shared" ca="1" si="260"/>
        <v>0</v>
      </c>
      <c r="AD129" s="94">
        <f t="shared" ca="1" si="260"/>
        <v>0</v>
      </c>
      <c r="AE129" s="119">
        <f t="shared" ca="1" si="260"/>
        <v>0</v>
      </c>
      <c r="AF129" s="18">
        <f t="shared" ca="1" si="260"/>
        <v>0</v>
      </c>
    </row>
    <row r="130" spans="2:32" x14ac:dyDescent="0.25">
      <c r="G130" s="19"/>
      <c r="H130" s="19"/>
      <c r="I130" s="19"/>
      <c r="J130" s="19"/>
      <c r="K130" s="19"/>
      <c r="L130" s="19"/>
      <c r="M130" s="91"/>
      <c r="N130" s="92"/>
      <c r="O130" s="92"/>
      <c r="P130" s="118"/>
      <c r="Q130" s="19"/>
      <c r="R130" s="91"/>
      <c r="S130" s="92"/>
      <c r="T130" s="92"/>
      <c r="U130" s="112"/>
      <c r="V130" s="17"/>
      <c r="W130" s="79"/>
      <c r="X130" s="80"/>
      <c r="Y130" s="80"/>
      <c r="Z130" s="112"/>
      <c r="AA130" s="17"/>
      <c r="AB130" s="79"/>
      <c r="AC130" s="80"/>
      <c r="AD130" s="80"/>
      <c r="AE130" s="112"/>
      <c r="AF130" s="17"/>
    </row>
    <row r="131" spans="2:32" x14ac:dyDescent="0.25">
      <c r="B131" s="41" t="s">
        <v>177</v>
      </c>
      <c r="G131" s="19"/>
      <c r="H131" s="19"/>
      <c r="I131" s="19"/>
      <c r="J131" s="19"/>
      <c r="K131" s="19"/>
      <c r="L131" s="19"/>
      <c r="M131" s="91"/>
      <c r="N131" s="92"/>
      <c r="O131" s="92"/>
      <c r="P131" s="118"/>
      <c r="Q131" s="19"/>
      <c r="R131" s="91"/>
      <c r="S131" s="92"/>
      <c r="T131" s="92"/>
      <c r="U131" s="112"/>
      <c r="V131" s="17"/>
      <c r="W131" s="79"/>
      <c r="X131" s="80"/>
      <c r="Y131" s="80"/>
      <c r="Z131" s="112"/>
      <c r="AA131" s="17"/>
      <c r="AB131" s="79"/>
      <c r="AC131" s="80"/>
      <c r="AD131" s="80"/>
      <c r="AE131" s="112"/>
      <c r="AF131" s="17"/>
    </row>
    <row r="132" spans="2:32" s="16" customFormat="1" x14ac:dyDescent="0.25">
      <c r="B132" s="16" t="s">
        <v>96</v>
      </c>
      <c r="G132" s="43">
        <f>G108/G58*365</f>
        <v>0</v>
      </c>
      <c r="H132" s="43">
        <f t="shared" ref="H132:K133" si="261">H108/H58*91</f>
        <v>0</v>
      </c>
      <c r="I132" s="43">
        <f t="shared" si="261"/>
        <v>0</v>
      </c>
      <c r="J132" s="43">
        <f t="shared" si="261"/>
        <v>0</v>
      </c>
      <c r="K132" s="43">
        <f t="shared" si="261"/>
        <v>4.5550336422495867</v>
      </c>
      <c r="L132" s="43">
        <f>L108/L58*365</f>
        <v>5.9050410316529893</v>
      </c>
      <c r="M132" s="108">
        <f t="shared" ref="M132:P133" si="262">M108/M58*91</f>
        <v>4.5659227620081051</v>
      </c>
      <c r="N132" s="109">
        <f t="shared" si="262"/>
        <v>4.6980749122861027</v>
      </c>
      <c r="O132" s="109">
        <f t="shared" si="262"/>
        <v>5.0899846272098381</v>
      </c>
      <c r="P132" s="127">
        <f t="shared" si="262"/>
        <v>4.6631490972167473</v>
      </c>
      <c r="Q132" s="43">
        <f>Q108/Q58*365</f>
        <v>6.0451958540524107</v>
      </c>
      <c r="R132" s="108">
        <f t="shared" ref="R132:T133" si="263">R108/R58*91</f>
        <v>4.5861214697368764</v>
      </c>
      <c r="S132" s="109">
        <f t="shared" si="263"/>
        <v>4.7661134570689718</v>
      </c>
      <c r="T132" s="109">
        <f t="shared" si="263"/>
        <v>5.2860767326732665</v>
      </c>
      <c r="U132" s="118">
        <f>P132</f>
        <v>4.6631490972167473</v>
      </c>
      <c r="V132" s="43">
        <f>V108/V58*365</f>
        <v>5.9890620733227777</v>
      </c>
      <c r="W132" s="157">
        <f>R132</f>
        <v>4.5861214697368764</v>
      </c>
      <c r="X132" s="158">
        <f t="shared" ref="X132:X134" si="264">S132</f>
        <v>4.7661134570689718</v>
      </c>
      <c r="Y132" s="158">
        <f t="shared" ref="Y132:Y134" si="265">T132</f>
        <v>5.2860767326732665</v>
      </c>
      <c r="Z132" s="161">
        <f t="shared" ref="Z132:Z134" si="266">U132</f>
        <v>4.6631490972167473</v>
      </c>
      <c r="AA132" s="43">
        <f ca="1">AA108/AA58*365</f>
        <v>5.9193084533354217</v>
      </c>
      <c r="AB132" s="157">
        <f>W132</f>
        <v>4.5861214697368764</v>
      </c>
      <c r="AC132" s="158">
        <f t="shared" ref="AC132:AC134" si="267">X132</f>
        <v>4.7661134570689718</v>
      </c>
      <c r="AD132" s="158">
        <f t="shared" ref="AD132:AD134" si="268">Y132</f>
        <v>5.2860767326732665</v>
      </c>
      <c r="AE132" s="161">
        <f t="shared" ref="AE132:AE134" si="269">Z132</f>
        <v>4.6631490972167473</v>
      </c>
      <c r="AF132" s="43">
        <f ca="1">AF108/AF58*365</f>
        <v>5.8489023175433212</v>
      </c>
    </row>
    <row r="133" spans="2:32" s="16" customFormat="1" x14ac:dyDescent="0.25">
      <c r="B133" s="16" t="s">
        <v>97</v>
      </c>
      <c r="G133" s="43">
        <f>G109/G59*365</f>
        <v>0</v>
      </c>
      <c r="H133" s="43" t="e">
        <f t="shared" si="261"/>
        <v>#DIV/0!</v>
      </c>
      <c r="I133" s="43" t="e">
        <f t="shared" si="261"/>
        <v>#DIV/0!</v>
      </c>
      <c r="J133" s="43" t="e">
        <f t="shared" si="261"/>
        <v>#DIV/0!</v>
      </c>
      <c r="K133" s="43">
        <f t="shared" si="261"/>
        <v>75.786697024232566</v>
      </c>
      <c r="L133" s="43">
        <f>L109/L59*365</f>
        <v>100.80319274801363</v>
      </c>
      <c r="M133" s="108">
        <f t="shared" si="262"/>
        <v>106.78548088462804</v>
      </c>
      <c r="N133" s="109">
        <f t="shared" si="262"/>
        <v>112.55452881912066</v>
      </c>
      <c r="O133" s="109">
        <f t="shared" si="262"/>
        <v>139.95082269390085</v>
      </c>
      <c r="P133" s="127">
        <f t="shared" si="262"/>
        <v>83.596515684484586</v>
      </c>
      <c r="Q133" s="43">
        <f>Q109/Q59*365</f>
        <v>109.47960711604104</v>
      </c>
      <c r="R133" s="108">
        <f t="shared" si="263"/>
        <v>112.33596180808624</v>
      </c>
      <c r="S133" s="109">
        <f t="shared" si="263"/>
        <v>123.6871709598657</v>
      </c>
      <c r="T133" s="109">
        <f t="shared" si="263"/>
        <v>146.93578337326164</v>
      </c>
      <c r="U133" s="118">
        <f t="shared" ref="U133:U134" si="270">P133</f>
        <v>83.596515684484586</v>
      </c>
      <c r="V133" s="43">
        <f>V109/V59*365</f>
        <v>108.19465219152451</v>
      </c>
      <c r="W133" s="157">
        <f t="shared" ref="W133:W134" si="271">R133</f>
        <v>112.33596180808624</v>
      </c>
      <c r="X133" s="158">
        <f t="shared" si="264"/>
        <v>123.6871709598657</v>
      </c>
      <c r="Y133" s="158">
        <f t="shared" si="265"/>
        <v>146.93578337326164</v>
      </c>
      <c r="Z133" s="161">
        <f t="shared" si="266"/>
        <v>83.596515684484586</v>
      </c>
      <c r="AA133" s="43">
        <f ca="1">AA109/AA59*365</f>
        <v>106.93445604648838</v>
      </c>
      <c r="AB133" s="157">
        <f t="shared" ref="AB133:AB134" si="272">W133</f>
        <v>112.33596180808624</v>
      </c>
      <c r="AC133" s="158">
        <f t="shared" si="267"/>
        <v>123.6871709598657</v>
      </c>
      <c r="AD133" s="158">
        <f t="shared" si="268"/>
        <v>146.93578337326164</v>
      </c>
      <c r="AE133" s="161">
        <f t="shared" si="269"/>
        <v>83.596515684484586</v>
      </c>
      <c r="AF133" s="43">
        <f ca="1">AF109/AF59*365</f>
        <v>105.66235970069954</v>
      </c>
    </row>
    <row r="134" spans="2:32" s="16" customFormat="1" x14ac:dyDescent="0.25">
      <c r="B134" s="16" t="s">
        <v>98</v>
      </c>
      <c r="G134" s="43">
        <f>G119/G59*365</f>
        <v>0</v>
      </c>
      <c r="H134" s="43" t="e">
        <f>H119/H59*91</f>
        <v>#DIV/0!</v>
      </c>
      <c r="I134" s="43" t="e">
        <f>I119/I59*91</f>
        <v>#DIV/0!</v>
      </c>
      <c r="J134" s="43" t="e">
        <f>J119/J59*91</f>
        <v>#DIV/0!</v>
      </c>
      <c r="K134" s="43">
        <f>K119/K59*91</f>
        <v>24.87562472775625</v>
      </c>
      <c r="L134" s="43">
        <f>L119/L59*365</f>
        <v>33.086840997404714</v>
      </c>
      <c r="M134" s="108">
        <f>M119/M59*91</f>
        <v>33.747630713458825</v>
      </c>
      <c r="N134" s="109">
        <f>N119/N59*91</f>
        <v>34.407877670352171</v>
      </c>
      <c r="O134" s="109">
        <f>O119/O59*91</f>
        <v>46.091515349649256</v>
      </c>
      <c r="P134" s="127">
        <f>P119/P59*91</f>
        <v>21.527452822338979</v>
      </c>
      <c r="Q134" s="43">
        <f>Q119/Q59*365</f>
        <v>28.192766862365804</v>
      </c>
      <c r="R134" s="108">
        <f>R119/R59*91</f>
        <v>35.462892551581625</v>
      </c>
      <c r="S134" s="109">
        <f>S119/S59*91</f>
        <v>37.927425965513159</v>
      </c>
      <c r="T134" s="109">
        <f>T119/T59*91</f>
        <v>54.931160969014982</v>
      </c>
      <c r="U134" s="118">
        <f t="shared" si="270"/>
        <v>21.527452822338979</v>
      </c>
      <c r="V134" s="43">
        <f>V119/V59*365</f>
        <v>27.861870218051529</v>
      </c>
      <c r="W134" s="157">
        <f t="shared" si="271"/>
        <v>35.462892551581625</v>
      </c>
      <c r="X134" s="158">
        <f t="shared" si="264"/>
        <v>37.927425965513159</v>
      </c>
      <c r="Y134" s="158">
        <f t="shared" si="265"/>
        <v>54.931160969014982</v>
      </c>
      <c r="Z134" s="161">
        <f t="shared" si="266"/>
        <v>21.527452822338979</v>
      </c>
      <c r="AA134" s="43">
        <f ca="1">AA119/AA59*365</f>
        <v>27.537349359292893</v>
      </c>
      <c r="AB134" s="157">
        <f t="shared" si="272"/>
        <v>35.462892551581625</v>
      </c>
      <c r="AC134" s="158">
        <f t="shared" si="267"/>
        <v>37.927425965513159</v>
      </c>
      <c r="AD134" s="158">
        <f t="shared" si="268"/>
        <v>54.931160969014982</v>
      </c>
      <c r="AE134" s="161">
        <f t="shared" si="269"/>
        <v>21.527452822338979</v>
      </c>
      <c r="AF134" s="43">
        <f ca="1">AF119/AF59*365</f>
        <v>27.209764006659334</v>
      </c>
    </row>
    <row r="135" spans="2:32" s="175" customFormat="1" x14ac:dyDescent="0.25">
      <c r="B135" s="175" t="s">
        <v>179</v>
      </c>
      <c r="G135" s="176">
        <f>G132+G133-G134</f>
        <v>0</v>
      </c>
      <c r="H135" s="176" t="e">
        <f t="shared" ref="H135:AF135" si="273">H132+H133-H134</f>
        <v>#DIV/0!</v>
      </c>
      <c r="I135" s="176" t="e">
        <f t="shared" si="273"/>
        <v>#DIV/0!</v>
      </c>
      <c r="J135" s="176" t="e">
        <f t="shared" si="273"/>
        <v>#DIV/0!</v>
      </c>
      <c r="K135" s="176">
        <f t="shared" si="273"/>
        <v>55.466105938725903</v>
      </c>
      <c r="L135" s="176">
        <f t="shared" si="273"/>
        <v>73.621392782261893</v>
      </c>
      <c r="M135" s="177">
        <f t="shared" si="273"/>
        <v>77.603772933177311</v>
      </c>
      <c r="N135" s="178">
        <f t="shared" si="273"/>
        <v>82.844726061054587</v>
      </c>
      <c r="O135" s="178">
        <f t="shared" si="273"/>
        <v>98.949291971461435</v>
      </c>
      <c r="P135" s="179">
        <f t="shared" si="273"/>
        <v>66.73221195936236</v>
      </c>
      <c r="Q135" s="176">
        <f t="shared" si="273"/>
        <v>87.332036107727646</v>
      </c>
      <c r="R135" s="177">
        <f t="shared" si="273"/>
        <v>81.459190726241502</v>
      </c>
      <c r="S135" s="178">
        <f t="shared" si="273"/>
        <v>90.525858451421527</v>
      </c>
      <c r="T135" s="178">
        <f t="shared" si="273"/>
        <v>97.29069913691994</v>
      </c>
      <c r="U135" s="179">
        <f t="shared" si="273"/>
        <v>66.73221195936236</v>
      </c>
      <c r="V135" s="176">
        <f t="shared" si="273"/>
        <v>86.321844046795746</v>
      </c>
      <c r="W135" s="177">
        <f t="shared" si="273"/>
        <v>81.459190726241502</v>
      </c>
      <c r="X135" s="178">
        <f t="shared" si="273"/>
        <v>90.525858451421527</v>
      </c>
      <c r="Y135" s="178">
        <f t="shared" si="273"/>
        <v>97.29069913691994</v>
      </c>
      <c r="Z135" s="179">
        <f t="shared" si="273"/>
        <v>66.73221195936236</v>
      </c>
      <c r="AA135" s="176">
        <f t="shared" ca="1" si="273"/>
        <v>85.316415140530907</v>
      </c>
      <c r="AB135" s="177">
        <f t="shared" si="273"/>
        <v>81.459190726241502</v>
      </c>
      <c r="AC135" s="178">
        <f t="shared" si="273"/>
        <v>90.525858451421527</v>
      </c>
      <c r="AD135" s="178">
        <f t="shared" si="273"/>
        <v>97.29069913691994</v>
      </c>
      <c r="AE135" s="179">
        <f t="shared" si="273"/>
        <v>66.73221195936236</v>
      </c>
      <c r="AF135" s="176">
        <f t="shared" ca="1" si="273"/>
        <v>84.301498011583533</v>
      </c>
    </row>
    <row r="136" spans="2:32" x14ac:dyDescent="0.25">
      <c r="B136" t="s">
        <v>127</v>
      </c>
      <c r="G136" s="29">
        <f t="shared" ref="G136:T136" si="274">G110/G58</f>
        <v>0</v>
      </c>
      <c r="H136" s="29">
        <f t="shared" si="274"/>
        <v>0</v>
      </c>
      <c r="I136" s="29">
        <f t="shared" si="274"/>
        <v>0</v>
      </c>
      <c r="J136" s="29">
        <f t="shared" si="274"/>
        <v>0</v>
      </c>
      <c r="K136" s="29">
        <f t="shared" si="274"/>
        <v>6.3521759839486991E-2</v>
      </c>
      <c r="L136" s="29">
        <f t="shared" si="274"/>
        <v>2.0530634910840995E-2</v>
      </c>
      <c r="M136" s="90">
        <f t="shared" si="274"/>
        <v>7.1101757587067257E-2</v>
      </c>
      <c r="N136" s="89">
        <f t="shared" si="274"/>
        <v>7.6483553573037127E-2</v>
      </c>
      <c r="O136" s="89">
        <f t="shared" si="274"/>
        <v>7.7376743164598652E-2</v>
      </c>
      <c r="P136" s="116">
        <f t="shared" si="274"/>
        <v>5.7200977686667195E-2</v>
      </c>
      <c r="Q136" s="29">
        <f t="shared" si="274"/>
        <v>1.8487707183341185E-2</v>
      </c>
      <c r="R136" s="90">
        <f t="shared" si="274"/>
        <v>6.6647046332549767E-2</v>
      </c>
      <c r="S136" s="89">
        <f t="shared" si="274"/>
        <v>7.7365169774086598E-2</v>
      </c>
      <c r="T136" s="89">
        <f t="shared" si="274"/>
        <v>7.5681577086280052E-2</v>
      </c>
      <c r="U136" s="145">
        <f t="shared" ref="U136:U138" si="275">P136</f>
        <v>5.7200977686667195E-2</v>
      </c>
      <c r="V136" s="29">
        <f>V110/V58</f>
        <v>1.8316036169485173E-2</v>
      </c>
      <c r="W136" s="87">
        <f>R136</f>
        <v>6.6647046332549767E-2</v>
      </c>
      <c r="X136" s="88">
        <f t="shared" ref="X136:X138" si="276">S136</f>
        <v>7.7365169774086598E-2</v>
      </c>
      <c r="Y136" s="88">
        <f t="shared" ref="Y136:Y138" si="277">T136</f>
        <v>7.5681577086280052E-2</v>
      </c>
      <c r="Z136" s="117">
        <f t="shared" ref="Z136:Z138" si="278">U136</f>
        <v>5.7200977686667195E-2</v>
      </c>
      <c r="AA136" s="29">
        <f ca="1">AA110/AA58</f>
        <v>1.8102712311592328E-2</v>
      </c>
      <c r="AB136" s="87">
        <f>W136</f>
        <v>6.6647046332549767E-2</v>
      </c>
      <c r="AC136" s="88">
        <f t="shared" ref="AC136:AC138" si="279">X136</f>
        <v>7.7365169774086598E-2</v>
      </c>
      <c r="AD136" s="88">
        <f t="shared" ref="AD136:AD138" si="280">Y136</f>
        <v>7.5681577086280052E-2</v>
      </c>
      <c r="AE136" s="117">
        <f t="shared" ref="AE136:AE138" si="281">Z136</f>
        <v>5.7200977686667195E-2</v>
      </c>
      <c r="AF136" s="29">
        <f ca="1">AF110/AF58</f>
        <v>1.7887392898646867E-2</v>
      </c>
    </row>
    <row r="137" spans="2:32" x14ac:dyDescent="0.25">
      <c r="B137" t="s">
        <v>125</v>
      </c>
      <c r="G137" s="29">
        <f t="shared" ref="G137:T137" si="282">G120/G59</f>
        <v>0</v>
      </c>
      <c r="H137" s="29" t="e">
        <f t="shared" si="282"/>
        <v>#DIV/0!</v>
      </c>
      <c r="I137" s="29" t="e">
        <f t="shared" si="282"/>
        <v>#DIV/0!</v>
      </c>
      <c r="J137" s="29" t="e">
        <f t="shared" si="282"/>
        <v>#DIV/0!</v>
      </c>
      <c r="K137" s="29">
        <f t="shared" si="282"/>
        <v>0.2140867511864096</v>
      </c>
      <c r="L137" s="29">
        <f t="shared" si="282"/>
        <v>7.0993670001929132E-2</v>
      </c>
      <c r="M137" s="90">
        <f t="shared" si="282"/>
        <v>0.24654740874219824</v>
      </c>
      <c r="N137" s="89">
        <f t="shared" si="282"/>
        <v>0.27079316558111488</v>
      </c>
      <c r="O137" s="89">
        <f t="shared" si="282"/>
        <v>0.28988178665952541</v>
      </c>
      <c r="P137" s="116">
        <f t="shared" si="282"/>
        <v>0.22592459050791128</v>
      </c>
      <c r="Q137" s="29">
        <f t="shared" si="282"/>
        <v>7.3766144587943144E-2</v>
      </c>
      <c r="R137" s="90">
        <f t="shared" si="282"/>
        <v>0.26240842048571172</v>
      </c>
      <c r="S137" s="89">
        <f t="shared" si="282"/>
        <v>0.30088386956312096</v>
      </c>
      <c r="T137" s="89">
        <f t="shared" si="282"/>
        <v>0.32600943794120529</v>
      </c>
      <c r="U137" s="145">
        <f t="shared" si="275"/>
        <v>0.22592459050791128</v>
      </c>
      <c r="V137" s="29">
        <f>V120/V59</f>
        <v>7.2900356216503259E-2</v>
      </c>
      <c r="W137" s="87">
        <f t="shared" ref="W137:W138" si="283">R137</f>
        <v>0.26240842048571172</v>
      </c>
      <c r="X137" s="88">
        <f t="shared" si="276"/>
        <v>0.30088386956312096</v>
      </c>
      <c r="Y137" s="88">
        <f t="shared" si="277"/>
        <v>0.32600943794120529</v>
      </c>
      <c r="Z137" s="117">
        <f t="shared" si="278"/>
        <v>0.22592459050791128</v>
      </c>
      <c r="AA137" s="29">
        <f ca="1">AA120/AA59</f>
        <v>7.2051250035976205E-2</v>
      </c>
      <c r="AB137" s="87">
        <f t="shared" ref="AB137:AB138" si="284">W137</f>
        <v>0.26240842048571172</v>
      </c>
      <c r="AC137" s="88">
        <f t="shared" si="279"/>
        <v>0.30088386956312096</v>
      </c>
      <c r="AD137" s="88">
        <f t="shared" si="280"/>
        <v>0.32600943794120529</v>
      </c>
      <c r="AE137" s="117">
        <f t="shared" si="281"/>
        <v>0.22592459050791128</v>
      </c>
      <c r="AF137" s="29">
        <f ca="1">AF120/AF59</f>
        <v>7.1194125632215874E-2</v>
      </c>
    </row>
    <row r="138" spans="2:32" x14ac:dyDescent="0.25">
      <c r="B138" t="s">
        <v>126</v>
      </c>
      <c r="G138" s="29">
        <f t="shared" ref="G138:T138" si="285">G124/G59</f>
        <v>0</v>
      </c>
      <c r="H138" s="29" t="e">
        <f t="shared" si="285"/>
        <v>#DIV/0!</v>
      </c>
      <c r="I138" s="29" t="e">
        <f t="shared" si="285"/>
        <v>#DIV/0!</v>
      </c>
      <c r="J138" s="29" t="e">
        <f t="shared" si="285"/>
        <v>#DIV/0!</v>
      </c>
      <c r="K138" s="29">
        <f t="shared" si="285"/>
        <v>0.42144335037483666</v>
      </c>
      <c r="L138" s="29">
        <f t="shared" si="285"/>
        <v>0.13975554290590722</v>
      </c>
      <c r="M138" s="90">
        <f t="shared" si="285"/>
        <v>0.54051064010563998</v>
      </c>
      <c r="N138" s="89">
        <f t="shared" si="285"/>
        <v>0.55375584550343193</v>
      </c>
      <c r="O138" s="89">
        <f t="shared" si="285"/>
        <v>0.56396353784461506</v>
      </c>
      <c r="P138" s="116">
        <f t="shared" si="285"/>
        <v>0.38804402484627842</v>
      </c>
      <c r="Q138" s="29">
        <f t="shared" si="285"/>
        <v>0.126699406996582</v>
      </c>
      <c r="R138" s="90">
        <f t="shared" si="285"/>
        <v>0.48313736853967448</v>
      </c>
      <c r="S138" s="89">
        <f t="shared" si="285"/>
        <v>0.50475249752694784</v>
      </c>
      <c r="T138" s="89">
        <f t="shared" si="285"/>
        <v>0.51360094521421396</v>
      </c>
      <c r="U138" s="145">
        <f t="shared" si="275"/>
        <v>0.38804402484627842</v>
      </c>
      <c r="V138" s="29">
        <f>V124/V59</f>
        <v>0.12521234441714635</v>
      </c>
      <c r="W138" s="87">
        <f t="shared" si="283"/>
        <v>0.48313736853967448</v>
      </c>
      <c r="X138" s="88">
        <f t="shared" si="276"/>
        <v>0.50475249752694784</v>
      </c>
      <c r="Y138" s="88">
        <f t="shared" si="277"/>
        <v>0.51360094521421396</v>
      </c>
      <c r="Z138" s="117">
        <f t="shared" si="278"/>
        <v>0.38804402484627842</v>
      </c>
      <c r="AA138" s="29">
        <f ca="1">AA124/AA59</f>
        <v>0.12375393486963837</v>
      </c>
      <c r="AB138" s="87">
        <f t="shared" si="284"/>
        <v>0.48313736853967448</v>
      </c>
      <c r="AC138" s="88">
        <f t="shared" si="279"/>
        <v>0.50475249752694784</v>
      </c>
      <c r="AD138" s="88">
        <f t="shared" si="280"/>
        <v>0.51360094521421396</v>
      </c>
      <c r="AE138" s="117">
        <f t="shared" si="281"/>
        <v>0.38804402484627842</v>
      </c>
      <c r="AF138" s="29">
        <f ca="1">AF124/AF59</f>
        <v>0.1222817533657065</v>
      </c>
    </row>
    <row r="139" spans="2:32" x14ac:dyDescent="0.25">
      <c r="G139" s="19"/>
      <c r="H139" s="19"/>
      <c r="I139" s="19"/>
      <c r="J139" s="19"/>
      <c r="K139" s="19"/>
      <c r="L139" s="19"/>
      <c r="M139" s="91"/>
      <c r="N139" s="92"/>
      <c r="O139" s="92"/>
      <c r="P139" s="118"/>
      <c r="Q139" s="19"/>
      <c r="R139" s="91"/>
      <c r="S139" s="92"/>
      <c r="T139" s="92"/>
      <c r="U139" s="112"/>
      <c r="V139" s="17"/>
      <c r="W139" s="79"/>
      <c r="X139" s="80"/>
      <c r="Y139" s="80"/>
      <c r="Z139" s="112"/>
      <c r="AA139" s="17"/>
      <c r="AB139" s="79"/>
      <c r="AC139" s="80"/>
      <c r="AD139" s="80"/>
      <c r="AE139" s="112"/>
      <c r="AF139" s="17"/>
    </row>
    <row r="140" spans="2:32" x14ac:dyDescent="0.25">
      <c r="B140" s="162" t="s">
        <v>23</v>
      </c>
      <c r="C140" s="163"/>
      <c r="D140" s="163"/>
      <c r="E140" s="163"/>
      <c r="F140" s="163"/>
      <c r="G140" s="163"/>
      <c r="H140" s="163"/>
      <c r="I140" s="163"/>
      <c r="J140" s="163"/>
      <c r="K140" s="163"/>
      <c r="L140" s="163"/>
      <c r="M140" s="162"/>
      <c r="N140" s="163"/>
      <c r="O140" s="163"/>
      <c r="P140" s="164"/>
      <c r="Q140" s="163"/>
      <c r="R140" s="162"/>
      <c r="S140" s="163"/>
      <c r="T140" s="163"/>
      <c r="U140" s="164"/>
      <c r="V140" s="163"/>
      <c r="W140" s="162"/>
      <c r="X140" s="163"/>
      <c r="Y140" s="163"/>
      <c r="Z140" s="164"/>
      <c r="AA140" s="163"/>
      <c r="AB140" s="162"/>
      <c r="AC140" s="163"/>
      <c r="AD140" s="163"/>
      <c r="AE140" s="164"/>
      <c r="AF140" s="164"/>
    </row>
    <row r="141" spans="2:32" x14ac:dyDescent="0.25">
      <c r="G141" s="19"/>
      <c r="H141" s="19"/>
      <c r="I141" s="19"/>
      <c r="J141" s="19"/>
      <c r="K141" s="19"/>
      <c r="L141" s="19"/>
      <c r="M141" s="91"/>
      <c r="N141" s="92"/>
      <c r="O141" s="92"/>
      <c r="P141" s="118"/>
      <c r="Q141" s="19"/>
      <c r="R141" s="91"/>
      <c r="S141" s="92"/>
      <c r="T141" s="92"/>
      <c r="U141" s="112"/>
      <c r="V141" s="17"/>
      <c r="W141" s="79"/>
      <c r="X141" s="80"/>
      <c r="Y141" s="80"/>
      <c r="Z141" s="112"/>
      <c r="AA141" s="17"/>
      <c r="AB141" s="79"/>
      <c r="AC141" s="80"/>
      <c r="AD141" s="80"/>
      <c r="AE141" s="112"/>
      <c r="AF141" s="17"/>
    </row>
    <row r="142" spans="2:32" x14ac:dyDescent="0.25">
      <c r="B142" t="s">
        <v>50</v>
      </c>
      <c r="G142" s="18">
        <f t="shared" ref="G142:U142" si="286">G67</f>
        <v>202.84899999999985</v>
      </c>
      <c r="H142" s="18">
        <f t="shared" si="286"/>
        <v>713.77</v>
      </c>
      <c r="I142" s="18">
        <f t="shared" si="286"/>
        <v>734.23599999999999</v>
      </c>
      <c r="J142" s="18">
        <f t="shared" si="286"/>
        <v>745.72199999999998</v>
      </c>
      <c r="K142" s="18">
        <f t="shared" si="286"/>
        <v>87.264000000000067</v>
      </c>
      <c r="L142" s="18">
        <f t="shared" si="286"/>
        <v>257.19900000000024</v>
      </c>
      <c r="M142" s="93">
        <f t="shared" si="286"/>
        <v>66.945999999999955</v>
      </c>
      <c r="N142" s="94">
        <f t="shared" si="286"/>
        <v>74.169000000000011</v>
      </c>
      <c r="O142" s="94">
        <f t="shared" si="286"/>
        <v>71.070000000000036</v>
      </c>
      <c r="P142" s="119">
        <f t="shared" si="286"/>
        <v>107.82799999999995</v>
      </c>
      <c r="Q142" s="18">
        <f t="shared" si="286"/>
        <v>320.01300000000009</v>
      </c>
      <c r="R142" s="93">
        <f t="shared" si="286"/>
        <v>91.975999999999956</v>
      </c>
      <c r="S142" s="94">
        <f t="shared" si="286"/>
        <v>90.003999999999962</v>
      </c>
      <c r="T142" s="94">
        <f t="shared" si="286"/>
        <v>87.530000000000086</v>
      </c>
      <c r="U142" s="119">
        <f t="shared" si="286"/>
        <v>134.21346371753401</v>
      </c>
      <c r="V142" s="18">
        <f>SUM(R142:U142)</f>
        <v>403.723463717534</v>
      </c>
      <c r="W142" s="93">
        <f ca="1">W67</f>
        <v>105.51809935804292</v>
      </c>
      <c r="X142" s="94">
        <f ca="1">X67</f>
        <v>102.26618298220998</v>
      </c>
      <c r="Y142" s="94">
        <f ca="1">Y67</f>
        <v>98.438795379656426</v>
      </c>
      <c r="Z142" s="119">
        <f ca="1">Z67</f>
        <v>148.6393408527037</v>
      </c>
      <c r="AA142" s="18">
        <f ca="1">SUM(W142:Z142)</f>
        <v>454.86241857261302</v>
      </c>
      <c r="AB142" s="93">
        <f ca="1">AB67</f>
        <v>115.83456068998747</v>
      </c>
      <c r="AC142" s="94">
        <f ca="1">AC67</f>
        <v>111.31614342425534</v>
      </c>
      <c r="AD142" s="94">
        <f ca="1">AD67</f>
        <v>106.21904417247853</v>
      </c>
      <c r="AE142" s="119">
        <f ca="1">AE67</f>
        <v>158.97904348113488</v>
      </c>
      <c r="AF142" s="18">
        <f ca="1">SUM(AB142:AE142)</f>
        <v>492.34879176785626</v>
      </c>
    </row>
    <row r="143" spans="2:32" x14ac:dyDescent="0.25">
      <c r="B143" t="s">
        <v>73</v>
      </c>
      <c r="G143" s="19">
        <v>106.283</v>
      </c>
      <c r="H143" s="19"/>
      <c r="I143" s="19"/>
      <c r="J143" s="19"/>
      <c r="K143" s="19"/>
      <c r="L143" s="19">
        <v>131.76400000000001</v>
      </c>
      <c r="M143" s="91">
        <v>37.966999999999999</v>
      </c>
      <c r="N143" s="92">
        <f>76.738-M143</f>
        <v>38.771000000000001</v>
      </c>
      <c r="O143" s="92">
        <f>119.051-N143-M143</f>
        <v>42.313000000000002</v>
      </c>
      <c r="P143" s="119">
        <f>Q143-O143-N143-M143</f>
        <v>45.998000000000005</v>
      </c>
      <c r="Q143" s="19">
        <v>165.04900000000001</v>
      </c>
      <c r="R143" s="91">
        <v>47.887</v>
      </c>
      <c r="S143" s="92">
        <f>97.552-R143</f>
        <v>49.665000000000006</v>
      </c>
      <c r="T143" s="92">
        <f>151.014-S143-R143</f>
        <v>53.462000000000003</v>
      </c>
      <c r="U143" s="141">
        <f>U87*U58</f>
        <v>55.932347941110002</v>
      </c>
      <c r="V143" s="18">
        <f t="shared" ref="V143:V171" si="287">SUM(R143:U143)</f>
        <v>206.94634794111002</v>
      </c>
      <c r="W143" s="93">
        <f ca="1">W87*W58</f>
        <v>54.398246646852932</v>
      </c>
      <c r="X143" s="94">
        <f ca="1">X87*X58</f>
        <v>55.990284218184883</v>
      </c>
      <c r="Y143" s="94">
        <f ca="1">Y87*Y58</f>
        <v>59.745947792570824</v>
      </c>
      <c r="Z143" s="119">
        <f ca="1">Z87*Z58</f>
        <v>61.950172877426596</v>
      </c>
      <c r="AA143" s="18">
        <f t="shared" ref="AA143:AA169" ca="1" si="288">SUM(W143:Z143)</f>
        <v>232.08465153503522</v>
      </c>
      <c r="AB143" s="93">
        <f ca="1">AB87*AB58</f>
        <v>59.726762374720607</v>
      </c>
      <c r="AC143" s="94">
        <f ca="1">AC87*AC58</f>
        <v>60.952679088993207</v>
      </c>
      <c r="AD143" s="94">
        <f ca="1">AD87*AD58</f>
        <v>64.474438166913771</v>
      </c>
      <c r="AE143" s="119">
        <f ca="1">AE87*AE58</f>
        <v>66.263430208571847</v>
      </c>
      <c r="AF143" s="18">
        <f t="shared" ref="AF143:AF169" ca="1" si="289">SUM(AB143:AE143)</f>
        <v>251.41730983919945</v>
      </c>
    </row>
    <row r="144" spans="2:32" x14ac:dyDescent="0.25">
      <c r="B144" t="s">
        <v>83</v>
      </c>
      <c r="G144" s="19"/>
      <c r="H144" s="19"/>
      <c r="I144" s="19"/>
      <c r="J144" s="19"/>
      <c r="K144" s="19"/>
      <c r="L144" s="19">
        <v>9.2460000000000004</v>
      </c>
      <c r="M144" s="91">
        <v>0.65100000000000002</v>
      </c>
      <c r="N144" s="92">
        <f>0.683-M144</f>
        <v>3.2000000000000028E-2</v>
      </c>
      <c r="O144" s="92">
        <f>-1.555-N144-M144</f>
        <v>-2.238</v>
      </c>
      <c r="P144" s="119">
        <f t="shared" ref="P144:P147" si="290">Q144-O144-N144-M144</f>
        <v>7.3640000000000008</v>
      </c>
      <c r="Q144" s="19">
        <v>5.8090000000000002</v>
      </c>
      <c r="R144" s="91">
        <v>0.45</v>
      </c>
      <c r="S144" s="92">
        <f>-1.05-R144</f>
        <v>-1.5</v>
      </c>
      <c r="T144" s="92">
        <f>3.142-S144-R144</f>
        <v>4.1919999999999993</v>
      </c>
      <c r="U144" s="141">
        <v>0</v>
      </c>
      <c r="V144" s="18">
        <f t="shared" si="287"/>
        <v>3.1419999999999995</v>
      </c>
      <c r="W144" s="93">
        <v>0</v>
      </c>
      <c r="X144" s="94">
        <v>0</v>
      </c>
      <c r="Y144" s="94">
        <v>0</v>
      </c>
      <c r="Z144" s="119">
        <v>0</v>
      </c>
      <c r="AA144" s="18">
        <f t="shared" si="288"/>
        <v>0</v>
      </c>
      <c r="AB144" s="93">
        <v>0</v>
      </c>
      <c r="AC144" s="94">
        <v>0</v>
      </c>
      <c r="AD144" s="94">
        <v>0</v>
      </c>
      <c r="AE144" s="119">
        <v>0</v>
      </c>
      <c r="AF144" s="18">
        <f t="shared" si="289"/>
        <v>0</v>
      </c>
    </row>
    <row r="145" spans="2:32" x14ac:dyDescent="0.25">
      <c r="B145" t="s">
        <v>74</v>
      </c>
      <c r="G145" s="19"/>
      <c r="H145" s="19"/>
      <c r="I145" s="19"/>
      <c r="J145" s="19"/>
      <c r="K145" s="19"/>
      <c r="L145" s="19">
        <v>14.923</v>
      </c>
      <c r="M145" s="91">
        <v>3.3420000000000001</v>
      </c>
      <c r="N145" s="92">
        <f>7.578-M145</f>
        <v>4.2360000000000007</v>
      </c>
      <c r="O145" s="92">
        <f>11.126-N145-M145</f>
        <v>3.5479999999999987</v>
      </c>
      <c r="P145" s="119">
        <f t="shared" si="290"/>
        <v>4.468</v>
      </c>
      <c r="Q145" s="19">
        <v>15.593999999999999</v>
      </c>
      <c r="R145" s="91">
        <v>4.0199999999999996</v>
      </c>
      <c r="S145" s="92">
        <f>8.862-R145</f>
        <v>4.8420000000000005</v>
      </c>
      <c r="T145" s="92">
        <f>14.203-S145-R145</f>
        <v>5.3409999999999993</v>
      </c>
      <c r="U145" s="141">
        <f>O145</f>
        <v>3.5479999999999987</v>
      </c>
      <c r="V145" s="18">
        <f t="shared" si="287"/>
        <v>17.750999999999998</v>
      </c>
      <c r="W145" s="93">
        <f>R145</f>
        <v>4.0199999999999996</v>
      </c>
      <c r="X145" s="94">
        <f t="shared" ref="X145:Z146" si="291">S145</f>
        <v>4.8420000000000005</v>
      </c>
      <c r="Y145" s="94">
        <f t="shared" si="291"/>
        <v>5.3409999999999993</v>
      </c>
      <c r="Z145" s="119">
        <f t="shared" si="291"/>
        <v>3.5479999999999987</v>
      </c>
      <c r="AA145" s="18">
        <f t="shared" si="288"/>
        <v>17.750999999999998</v>
      </c>
      <c r="AB145" s="93">
        <f>W145</f>
        <v>4.0199999999999996</v>
      </c>
      <c r="AC145" s="94">
        <f t="shared" ref="AC145:AC146" si="292">X145</f>
        <v>4.8420000000000005</v>
      </c>
      <c r="AD145" s="94">
        <f t="shared" ref="AD145:AD146" si="293">Y145</f>
        <v>5.3409999999999993</v>
      </c>
      <c r="AE145" s="119">
        <f t="shared" ref="AE145:AE146" si="294">Z145</f>
        <v>3.5479999999999987</v>
      </c>
      <c r="AF145" s="18">
        <f t="shared" si="289"/>
        <v>17.750999999999998</v>
      </c>
    </row>
    <row r="146" spans="2:32" x14ac:dyDescent="0.25">
      <c r="B146" t="s">
        <v>75</v>
      </c>
      <c r="G146" s="19"/>
      <c r="H146" s="19"/>
      <c r="I146" s="19"/>
      <c r="J146" s="19"/>
      <c r="K146" s="19"/>
      <c r="L146" s="19">
        <v>-3.2290000000000001</v>
      </c>
      <c r="M146" s="91">
        <v>-4</v>
      </c>
      <c r="N146" s="92">
        <f>-7.257-M146</f>
        <v>-3.2569999999999997</v>
      </c>
      <c r="O146" s="92">
        <f>-8.608-N146-M146</f>
        <v>-1.3510000000000009</v>
      </c>
      <c r="P146" s="119">
        <f t="shared" si="290"/>
        <v>-0.88899999999999935</v>
      </c>
      <c r="Q146" s="19">
        <v>-9.4969999999999999</v>
      </c>
      <c r="R146" s="91">
        <v>-3.2029999999999998</v>
      </c>
      <c r="S146" s="92">
        <f>-4.685-R146</f>
        <v>-1.4819999999999998</v>
      </c>
      <c r="T146" s="92">
        <f>-9-S146-R146</f>
        <v>-4.3150000000000013</v>
      </c>
      <c r="U146" s="141">
        <f>O146</f>
        <v>-1.3510000000000009</v>
      </c>
      <c r="V146" s="18">
        <f t="shared" si="287"/>
        <v>-10.351000000000001</v>
      </c>
      <c r="W146" s="93">
        <f>R146</f>
        <v>-3.2029999999999998</v>
      </c>
      <c r="X146" s="94">
        <f t="shared" si="291"/>
        <v>-1.4819999999999998</v>
      </c>
      <c r="Y146" s="94">
        <f t="shared" si="291"/>
        <v>-4.3150000000000013</v>
      </c>
      <c r="Z146" s="119">
        <f t="shared" si="291"/>
        <v>-1.3510000000000009</v>
      </c>
      <c r="AA146" s="18">
        <f t="shared" si="288"/>
        <v>-10.351000000000001</v>
      </c>
      <c r="AB146" s="93">
        <f>W146</f>
        <v>-3.2029999999999998</v>
      </c>
      <c r="AC146" s="94">
        <f t="shared" si="292"/>
        <v>-1.4819999999999998</v>
      </c>
      <c r="AD146" s="94">
        <f t="shared" si="293"/>
        <v>-4.3150000000000013</v>
      </c>
      <c r="AE146" s="119">
        <f t="shared" si="294"/>
        <v>-1.3510000000000009</v>
      </c>
      <c r="AF146" s="18">
        <f t="shared" si="289"/>
        <v>-10.351000000000001</v>
      </c>
    </row>
    <row r="147" spans="2:32" x14ac:dyDescent="0.25">
      <c r="B147" t="s">
        <v>84</v>
      </c>
      <c r="G147" s="19"/>
      <c r="H147" s="19"/>
      <c r="I147" s="19"/>
      <c r="J147" s="19"/>
      <c r="K147" s="19"/>
      <c r="L147" s="19">
        <v>4.468</v>
      </c>
      <c r="M147" s="91">
        <v>1.121</v>
      </c>
      <c r="N147" s="92">
        <f>1.629-M147</f>
        <v>0.50800000000000001</v>
      </c>
      <c r="O147" s="92">
        <f>2.647-N147-M147</f>
        <v>1.0179999999999998</v>
      </c>
      <c r="P147" s="119">
        <f t="shared" si="290"/>
        <v>1.0430000000000001</v>
      </c>
      <c r="Q147" s="19">
        <v>3.69</v>
      </c>
      <c r="R147" s="91">
        <v>0.81200000000000006</v>
      </c>
      <c r="S147" s="92">
        <f>3.712-R147</f>
        <v>2.9000000000000004</v>
      </c>
      <c r="T147" s="92">
        <f>6.822-S147-R147</f>
        <v>3.1099999999999994</v>
      </c>
      <c r="U147" s="141">
        <v>0</v>
      </c>
      <c r="V147" s="18">
        <f t="shared" si="287"/>
        <v>6.8220000000000001</v>
      </c>
      <c r="W147" s="93">
        <v>0</v>
      </c>
      <c r="X147" s="94">
        <v>0</v>
      </c>
      <c r="Y147" s="94">
        <v>0</v>
      </c>
      <c r="Z147" s="119">
        <v>0</v>
      </c>
      <c r="AA147" s="18">
        <f t="shared" si="288"/>
        <v>0</v>
      </c>
      <c r="AB147" s="93">
        <v>0</v>
      </c>
      <c r="AC147" s="94">
        <v>0</v>
      </c>
      <c r="AD147" s="94">
        <v>0</v>
      </c>
      <c r="AE147" s="119">
        <v>0</v>
      </c>
      <c r="AF147" s="18">
        <f t="shared" si="289"/>
        <v>0</v>
      </c>
    </row>
    <row r="148" spans="2:32" s="42" customFormat="1" x14ac:dyDescent="0.25">
      <c r="B148" s="42" t="s">
        <v>82</v>
      </c>
      <c r="G148" s="18">
        <f t="shared" ref="G148:S148" si="295">SUM(G150:G157)</f>
        <v>0</v>
      </c>
      <c r="H148" s="18">
        <f t="shared" si="295"/>
        <v>0</v>
      </c>
      <c r="I148" s="18">
        <f t="shared" si="295"/>
        <v>0</v>
      </c>
      <c r="J148" s="18">
        <f t="shared" si="295"/>
        <v>0</v>
      </c>
      <c r="K148" s="18">
        <f t="shared" si="295"/>
        <v>0</v>
      </c>
      <c r="L148" s="18">
        <f t="shared" si="295"/>
        <v>-17.715000000000018</v>
      </c>
      <c r="M148" s="93">
        <f t="shared" si="295"/>
        <v>-37.732999999999983</v>
      </c>
      <c r="N148" s="94">
        <f t="shared" si="295"/>
        <v>-57.779000000000018</v>
      </c>
      <c r="O148" s="94">
        <f t="shared" si="295"/>
        <v>-90.362999999999985</v>
      </c>
      <c r="P148" s="119">
        <f t="shared" si="295"/>
        <v>61.096000000000011</v>
      </c>
      <c r="Q148" s="18">
        <f t="shared" si="295"/>
        <v>-124.77900000000001</v>
      </c>
      <c r="R148" s="93">
        <f t="shared" si="295"/>
        <v>24.986999999999981</v>
      </c>
      <c r="S148" s="94">
        <f t="shared" si="295"/>
        <v>-91.73299999999999</v>
      </c>
      <c r="T148" s="94">
        <f>SUM(T150:T157)</f>
        <v>-45.956999999999979</v>
      </c>
      <c r="U148" s="141">
        <f t="shared" ref="U148:AE148" si="296">SUM(U150:U157)</f>
        <v>37.568046574589772</v>
      </c>
      <c r="V148" s="18">
        <f t="shared" si="287"/>
        <v>-75.134953425410217</v>
      </c>
      <c r="W148" s="93">
        <f t="shared" ca="1" si="296"/>
        <v>14.701582238237926</v>
      </c>
      <c r="X148" s="94">
        <f t="shared" ca="1" si="296"/>
        <v>-42.148688147217356</v>
      </c>
      <c r="Y148" s="94">
        <f t="shared" ca="1" si="296"/>
        <v>-42.096410898586782</v>
      </c>
      <c r="Z148" s="119">
        <f t="shared" ca="1" si="296"/>
        <v>44.316627816136076</v>
      </c>
      <c r="AA148" s="18">
        <f t="shared" ca="1" si="288"/>
        <v>-25.226888991430144</v>
      </c>
      <c r="AB148" s="93">
        <f t="shared" ca="1" si="296"/>
        <v>18.401321099978134</v>
      </c>
      <c r="AC148" s="94">
        <f t="shared" ca="1" si="296"/>
        <v>-43.835134625705493</v>
      </c>
      <c r="AD148" s="94">
        <f t="shared" ca="1" si="296"/>
        <v>-42.943437994264059</v>
      </c>
      <c r="AE148" s="119">
        <f t="shared" ca="1" si="296"/>
        <v>50.295957192597371</v>
      </c>
      <c r="AF148" s="18">
        <f t="shared" ca="1" si="289"/>
        <v>-18.081294327394048</v>
      </c>
    </row>
    <row r="149" spans="2:32" x14ac:dyDescent="0.25">
      <c r="G149" s="19"/>
      <c r="H149" s="19"/>
      <c r="I149" s="19"/>
      <c r="J149" s="19"/>
      <c r="K149" s="19"/>
      <c r="L149" s="19"/>
      <c r="M149" s="91"/>
      <c r="N149" s="92"/>
      <c r="O149" s="92"/>
      <c r="P149" s="118"/>
      <c r="Q149" s="19"/>
      <c r="R149" s="91"/>
      <c r="S149" s="92"/>
      <c r="T149" s="92"/>
      <c r="U149" s="141"/>
      <c r="V149" s="18"/>
      <c r="W149" s="93"/>
      <c r="X149" s="94"/>
      <c r="Y149" s="94"/>
      <c r="Z149" s="119"/>
      <c r="AA149" s="18"/>
      <c r="AB149" s="93"/>
      <c r="AC149" s="94"/>
      <c r="AD149" s="94"/>
      <c r="AE149" s="119"/>
      <c r="AF149" s="18"/>
    </row>
    <row r="150" spans="2:32" x14ac:dyDescent="0.25">
      <c r="B150" s="15" t="s">
        <v>54</v>
      </c>
      <c r="G150" s="19"/>
      <c r="H150" s="19"/>
      <c r="I150" s="19"/>
      <c r="J150" s="19"/>
      <c r="K150" s="19"/>
      <c r="L150" s="19">
        <v>-5.391</v>
      </c>
      <c r="M150" s="91">
        <v>8.8819999999999997</v>
      </c>
      <c r="N150" s="92">
        <f>7.16-M150</f>
        <v>-1.7219999999999995</v>
      </c>
      <c r="O150" s="92">
        <f>1.5-N150-M150</f>
        <v>-5.66</v>
      </c>
      <c r="P150" s="119">
        <f>Q150-O150-N150-M150</f>
        <v>-14.052</v>
      </c>
      <c r="Q150" s="19">
        <v>-12.552</v>
      </c>
      <c r="R150" s="91">
        <v>10.88</v>
      </c>
      <c r="S150" s="92">
        <f>8.99-R150</f>
        <v>-1.8900000000000006</v>
      </c>
      <c r="T150" s="92">
        <f>-0.716-S150-R150</f>
        <v>-9.7059999999999995</v>
      </c>
      <c r="U150" s="141">
        <f>T108-U108</f>
        <v>-13.318548140976162</v>
      </c>
      <c r="V150" s="18">
        <f t="shared" si="287"/>
        <v>-14.034548140976161</v>
      </c>
      <c r="W150" s="93">
        <f t="shared" ref="W150:Z152" ca="1" si="297">V108-W108</f>
        <v>17.558881581064163</v>
      </c>
      <c r="X150" s="94">
        <f t="shared" ca="1" si="297"/>
        <v>-1.6624368573507411</v>
      </c>
      <c r="Y150" s="94">
        <f t="shared" ca="1" si="297"/>
        <v>-10.301479865252482</v>
      </c>
      <c r="Z150" s="119">
        <f t="shared" ca="1" si="297"/>
        <v>-14.097736245501423</v>
      </c>
      <c r="AA150" s="18">
        <f t="shared" ca="1" si="288"/>
        <v>-8.5027713870404824</v>
      </c>
      <c r="AB150" s="93">
        <f t="shared" ref="AB150:AE152" ca="1" si="298">AA108-AB108</f>
        <v>20.040464690150813</v>
      </c>
      <c r="AC150" s="94">
        <f t="shared" ca="1" si="298"/>
        <v>-1.2366198220278477</v>
      </c>
      <c r="AD150" s="94">
        <f t="shared" ca="1" si="298"/>
        <v>-10.517883387839362</v>
      </c>
      <c r="AE150" s="119">
        <f t="shared" ca="1" si="298"/>
        <v>-14.380296461495647</v>
      </c>
      <c r="AF150" s="18">
        <f t="shared" ca="1" si="289"/>
        <v>-6.0943349812120431</v>
      </c>
    </row>
    <row r="151" spans="2:32" x14ac:dyDescent="0.25">
      <c r="B151" s="15" t="s">
        <v>76</v>
      </c>
      <c r="G151" s="19"/>
      <c r="H151" s="19"/>
      <c r="I151" s="19"/>
      <c r="J151" s="19"/>
      <c r="K151" s="19"/>
      <c r="L151" s="19">
        <v>-123.29600000000001</v>
      </c>
      <c r="M151" s="91">
        <v>-81.706999999999994</v>
      </c>
      <c r="N151" s="92">
        <f>-124.43-M151</f>
        <v>-42.723000000000013</v>
      </c>
      <c r="O151" s="92">
        <f>-303.178-N151-M151</f>
        <v>-178.74799999999999</v>
      </c>
      <c r="P151" s="119">
        <f t="shared" ref="P151:P157" si="299">Q151-O151-N151-M151</f>
        <v>122.614</v>
      </c>
      <c r="Q151" s="19">
        <v>-180.56399999999999</v>
      </c>
      <c r="R151" s="91">
        <v>-81.697000000000003</v>
      </c>
      <c r="S151" s="92">
        <f>-168.412-R151</f>
        <v>-86.715000000000003</v>
      </c>
      <c r="T151" s="92">
        <f>-375.23-S151-R151</f>
        <v>-206.81799999999998</v>
      </c>
      <c r="U151" s="141">
        <f>T109-U109</f>
        <v>230.30371632865217</v>
      </c>
      <c r="V151" s="18">
        <f t="shared" si="287"/>
        <v>-144.92628367134785</v>
      </c>
      <c r="W151" s="93">
        <f t="shared" ca="1" si="297"/>
        <v>-51.460954475831841</v>
      </c>
      <c r="X151" s="94">
        <f t="shared" ca="1" si="297"/>
        <v>-90.494730768085901</v>
      </c>
      <c r="Y151" s="94">
        <f t="shared" ca="1" si="297"/>
        <v>-221.99423158139098</v>
      </c>
      <c r="Z151" s="119">
        <f t="shared" ca="1" si="297"/>
        <v>266.39495772969599</v>
      </c>
      <c r="AA151" s="18">
        <f t="shared" ca="1" si="288"/>
        <v>-97.55495909561273</v>
      </c>
      <c r="AB151" s="93">
        <f t="shared" ca="1" si="298"/>
        <v>-47.763404098641786</v>
      </c>
      <c r="AC151" s="94">
        <f t="shared" ca="1" si="298"/>
        <v>-89.58093467022627</v>
      </c>
      <c r="AD151" s="94">
        <f t="shared" ca="1" si="298"/>
        <v>-229.61554939565167</v>
      </c>
      <c r="AE151" s="119">
        <f t="shared" ca="1" si="298"/>
        <v>297.03767424809485</v>
      </c>
      <c r="AF151" s="18">
        <f t="shared" ca="1" si="289"/>
        <v>-69.92221391642488</v>
      </c>
    </row>
    <row r="152" spans="2:32" x14ac:dyDescent="0.25">
      <c r="B152" s="15" t="s">
        <v>56</v>
      </c>
      <c r="G152" s="19"/>
      <c r="H152" s="19"/>
      <c r="I152" s="19"/>
      <c r="J152" s="19"/>
      <c r="K152" s="19"/>
      <c r="L152" s="19">
        <v>-10.555</v>
      </c>
      <c r="M152" s="91">
        <v>4.8230000000000004</v>
      </c>
      <c r="N152" s="92">
        <f>-0.528-M152</f>
        <v>-5.3510000000000009</v>
      </c>
      <c r="O152" s="92">
        <f>-3.919-N152-M152</f>
        <v>-3.3909999999999996</v>
      </c>
      <c r="P152" s="119">
        <f t="shared" si="299"/>
        <v>-2.081</v>
      </c>
      <c r="Q152" s="19">
        <v>-6</v>
      </c>
      <c r="R152" s="91">
        <v>0.98699999999999999</v>
      </c>
      <c r="S152" s="92">
        <f>-10.172-R152</f>
        <v>-11.159000000000001</v>
      </c>
      <c r="T152" s="92">
        <f>-13.063-S152-R152</f>
        <v>-2.891</v>
      </c>
      <c r="U152" s="141">
        <f>T110-U110</f>
        <v>-2.6054437243281825</v>
      </c>
      <c r="V152" s="18">
        <f t="shared" si="287"/>
        <v>-15.668443724328183</v>
      </c>
      <c r="W152" s="93">
        <f t="shared" ca="1" si="297"/>
        <v>6.9263539285841347</v>
      </c>
      <c r="X152" s="94">
        <f t="shared" ca="1" si="297"/>
        <v>-11.965045823469737</v>
      </c>
      <c r="Y152" s="94">
        <f t="shared" ca="1" si="297"/>
        <v>-2.4186202535515378</v>
      </c>
      <c r="Z152" s="119">
        <f t="shared" ca="1" si="297"/>
        <v>-2.0339953753659898</v>
      </c>
      <c r="AA152" s="18">
        <f t="shared" ca="1" si="288"/>
        <v>-9.4913075238031297</v>
      </c>
      <c r="AB152" s="93">
        <f t="shared" ca="1" si="298"/>
        <v>8.4549871256135845</v>
      </c>
      <c r="AC152" s="94">
        <f t="shared" ca="1" si="298"/>
        <v>-12.267534160810911</v>
      </c>
      <c r="AD152" s="94">
        <f t="shared" ca="1" si="298"/>
        <v>-1.7253925981882219</v>
      </c>
      <c r="AE152" s="119">
        <f t="shared" ca="1" si="298"/>
        <v>-1.2649255533600723</v>
      </c>
      <c r="AF152" s="18">
        <f t="shared" ca="1" si="289"/>
        <v>-6.8028651867456205</v>
      </c>
    </row>
    <row r="153" spans="2:32" x14ac:dyDescent="0.25">
      <c r="B153" s="15" t="s">
        <v>77</v>
      </c>
      <c r="G153" s="19"/>
      <c r="H153" s="19"/>
      <c r="I153" s="19"/>
      <c r="J153" s="19"/>
      <c r="K153" s="19"/>
      <c r="L153" s="19">
        <v>7.2839999999999998</v>
      </c>
      <c r="M153" s="91">
        <v>19.47</v>
      </c>
      <c r="N153" s="92">
        <f>-14.03-M153</f>
        <v>-33.5</v>
      </c>
      <c r="O153" s="92">
        <f>-12.929-N153-M153</f>
        <v>1.1009999999999991</v>
      </c>
      <c r="P153" s="119">
        <f t="shared" si="299"/>
        <v>15.724000000000004</v>
      </c>
      <c r="Q153" s="19">
        <v>2.7949999999999999</v>
      </c>
      <c r="R153" s="91">
        <v>40.656999999999996</v>
      </c>
      <c r="S153" s="92">
        <f>-10-R153</f>
        <v>-50.656999999999996</v>
      </c>
      <c r="T153" s="92">
        <f>-10.716-S153-R153</f>
        <v>-0.71600000000000108</v>
      </c>
      <c r="U153" s="141">
        <v>0</v>
      </c>
      <c r="V153" s="18">
        <f t="shared" si="287"/>
        <v>-10.716000000000001</v>
      </c>
      <c r="W153" s="93">
        <v>0</v>
      </c>
      <c r="X153" s="94">
        <v>0</v>
      </c>
      <c r="Y153" s="94">
        <v>0</v>
      </c>
      <c r="Z153" s="119">
        <v>0</v>
      </c>
      <c r="AA153" s="18">
        <f t="shared" si="288"/>
        <v>0</v>
      </c>
      <c r="AB153" s="93">
        <v>0</v>
      </c>
      <c r="AC153" s="94">
        <v>0</v>
      </c>
      <c r="AD153" s="94">
        <v>0</v>
      </c>
      <c r="AE153" s="119">
        <v>0</v>
      </c>
      <c r="AF153" s="18">
        <f t="shared" si="289"/>
        <v>0</v>
      </c>
    </row>
    <row r="154" spans="2:32" x14ac:dyDescent="0.25">
      <c r="B154" s="15" t="s">
        <v>78</v>
      </c>
      <c r="G154" s="19"/>
      <c r="H154" s="19"/>
      <c r="I154" s="19"/>
      <c r="J154" s="19"/>
      <c r="K154" s="19"/>
      <c r="L154" s="19">
        <v>42.496000000000002</v>
      </c>
      <c r="M154" s="91">
        <v>18.73</v>
      </c>
      <c r="N154" s="92">
        <f>24.942-M154</f>
        <v>6.2119999999999997</v>
      </c>
      <c r="O154" s="92">
        <f>100.49-N154-M154</f>
        <v>75.547999999999988</v>
      </c>
      <c r="P154" s="119">
        <f t="shared" si="299"/>
        <v>-95.093999999999994</v>
      </c>
      <c r="Q154" s="19">
        <v>5.3959999999999999</v>
      </c>
      <c r="R154" s="91">
        <v>70.103999999999999</v>
      </c>
      <c r="S154" s="92">
        <f>89.06-R154</f>
        <v>18.956000000000003</v>
      </c>
      <c r="T154" s="92">
        <f>228.897-S154-R154</f>
        <v>139.83699999999999</v>
      </c>
      <c r="U154" s="141">
        <f>U119-T119</f>
        <v>-191.57514148207849</v>
      </c>
      <c r="V154" s="18">
        <f t="shared" si="287"/>
        <v>37.321858517921498</v>
      </c>
      <c r="W154" s="93">
        <f t="shared" ref="W154:Z155" ca="1" si="300">W119-V119</f>
        <v>68.989246158310152</v>
      </c>
      <c r="X154" s="94">
        <f t="shared" ca="1" si="300"/>
        <v>19.081518797575143</v>
      </c>
      <c r="Y154" s="94">
        <f t="shared" ca="1" si="300"/>
        <v>153.46729763255053</v>
      </c>
      <c r="Z154" s="119">
        <f t="shared" ca="1" si="300"/>
        <v>-216.41608516724301</v>
      </c>
      <c r="AA154" s="18">
        <f t="shared" ca="1" si="288"/>
        <v>25.12197742119281</v>
      </c>
      <c r="AB154" s="93">
        <f t="shared" ref="AB154:AE155" ca="1" si="301">AB119-AA119</f>
        <v>73.496740430586328</v>
      </c>
      <c r="AC154" s="94">
        <f t="shared" ca="1" si="301"/>
        <v>17.952270363134119</v>
      </c>
      <c r="AD154" s="94">
        <f t="shared" ca="1" si="301"/>
        <v>162.56273864762295</v>
      </c>
      <c r="AE154" s="119">
        <f t="shared" ca="1" si="301"/>
        <v>-236.00565015605099</v>
      </c>
      <c r="AF154" s="18">
        <f t="shared" ca="1" si="289"/>
        <v>18.006099285292407</v>
      </c>
    </row>
    <row r="155" spans="2:32" x14ac:dyDescent="0.25">
      <c r="B155" s="15" t="s">
        <v>79</v>
      </c>
      <c r="G155" s="19"/>
      <c r="H155" s="19"/>
      <c r="I155" s="19"/>
      <c r="J155" s="19"/>
      <c r="K155" s="19"/>
      <c r="L155" s="19">
        <v>37.643999999999998</v>
      </c>
      <c r="M155" s="91">
        <v>-20.100000000000001</v>
      </c>
      <c r="N155" s="92">
        <f>-10.812-M155</f>
        <v>9.288000000000002</v>
      </c>
      <c r="O155" s="92">
        <f>0.427-N155-M155</f>
        <v>11.238999999999999</v>
      </c>
      <c r="P155" s="119">
        <f t="shared" si="299"/>
        <v>37.499000000000002</v>
      </c>
      <c r="Q155" s="19">
        <v>37.926000000000002</v>
      </c>
      <c r="R155" s="91">
        <v>-25.664000000000001</v>
      </c>
      <c r="S155" s="92">
        <f>-5.099-R155</f>
        <v>20.565000000000001</v>
      </c>
      <c r="T155" s="92">
        <f>11.247-S155-R155</f>
        <v>16.346</v>
      </c>
      <c r="U155" s="141">
        <f>U120-T120</f>
        <v>-6.5768514821913584</v>
      </c>
      <c r="V155" s="18">
        <f t="shared" si="287"/>
        <v>4.6701485178086415</v>
      </c>
      <c r="W155" s="93">
        <f t="shared" ca="1" si="300"/>
        <v>-19.312535600300095</v>
      </c>
      <c r="X155" s="94">
        <f t="shared" ca="1" si="300"/>
        <v>28.463895501704059</v>
      </c>
      <c r="Y155" s="94">
        <f t="shared" ca="1" si="300"/>
        <v>24.409136240408998</v>
      </c>
      <c r="Z155" s="119">
        <f t="shared" ca="1" si="300"/>
        <v>-9.5685172360432489</v>
      </c>
      <c r="AA155" s="18">
        <f t="shared" ca="1" si="288"/>
        <v>23.991978905769713</v>
      </c>
      <c r="AB155" s="93">
        <f t="shared" ca="1" si="301"/>
        <v>-23.353319609612015</v>
      </c>
      <c r="AC155" s="94">
        <f t="shared" ca="1" si="301"/>
        <v>29.08748016846198</v>
      </c>
      <c r="AD155" s="94">
        <f t="shared" ca="1" si="301"/>
        <v>24.138774894759706</v>
      </c>
      <c r="AE155" s="119">
        <f t="shared" ca="1" si="301"/>
        <v>-12.676759094359511</v>
      </c>
      <c r="AF155" s="18">
        <f t="shared" ca="1" si="289"/>
        <v>17.19617635925016</v>
      </c>
    </row>
    <row r="156" spans="2:32" x14ac:dyDescent="0.25">
      <c r="B156" s="15" t="s">
        <v>80</v>
      </c>
      <c r="G156" s="19"/>
      <c r="H156" s="19"/>
      <c r="I156" s="19"/>
      <c r="J156" s="19"/>
      <c r="K156" s="19"/>
      <c r="L156" s="19">
        <v>32.497</v>
      </c>
      <c r="M156" s="91">
        <v>11.228</v>
      </c>
      <c r="N156" s="92">
        <f>21.084-M156</f>
        <v>9.8559999999999999</v>
      </c>
      <c r="O156" s="92">
        <f>30.187-N156-M156</f>
        <v>9.1030000000000033</v>
      </c>
      <c r="P156" s="119">
        <f t="shared" si="299"/>
        <v>-2.5250000000000021</v>
      </c>
      <c r="Q156" s="19">
        <v>27.661999999999999</v>
      </c>
      <c r="R156" s="91">
        <v>8.3320000000000007</v>
      </c>
      <c r="S156" s="92">
        <f>23.652-R156</f>
        <v>15.32</v>
      </c>
      <c r="T156" s="92">
        <f>39.878-S156-R156</f>
        <v>16.225999999999999</v>
      </c>
      <c r="U156" s="141">
        <f>U124-T124</f>
        <v>21.340315075511796</v>
      </c>
      <c r="V156" s="18">
        <f t="shared" si="287"/>
        <v>61.218315075511796</v>
      </c>
      <c r="W156" s="93">
        <f ca="1">W124-V124</f>
        <v>-7.9994093535885895</v>
      </c>
      <c r="X156" s="94">
        <f ca="1">X124-W124</f>
        <v>14.428111002409821</v>
      </c>
      <c r="Y156" s="94">
        <f ca="1">Y124-X124</f>
        <v>14.741486928648669</v>
      </c>
      <c r="Z156" s="119">
        <f ca="1">Z124-Y124</f>
        <v>20.038004110593761</v>
      </c>
      <c r="AA156" s="18">
        <f t="shared" ca="1" si="288"/>
        <v>41.208192688063662</v>
      </c>
      <c r="AB156" s="93">
        <f ca="1">AB124-AA124</f>
        <v>-12.474147438118791</v>
      </c>
      <c r="AC156" s="94">
        <f ca="1">AC124-AB124</f>
        <v>12.210203495763437</v>
      </c>
      <c r="AD156" s="94">
        <f ca="1">AD124-AC124</f>
        <v>12.213873845032538</v>
      </c>
      <c r="AE156" s="119">
        <f ca="1">AE124-AD124</f>
        <v>17.585914209768703</v>
      </c>
      <c r="AF156" s="18">
        <f t="shared" ca="1" si="289"/>
        <v>29.535844112445886</v>
      </c>
    </row>
    <row r="157" spans="2:32" x14ac:dyDescent="0.25">
      <c r="B157" s="15" t="s">
        <v>81</v>
      </c>
      <c r="G157" s="19"/>
      <c r="H157" s="19"/>
      <c r="I157" s="19"/>
      <c r="J157" s="19"/>
      <c r="K157" s="19"/>
      <c r="L157" s="19">
        <v>1.6060000000000001</v>
      </c>
      <c r="M157" s="91">
        <v>0.94099999999999995</v>
      </c>
      <c r="N157" s="92">
        <f>1.102-M157</f>
        <v>0.16100000000000014</v>
      </c>
      <c r="O157" s="92">
        <f>1.547-N157-M157</f>
        <v>0.44499999999999973</v>
      </c>
      <c r="P157" s="119">
        <f t="shared" si="299"/>
        <v>-0.98899999999999977</v>
      </c>
      <c r="Q157" s="19">
        <v>0.55800000000000005</v>
      </c>
      <c r="R157" s="91">
        <v>1.3879999999999999</v>
      </c>
      <c r="S157" s="92">
        <f>5.235-R157</f>
        <v>3.8470000000000004</v>
      </c>
      <c r="T157" s="92">
        <f>7-S157-R157</f>
        <v>1.7649999999999997</v>
      </c>
      <c r="U157" s="141">
        <v>0</v>
      </c>
      <c r="V157" s="18">
        <f t="shared" si="287"/>
        <v>7</v>
      </c>
      <c r="W157" s="93">
        <v>0</v>
      </c>
      <c r="X157" s="94">
        <v>0</v>
      </c>
      <c r="Y157" s="94">
        <v>0</v>
      </c>
      <c r="Z157" s="119">
        <v>0</v>
      </c>
      <c r="AA157" s="18">
        <f t="shared" si="288"/>
        <v>0</v>
      </c>
      <c r="AB157" s="93">
        <v>0</v>
      </c>
      <c r="AC157" s="94">
        <v>0</v>
      </c>
      <c r="AD157" s="94">
        <v>0</v>
      </c>
      <c r="AE157" s="119">
        <v>0</v>
      </c>
      <c r="AF157" s="18">
        <f t="shared" si="289"/>
        <v>0</v>
      </c>
    </row>
    <row r="158" spans="2:32" x14ac:dyDescent="0.25">
      <c r="G158" s="19"/>
      <c r="H158" s="19"/>
      <c r="I158" s="19"/>
      <c r="J158" s="19"/>
      <c r="K158" s="19"/>
      <c r="L158" s="19"/>
      <c r="M158" s="91"/>
      <c r="N158" s="92"/>
      <c r="O158" s="92"/>
      <c r="P158" s="118"/>
      <c r="Q158" s="19"/>
      <c r="R158" s="91"/>
      <c r="S158" s="92"/>
      <c r="T158" s="92"/>
      <c r="U158" s="141"/>
      <c r="V158" s="18"/>
      <c r="W158" s="93"/>
      <c r="X158" s="94"/>
      <c r="Y158" s="94"/>
      <c r="Z158" s="119"/>
      <c r="AA158" s="18"/>
      <c r="AB158" s="93"/>
      <c r="AC158" s="94"/>
      <c r="AD158" s="94"/>
      <c r="AE158" s="119"/>
      <c r="AF158" s="18"/>
    </row>
    <row r="159" spans="2:32" s="3" customFormat="1" x14ac:dyDescent="0.25">
      <c r="B159" s="3" t="s">
        <v>85</v>
      </c>
      <c r="G159" s="37">
        <f>SUM(G142:G148)</f>
        <v>309.13199999999983</v>
      </c>
      <c r="H159" s="37">
        <f t="shared" ref="H159:AE159" si="302">SUM(H142:H148)</f>
        <v>713.77</v>
      </c>
      <c r="I159" s="37">
        <f t="shared" si="302"/>
        <v>734.23599999999999</v>
      </c>
      <c r="J159" s="37">
        <f t="shared" si="302"/>
        <v>745.72199999999998</v>
      </c>
      <c r="K159" s="37">
        <f t="shared" si="302"/>
        <v>87.264000000000067</v>
      </c>
      <c r="L159" s="37">
        <f t="shared" si="302"/>
        <v>396.65600000000023</v>
      </c>
      <c r="M159" s="104">
        <f t="shared" si="302"/>
        <v>68.293999999999954</v>
      </c>
      <c r="N159" s="105">
        <f t="shared" si="302"/>
        <v>56.679999999999986</v>
      </c>
      <c r="O159" s="107">
        <f>148.973-N159-M159</f>
        <v>23.99900000000008</v>
      </c>
      <c r="P159" s="126">
        <f t="shared" si="302"/>
        <v>226.90799999999996</v>
      </c>
      <c r="Q159" s="37">
        <f t="shared" si="302"/>
        <v>375.87900000000013</v>
      </c>
      <c r="R159" s="104">
        <f t="shared" si="302"/>
        <v>166.92899999999992</v>
      </c>
      <c r="S159" s="105">
        <f t="shared" si="302"/>
        <v>52.696000000000012</v>
      </c>
      <c r="T159" s="107">
        <f>323.018-S159-R159</f>
        <v>103.39300000000003</v>
      </c>
      <c r="U159" s="146">
        <f t="shared" si="302"/>
        <v>229.9108582332338</v>
      </c>
      <c r="V159" s="39">
        <f t="shared" si="287"/>
        <v>552.92885823323377</v>
      </c>
      <c r="W159" s="104">
        <f t="shared" ca="1" si="302"/>
        <v>175.43492824313378</v>
      </c>
      <c r="X159" s="105">
        <f t="shared" ca="1" si="302"/>
        <v>119.46777905317752</v>
      </c>
      <c r="Y159" s="105">
        <f t="shared" ca="1" si="302"/>
        <v>117.11433227364049</v>
      </c>
      <c r="Z159" s="125">
        <f t="shared" ca="1" si="302"/>
        <v>257.10314154626639</v>
      </c>
      <c r="AA159" s="39">
        <f t="shared" ca="1" si="288"/>
        <v>669.12018111621819</v>
      </c>
      <c r="AB159" s="104">
        <f t="shared" ca="1" si="302"/>
        <v>194.7796441646862</v>
      </c>
      <c r="AC159" s="105">
        <f t="shared" ca="1" si="302"/>
        <v>131.79368788754306</v>
      </c>
      <c r="AD159" s="105">
        <f t="shared" ca="1" si="302"/>
        <v>128.77604434512824</v>
      </c>
      <c r="AE159" s="125">
        <f t="shared" ca="1" si="302"/>
        <v>277.73543088230412</v>
      </c>
      <c r="AF159" s="39">
        <f t="shared" ca="1" si="289"/>
        <v>733.08480727966162</v>
      </c>
    </row>
    <row r="160" spans="2:32" x14ac:dyDescent="0.25">
      <c r="G160" s="19"/>
      <c r="H160" s="19"/>
      <c r="I160" s="19"/>
      <c r="J160" s="19"/>
      <c r="K160" s="19"/>
      <c r="L160" s="19"/>
      <c r="M160" s="91"/>
      <c r="N160" s="92"/>
      <c r="O160" s="92"/>
      <c r="P160" s="118"/>
      <c r="Q160" s="19"/>
      <c r="R160" s="91"/>
      <c r="S160" s="92"/>
      <c r="T160" s="92"/>
      <c r="U160" s="141"/>
      <c r="V160" s="18"/>
      <c r="W160" s="93"/>
      <c r="X160" s="94"/>
      <c r="Y160" s="94"/>
      <c r="Z160" s="119"/>
      <c r="AA160" s="18"/>
      <c r="AB160" s="93"/>
      <c r="AC160" s="94"/>
      <c r="AD160" s="94"/>
      <c r="AE160" s="119"/>
      <c r="AF160" s="18"/>
    </row>
    <row r="161" spans="2:32" x14ac:dyDescent="0.25">
      <c r="B161" t="s">
        <v>86</v>
      </c>
      <c r="G161" s="19">
        <v>-226.024</v>
      </c>
      <c r="H161" s="19"/>
      <c r="I161" s="19"/>
      <c r="J161" s="19"/>
      <c r="K161" s="19"/>
      <c r="L161" s="19">
        <v>-249.06700000000001</v>
      </c>
      <c r="M161" s="91">
        <f>-56.622</f>
        <v>-56.622</v>
      </c>
      <c r="N161" s="92">
        <f>137.218-M161</f>
        <v>193.83999999999997</v>
      </c>
      <c r="O161" s="92">
        <f>-231.909-N161-M161</f>
        <v>-369.12699999999995</v>
      </c>
      <c r="P161" s="119">
        <f t="shared" ref="P161" si="303">Q161-O161-N161-M161</f>
        <v>-67.257999999999996</v>
      </c>
      <c r="Q161" s="19">
        <f>-299.167</f>
        <v>-299.16699999999997</v>
      </c>
      <c r="R161" s="91">
        <f>-54.321</f>
        <v>-54.320999999999998</v>
      </c>
      <c r="S161" s="92">
        <f>-149.595-R161</f>
        <v>-95.274000000000001</v>
      </c>
      <c r="T161" s="92">
        <f>-281.203-S161-R161</f>
        <v>-131.60799999999998</v>
      </c>
      <c r="U161" s="141">
        <f>-390-T161-S161-R161</f>
        <v>-108.79700000000005</v>
      </c>
      <c r="V161" s="18">
        <f t="shared" si="287"/>
        <v>-390</v>
      </c>
      <c r="W161" s="153">
        <f ca="1">-W88*W58</f>
        <v>-61.70708451361952</v>
      </c>
      <c r="X161" s="131">
        <f ca="1">-X88*X58</f>
        <v>-107.40800037457659</v>
      </c>
      <c r="Y161" s="131">
        <f ca="1">-Y88*Y58</f>
        <v>-147.07726417052595</v>
      </c>
      <c r="Z161" s="140">
        <f ca="1">-Z88*Z58</f>
        <v>-120.5025929832551</v>
      </c>
      <c r="AA161" s="18">
        <f t="shared" ca="1" si="288"/>
        <v>-436.69494204197719</v>
      </c>
      <c r="AB161" s="153">
        <f ca="1">-AB88*AB58</f>
        <v>-67.751528785624444</v>
      </c>
      <c r="AC161" s="131">
        <f ca="1">-AC88*AC58</f>
        <v>-116.92752537047696</v>
      </c>
      <c r="AD161" s="131">
        <f ca="1">-AD88*AD58</f>
        <v>-158.71744151492996</v>
      </c>
      <c r="AE161" s="140">
        <f ca="1">-AE88*AE58</f>
        <v>-128.89254039527316</v>
      </c>
      <c r="AF161" s="18">
        <f t="shared" ca="1" si="289"/>
        <v>-472.28903606630456</v>
      </c>
    </row>
    <row r="162" spans="2:32" s="42" customFormat="1" x14ac:dyDescent="0.25">
      <c r="B162" s="42" t="s">
        <v>87</v>
      </c>
      <c r="G162" s="18">
        <f t="shared" ref="G162:S162" si="304">G164-G161</f>
        <v>226.024</v>
      </c>
      <c r="H162" s="18">
        <f t="shared" si="304"/>
        <v>0</v>
      </c>
      <c r="I162" s="18">
        <f t="shared" si="304"/>
        <v>0</v>
      </c>
      <c r="J162" s="18">
        <f t="shared" si="304"/>
        <v>0</v>
      </c>
      <c r="K162" s="18">
        <f t="shared" si="304"/>
        <v>0</v>
      </c>
      <c r="L162" s="18">
        <f t="shared" si="304"/>
        <v>-150.209</v>
      </c>
      <c r="M162" s="93">
        <f t="shared" si="304"/>
        <v>0</v>
      </c>
      <c r="N162" s="94">
        <f t="shared" si="304"/>
        <v>0</v>
      </c>
      <c r="O162" s="94">
        <f t="shared" si="304"/>
        <v>0</v>
      </c>
      <c r="P162" s="119">
        <f t="shared" si="304"/>
        <v>20.208999999999946</v>
      </c>
      <c r="Q162" s="18">
        <f t="shared" si="304"/>
        <v>20.208999999999946</v>
      </c>
      <c r="R162" s="93">
        <f t="shared" si="304"/>
        <v>0</v>
      </c>
      <c r="S162" s="94">
        <f t="shared" si="304"/>
        <v>20</v>
      </c>
      <c r="T162" s="94">
        <f>T164-T161</f>
        <v>0</v>
      </c>
      <c r="U162" s="141">
        <v>0</v>
      </c>
      <c r="V162" s="18">
        <f t="shared" si="287"/>
        <v>20</v>
      </c>
      <c r="W162" s="93">
        <v>0</v>
      </c>
      <c r="X162" s="94">
        <v>0</v>
      </c>
      <c r="Y162" s="94">
        <v>0</v>
      </c>
      <c r="Z162" s="119">
        <v>0</v>
      </c>
      <c r="AA162" s="18">
        <f t="shared" si="288"/>
        <v>0</v>
      </c>
      <c r="AB162" s="93">
        <v>0</v>
      </c>
      <c r="AC162" s="94">
        <v>0</v>
      </c>
      <c r="AD162" s="94">
        <v>0</v>
      </c>
      <c r="AE162" s="119">
        <v>0</v>
      </c>
      <c r="AF162" s="18">
        <f t="shared" si="289"/>
        <v>0</v>
      </c>
    </row>
    <row r="163" spans="2:32" x14ac:dyDescent="0.25">
      <c r="G163" s="19"/>
      <c r="H163" s="19"/>
      <c r="I163" s="19"/>
      <c r="J163" s="19"/>
      <c r="K163" s="19"/>
      <c r="L163" s="19"/>
      <c r="M163" s="91"/>
      <c r="N163" s="92"/>
      <c r="O163" s="92"/>
      <c r="P163" s="118"/>
      <c r="Q163" s="19"/>
      <c r="R163" s="91"/>
      <c r="S163" s="92"/>
      <c r="T163" s="92"/>
      <c r="U163" s="141"/>
      <c r="V163" s="18"/>
      <c r="W163" s="93"/>
      <c r="X163" s="94"/>
      <c r="Y163" s="94"/>
      <c r="Z163" s="119"/>
      <c r="AA163" s="18"/>
      <c r="AB163" s="93"/>
      <c r="AC163" s="94"/>
      <c r="AD163" s="94"/>
      <c r="AE163" s="119"/>
      <c r="AF163" s="18"/>
    </row>
    <row r="164" spans="2:32" s="3" customFormat="1" x14ac:dyDescent="0.25">
      <c r="B164" s="3" t="s">
        <v>88</v>
      </c>
      <c r="G164" s="37"/>
      <c r="H164" s="37"/>
      <c r="I164" s="37"/>
      <c r="J164" s="37"/>
      <c r="K164" s="37"/>
      <c r="L164" s="37">
        <f>-399.276</f>
        <v>-399.27600000000001</v>
      </c>
      <c r="M164" s="106">
        <f>-56.622</f>
        <v>-56.622</v>
      </c>
      <c r="N164" s="107">
        <f>137.218-M164</f>
        <v>193.83999999999997</v>
      </c>
      <c r="O164" s="107">
        <f>-231.909-N164-M164</f>
        <v>-369.12699999999995</v>
      </c>
      <c r="P164" s="125">
        <f t="shared" ref="P164" si="305">Q164-O164-N164-M164</f>
        <v>-47.049000000000049</v>
      </c>
      <c r="Q164" s="37">
        <v>-278.95800000000003</v>
      </c>
      <c r="R164" s="106">
        <f>-54.321</f>
        <v>-54.320999999999998</v>
      </c>
      <c r="S164" s="107">
        <f>-129.595-R164</f>
        <v>-75.274000000000001</v>
      </c>
      <c r="T164" s="107">
        <f>-261.203-S164-R164</f>
        <v>-131.60799999999998</v>
      </c>
      <c r="U164" s="146">
        <f>SUM(U161:U162)</f>
        <v>-108.79700000000005</v>
      </c>
      <c r="V164" s="39">
        <f t="shared" si="287"/>
        <v>-370</v>
      </c>
      <c r="W164" s="104">
        <f ca="1">SUM(W161:W162)</f>
        <v>-61.70708451361952</v>
      </c>
      <c r="X164" s="105">
        <f ca="1">SUM(X161:X162)</f>
        <v>-107.40800037457659</v>
      </c>
      <c r="Y164" s="105">
        <f ca="1">SUM(Y161:Y162)</f>
        <v>-147.07726417052595</v>
      </c>
      <c r="Z164" s="125">
        <f ca="1">SUM(Z161:Z162)</f>
        <v>-120.5025929832551</v>
      </c>
      <c r="AA164" s="39">
        <f t="shared" ca="1" si="288"/>
        <v>-436.69494204197719</v>
      </c>
      <c r="AB164" s="104">
        <f ca="1">SUM(AB161:AB162)</f>
        <v>-67.751528785624444</v>
      </c>
      <c r="AC164" s="105">
        <f ca="1">SUM(AC161:AC162)</f>
        <v>-116.92752537047696</v>
      </c>
      <c r="AD164" s="105">
        <f ca="1">SUM(AD161:AD162)</f>
        <v>-158.71744151492996</v>
      </c>
      <c r="AE164" s="125">
        <f ca="1">SUM(AE161:AE162)</f>
        <v>-128.89254039527316</v>
      </c>
      <c r="AF164" s="39">
        <f t="shared" ca="1" si="289"/>
        <v>-472.28903606630456</v>
      </c>
    </row>
    <row r="165" spans="2:32" x14ac:dyDescent="0.25">
      <c r="G165" s="19"/>
      <c r="H165" s="19"/>
      <c r="I165" s="19"/>
      <c r="J165" s="19"/>
      <c r="K165" s="19"/>
      <c r="L165" s="19"/>
      <c r="M165" s="91"/>
      <c r="N165" s="92"/>
      <c r="O165" s="92"/>
      <c r="P165" s="118"/>
      <c r="Q165" s="19"/>
      <c r="R165" s="91"/>
      <c r="S165" s="92"/>
      <c r="T165" s="92"/>
      <c r="U165" s="141"/>
      <c r="V165" s="18"/>
      <c r="W165" s="93"/>
      <c r="X165" s="94"/>
      <c r="Y165" s="94"/>
      <c r="Z165" s="119"/>
      <c r="AA165" s="18"/>
      <c r="AB165" s="93"/>
      <c r="AC165" s="94"/>
      <c r="AD165" s="94"/>
      <c r="AE165" s="119"/>
      <c r="AF165" s="18"/>
    </row>
    <row r="166" spans="2:32" x14ac:dyDescent="0.25">
      <c r="B166" t="s">
        <v>89</v>
      </c>
      <c r="G166" s="19"/>
      <c r="H166" s="19"/>
      <c r="I166" s="19"/>
      <c r="J166" s="19"/>
      <c r="K166" s="19"/>
      <c r="L166" s="19">
        <f>-39.923</f>
        <v>-39.923000000000002</v>
      </c>
      <c r="M166" s="91">
        <v>-27.956</v>
      </c>
      <c r="N166" s="92">
        <f>-73.753-M166</f>
        <v>-45.796999999999997</v>
      </c>
      <c r="O166" s="92">
        <f>-121.272-N166-M166</f>
        <v>-47.519000000000005</v>
      </c>
      <c r="P166" s="119">
        <f t="shared" ref="P166:P169" si="306">Q166-O166-N166-M166</f>
        <v>-46.123999999999981</v>
      </c>
      <c r="Q166" s="19">
        <f>-167.396</f>
        <v>-167.39599999999999</v>
      </c>
      <c r="R166" s="91">
        <v>-226.666</v>
      </c>
      <c r="S166" s="92">
        <f>-252.45-R166</f>
        <v>-25.783999999999992</v>
      </c>
      <c r="T166" s="92">
        <f>-296.994-S166-R166</f>
        <v>-44.54400000000004</v>
      </c>
      <c r="U166" s="141">
        <v>0</v>
      </c>
      <c r="V166" s="18">
        <f t="shared" si="287"/>
        <v>-296.99400000000003</v>
      </c>
      <c r="W166" s="93">
        <v>0</v>
      </c>
      <c r="X166" s="94">
        <v>0</v>
      </c>
      <c r="Y166" s="94">
        <v>0</v>
      </c>
      <c r="Z166" s="119">
        <v>0</v>
      </c>
      <c r="AA166" s="18">
        <f t="shared" si="288"/>
        <v>0</v>
      </c>
      <c r="AB166" s="93">
        <v>0</v>
      </c>
      <c r="AC166" s="94">
        <v>0</v>
      </c>
      <c r="AD166" s="94">
        <v>0</v>
      </c>
      <c r="AE166" s="119">
        <v>0</v>
      </c>
      <c r="AF166" s="18">
        <f t="shared" si="289"/>
        <v>0</v>
      </c>
    </row>
    <row r="167" spans="2:32" x14ac:dyDescent="0.25">
      <c r="B167" t="s">
        <v>90</v>
      </c>
      <c r="G167" s="19"/>
      <c r="H167" s="19"/>
      <c r="I167" s="19"/>
      <c r="J167" s="19"/>
      <c r="K167" s="19"/>
      <c r="L167" s="19">
        <v>10.638999999999999</v>
      </c>
      <c r="M167" s="91">
        <v>10.154</v>
      </c>
      <c r="N167" s="92">
        <f>15.56-M167</f>
        <v>5.4060000000000006</v>
      </c>
      <c r="O167" s="92">
        <f>17.877-N167-M167</f>
        <v>2.3169999999999984</v>
      </c>
      <c r="P167" s="119">
        <f t="shared" si="306"/>
        <v>1.7690000000000001</v>
      </c>
      <c r="Q167" s="19">
        <v>19.646000000000001</v>
      </c>
      <c r="R167" s="91">
        <v>6.2089999999999996</v>
      </c>
      <c r="S167" s="92">
        <f>8.391-R167</f>
        <v>2.1820000000000004</v>
      </c>
      <c r="T167" s="92">
        <f>16.188-S167-R167</f>
        <v>7.7969999999999988</v>
      </c>
      <c r="U167" s="141">
        <v>0</v>
      </c>
      <c r="V167" s="18">
        <f t="shared" si="287"/>
        <v>16.187999999999999</v>
      </c>
      <c r="W167" s="93">
        <v>0</v>
      </c>
      <c r="X167" s="94">
        <v>0</v>
      </c>
      <c r="Y167" s="94">
        <v>0</v>
      </c>
      <c r="Z167" s="119">
        <v>0</v>
      </c>
      <c r="AA167" s="18">
        <f t="shared" si="288"/>
        <v>0</v>
      </c>
      <c r="AB167" s="93">
        <v>0</v>
      </c>
      <c r="AC167" s="94">
        <v>0</v>
      </c>
      <c r="AD167" s="94">
        <v>0</v>
      </c>
      <c r="AE167" s="119">
        <v>0</v>
      </c>
      <c r="AF167" s="18">
        <f t="shared" si="289"/>
        <v>0</v>
      </c>
    </row>
    <row r="168" spans="2:32" x14ac:dyDescent="0.25">
      <c r="B168" t="s">
        <v>75</v>
      </c>
      <c r="G168" s="19"/>
      <c r="H168" s="19"/>
      <c r="I168" s="19"/>
      <c r="J168" s="19"/>
      <c r="K168" s="19"/>
      <c r="L168" s="19">
        <v>3.2290000000000001</v>
      </c>
      <c r="M168" s="91">
        <v>4</v>
      </c>
      <c r="N168" s="92">
        <f>7.257-M168</f>
        <v>3.2569999999999997</v>
      </c>
      <c r="O168" s="92">
        <f>8.608-N168-M168</f>
        <v>1.3510000000000009</v>
      </c>
      <c r="P168" s="119">
        <f t="shared" si="306"/>
        <v>0.88899999999999935</v>
      </c>
      <c r="Q168" s="19">
        <v>9.4969999999999999</v>
      </c>
      <c r="R168" s="91">
        <v>3.2029999999999998</v>
      </c>
      <c r="S168" s="92">
        <f>4.685-R168</f>
        <v>1.4819999999999998</v>
      </c>
      <c r="T168" s="92">
        <f>9-S168-R168</f>
        <v>4.3150000000000013</v>
      </c>
      <c r="U168" s="141">
        <f>-U146</f>
        <v>1.3510000000000009</v>
      </c>
      <c r="V168" s="18">
        <f t="shared" si="287"/>
        <v>10.351000000000001</v>
      </c>
      <c r="W168" s="93">
        <f t="shared" ref="W168:AE168" si="307">-W146</f>
        <v>3.2029999999999998</v>
      </c>
      <c r="X168" s="94">
        <f t="shared" si="307"/>
        <v>1.4819999999999998</v>
      </c>
      <c r="Y168" s="94">
        <f t="shared" si="307"/>
        <v>4.3150000000000013</v>
      </c>
      <c r="Z168" s="119">
        <f t="shared" si="307"/>
        <v>1.3510000000000009</v>
      </c>
      <c r="AA168" s="18">
        <f t="shared" si="288"/>
        <v>10.351000000000001</v>
      </c>
      <c r="AB168" s="93">
        <f t="shared" si="307"/>
        <v>3.2029999999999998</v>
      </c>
      <c r="AC168" s="94">
        <f t="shared" si="307"/>
        <v>1.4819999999999998</v>
      </c>
      <c r="AD168" s="94">
        <f t="shared" si="307"/>
        <v>4.3150000000000013</v>
      </c>
      <c r="AE168" s="119">
        <f t="shared" si="307"/>
        <v>1.3510000000000009</v>
      </c>
      <c r="AF168" s="18">
        <f t="shared" si="289"/>
        <v>10.351000000000001</v>
      </c>
    </row>
    <row r="169" spans="2:32" x14ac:dyDescent="0.25">
      <c r="B169" t="s">
        <v>91</v>
      </c>
      <c r="G169" s="19"/>
      <c r="H169" s="19"/>
      <c r="I169" s="19"/>
      <c r="J169" s="19"/>
      <c r="K169" s="19"/>
      <c r="L169" s="19">
        <v>-1.5880000000000001</v>
      </c>
      <c r="M169" s="91">
        <v>-1.0129999999999999</v>
      </c>
      <c r="N169" s="92">
        <f>-1.478-M169</f>
        <v>-0.46500000000000008</v>
      </c>
      <c r="O169" s="92">
        <f>-1.874-N169-M169</f>
        <v>-0.39600000000000013</v>
      </c>
      <c r="P169" s="119">
        <f t="shared" si="306"/>
        <v>-9.7999999999999865E-2</v>
      </c>
      <c r="Q169" s="19">
        <v>-1.972</v>
      </c>
      <c r="R169" s="91">
        <v>-1.9419999999999999</v>
      </c>
      <c r="S169" s="92">
        <f>-2.417-R169</f>
        <v>-0.47499999999999987</v>
      </c>
      <c r="T169" s="92">
        <f>-2.742-S169-R169</f>
        <v>-0.3250000000000004</v>
      </c>
      <c r="U169" s="141">
        <v>0</v>
      </c>
      <c r="V169" s="18">
        <f t="shared" si="287"/>
        <v>-2.742</v>
      </c>
      <c r="W169" s="93">
        <v>0</v>
      </c>
      <c r="X169" s="94">
        <v>0</v>
      </c>
      <c r="Y169" s="94">
        <v>0</v>
      </c>
      <c r="Z169" s="119">
        <v>0</v>
      </c>
      <c r="AA169" s="18">
        <f t="shared" si="288"/>
        <v>0</v>
      </c>
      <c r="AB169" s="93">
        <v>0</v>
      </c>
      <c r="AC169" s="94">
        <v>0</v>
      </c>
      <c r="AD169" s="94">
        <v>0</v>
      </c>
      <c r="AE169" s="119">
        <v>0</v>
      </c>
      <c r="AF169" s="18">
        <f t="shared" si="289"/>
        <v>0</v>
      </c>
    </row>
    <row r="170" spans="2:32" x14ac:dyDescent="0.25">
      <c r="G170" s="19"/>
      <c r="H170" s="19"/>
      <c r="I170" s="19"/>
      <c r="J170" s="19"/>
      <c r="K170" s="19"/>
      <c r="L170" s="19"/>
      <c r="M170" s="91"/>
      <c r="N170" s="92"/>
      <c r="O170" s="92"/>
      <c r="P170" s="118"/>
      <c r="Q170" s="19"/>
      <c r="R170" s="91"/>
      <c r="S170" s="92"/>
      <c r="T170" s="92"/>
      <c r="U170" s="141"/>
      <c r="V170" s="18"/>
      <c r="W170" s="93"/>
      <c r="X170" s="94"/>
      <c r="Y170" s="94"/>
      <c r="Z170" s="119"/>
      <c r="AA170" s="18"/>
      <c r="AB170" s="93"/>
      <c r="AC170" s="94"/>
      <c r="AD170" s="94"/>
      <c r="AE170" s="119"/>
      <c r="AF170" s="18"/>
    </row>
    <row r="171" spans="2:32" s="3" customFormat="1" x14ac:dyDescent="0.25">
      <c r="B171" s="3" t="s">
        <v>92</v>
      </c>
      <c r="G171" s="39">
        <f t="shared" ref="G171:S171" si="308">SUM(G166:G169)</f>
        <v>0</v>
      </c>
      <c r="H171" s="39">
        <f t="shared" si="308"/>
        <v>0</v>
      </c>
      <c r="I171" s="39">
        <f t="shared" si="308"/>
        <v>0</v>
      </c>
      <c r="J171" s="39">
        <f t="shared" si="308"/>
        <v>0</v>
      </c>
      <c r="K171" s="39">
        <f t="shared" si="308"/>
        <v>0</v>
      </c>
      <c r="L171" s="39">
        <f t="shared" si="308"/>
        <v>-27.643000000000004</v>
      </c>
      <c r="M171" s="104">
        <f t="shared" si="308"/>
        <v>-14.815</v>
      </c>
      <c r="N171" s="105">
        <f t="shared" si="308"/>
        <v>-37.599000000000004</v>
      </c>
      <c r="O171" s="105">
        <f t="shared" si="308"/>
        <v>-44.247000000000007</v>
      </c>
      <c r="P171" s="125">
        <f t="shared" si="308"/>
        <v>-43.563999999999979</v>
      </c>
      <c r="Q171" s="39">
        <f t="shared" si="308"/>
        <v>-140.22499999999999</v>
      </c>
      <c r="R171" s="104">
        <f t="shared" si="308"/>
        <v>-219.196</v>
      </c>
      <c r="S171" s="105">
        <f t="shared" si="308"/>
        <v>-22.594999999999992</v>
      </c>
      <c r="T171" s="105">
        <f>SUM(T166:T169)</f>
        <v>-32.757000000000048</v>
      </c>
      <c r="U171" s="125">
        <f>SUM(U166:U169)</f>
        <v>1.3510000000000009</v>
      </c>
      <c r="V171" s="39">
        <f t="shared" si="287"/>
        <v>-273.19700000000006</v>
      </c>
      <c r="W171" s="104">
        <f t="shared" ref="W171:Z171" si="309">SUM(W166:W169)</f>
        <v>3.2029999999999998</v>
      </c>
      <c r="X171" s="105">
        <f t="shared" si="309"/>
        <v>1.4819999999999998</v>
      </c>
      <c r="Y171" s="105">
        <f t="shared" si="309"/>
        <v>4.3150000000000013</v>
      </c>
      <c r="Z171" s="125">
        <f t="shared" si="309"/>
        <v>1.3510000000000009</v>
      </c>
      <c r="AA171" s="39">
        <f t="shared" ref="AA171" si="310">SUM(W171:Z171)</f>
        <v>10.351000000000001</v>
      </c>
      <c r="AB171" s="104">
        <f t="shared" ref="AB171:AE171" si="311">SUM(AB166:AB169)</f>
        <v>3.2029999999999998</v>
      </c>
      <c r="AC171" s="105">
        <f t="shared" si="311"/>
        <v>1.4819999999999998</v>
      </c>
      <c r="AD171" s="105">
        <f t="shared" si="311"/>
        <v>4.3150000000000013</v>
      </c>
      <c r="AE171" s="125">
        <f t="shared" si="311"/>
        <v>1.3510000000000009</v>
      </c>
      <c r="AF171" s="39">
        <f t="shared" ref="AF171" si="312">SUM(AB171:AE171)</f>
        <v>10.351000000000001</v>
      </c>
    </row>
    <row r="172" spans="2:32" x14ac:dyDescent="0.25">
      <c r="G172" s="19"/>
      <c r="H172" s="19"/>
      <c r="I172" s="19"/>
      <c r="J172" s="19"/>
      <c r="K172" s="19"/>
      <c r="L172" s="19"/>
      <c r="M172" s="91"/>
      <c r="N172" s="92"/>
      <c r="O172" s="92"/>
      <c r="P172" s="118"/>
      <c r="Q172" s="19"/>
      <c r="R172" s="91"/>
      <c r="S172" s="92"/>
      <c r="T172" s="92"/>
      <c r="U172" s="112"/>
      <c r="V172" s="17"/>
      <c r="W172" s="93"/>
      <c r="X172" s="94"/>
      <c r="Y172" s="94"/>
      <c r="Z172" s="119"/>
      <c r="AA172" s="18"/>
      <c r="AB172" s="93"/>
      <c r="AC172" s="94"/>
      <c r="AD172" s="94"/>
      <c r="AE172" s="119"/>
      <c r="AF172" s="18"/>
    </row>
    <row r="173" spans="2:32" s="42" customFormat="1" x14ac:dyDescent="0.25">
      <c r="B173" s="42" t="s">
        <v>93</v>
      </c>
      <c r="G173" s="18">
        <f>G171+G164+G159</f>
        <v>309.13199999999983</v>
      </c>
      <c r="H173" s="18">
        <f t="shared" ref="H173:AF173" si="313">H171+H164+H159</f>
        <v>713.77</v>
      </c>
      <c r="I173" s="18">
        <f t="shared" si="313"/>
        <v>734.23599999999999</v>
      </c>
      <c r="J173" s="18">
        <f t="shared" si="313"/>
        <v>745.72199999999998</v>
      </c>
      <c r="K173" s="18">
        <f t="shared" si="313"/>
        <v>87.264000000000067</v>
      </c>
      <c r="L173" s="18">
        <f t="shared" si="313"/>
        <v>-30.262999999999806</v>
      </c>
      <c r="M173" s="93">
        <f t="shared" si="313"/>
        <v>-3.1430000000000433</v>
      </c>
      <c r="N173" s="94">
        <f t="shared" si="313"/>
        <v>212.92099999999996</v>
      </c>
      <c r="O173" s="94">
        <f t="shared" si="313"/>
        <v>-389.37499999999989</v>
      </c>
      <c r="P173" s="119">
        <f t="shared" si="313"/>
        <v>136.29499999999993</v>
      </c>
      <c r="Q173" s="18">
        <f t="shared" si="313"/>
        <v>-43.30399999999986</v>
      </c>
      <c r="R173" s="93">
        <f t="shared" si="313"/>
        <v>-106.58800000000008</v>
      </c>
      <c r="S173" s="94">
        <f t="shared" si="313"/>
        <v>-45.172999999999988</v>
      </c>
      <c r="T173" s="94">
        <f t="shared" si="313"/>
        <v>-60.97199999999998</v>
      </c>
      <c r="U173" s="119">
        <f t="shared" si="313"/>
        <v>122.46485823323374</v>
      </c>
      <c r="V173" s="18">
        <f t="shared" si="313"/>
        <v>-90.268141766766348</v>
      </c>
      <c r="W173" s="93">
        <f t="shared" ca="1" si="313"/>
        <v>116.93084372951427</v>
      </c>
      <c r="X173" s="94">
        <f t="shared" ca="1" si="313"/>
        <v>13.541778678600934</v>
      </c>
      <c r="Y173" s="94">
        <f t="shared" ca="1" si="313"/>
        <v>-25.647931896885467</v>
      </c>
      <c r="Z173" s="119">
        <f t="shared" ca="1" si="313"/>
        <v>137.95154856301127</v>
      </c>
      <c r="AA173" s="18">
        <f t="shared" ca="1" si="313"/>
        <v>242.776239074241</v>
      </c>
      <c r="AB173" s="93">
        <f t="shared" ca="1" si="313"/>
        <v>130.23111537906175</v>
      </c>
      <c r="AC173" s="94">
        <f t="shared" ca="1" si="313"/>
        <v>16.3481625170661</v>
      </c>
      <c r="AD173" s="94">
        <f t="shared" ca="1" si="313"/>
        <v>-25.62639716980172</v>
      </c>
      <c r="AE173" s="119">
        <f t="shared" ca="1" si="313"/>
        <v>150.19389048703096</v>
      </c>
      <c r="AF173" s="18">
        <f t="shared" ca="1" si="313"/>
        <v>271.14677121335706</v>
      </c>
    </row>
    <row r="174" spans="2:32" s="42" customFormat="1" x14ac:dyDescent="0.25">
      <c r="B174" s="42" t="s">
        <v>94</v>
      </c>
      <c r="G174" s="18"/>
      <c r="H174" s="18"/>
      <c r="I174" s="18"/>
      <c r="J174" s="18"/>
      <c r="K174" s="18"/>
      <c r="L174" s="18">
        <v>419.476</v>
      </c>
      <c r="M174" s="93">
        <f>L175</f>
        <v>389.21300000000019</v>
      </c>
      <c r="N174" s="94">
        <f>M175</f>
        <v>386.07000000000016</v>
      </c>
      <c r="O174" s="94">
        <f>N175</f>
        <v>598.9910000000001</v>
      </c>
      <c r="P174" s="119">
        <f>O175</f>
        <v>209.61600000000021</v>
      </c>
      <c r="Q174" s="18">
        <f>L175</f>
        <v>389.21300000000019</v>
      </c>
      <c r="R174" s="93">
        <f>Q175</f>
        <v>345.90900000000033</v>
      </c>
      <c r="S174" s="94">
        <f>R175</f>
        <v>239.32100000000025</v>
      </c>
      <c r="T174" s="94">
        <f>S175</f>
        <v>194.14800000000025</v>
      </c>
      <c r="U174" s="119">
        <f>T175</f>
        <v>133.17600000000027</v>
      </c>
      <c r="V174" s="18">
        <f>Q175</f>
        <v>345.90900000000033</v>
      </c>
      <c r="W174" s="93">
        <f>V175</f>
        <v>255.64085823323398</v>
      </c>
      <c r="X174" s="94">
        <f ca="1">W175</f>
        <v>372.57170196274825</v>
      </c>
      <c r="Y174" s="94">
        <f ca="1">X175</f>
        <v>386.11348064134916</v>
      </c>
      <c r="Z174" s="119">
        <f ca="1">Y175</f>
        <v>360.46554874446372</v>
      </c>
      <c r="AA174" s="18">
        <f>V175</f>
        <v>255.64085823323398</v>
      </c>
      <c r="AB174" s="93">
        <f ca="1">AA175</f>
        <v>498.41709730747499</v>
      </c>
      <c r="AC174" s="94">
        <f ca="1">AB175</f>
        <v>628.64821268653668</v>
      </c>
      <c r="AD174" s="94">
        <f ca="1">AC175</f>
        <v>644.99637520360284</v>
      </c>
      <c r="AE174" s="119">
        <f ca="1">AD175</f>
        <v>619.36997803380109</v>
      </c>
      <c r="AF174" s="18">
        <f ca="1">AA175</f>
        <v>498.41709730747499</v>
      </c>
    </row>
    <row r="175" spans="2:32" s="42" customFormat="1" x14ac:dyDescent="0.25">
      <c r="B175" s="42" t="s">
        <v>95</v>
      </c>
      <c r="G175" s="18">
        <f>G174+G173</f>
        <v>309.13199999999983</v>
      </c>
      <c r="H175" s="18"/>
      <c r="I175" s="18"/>
      <c r="J175" s="18"/>
      <c r="K175" s="18"/>
      <c r="L175" s="18">
        <f t="shared" ref="L175:AF175" si="314">L174+L173</f>
        <v>389.21300000000019</v>
      </c>
      <c r="M175" s="93">
        <f t="shared" si="314"/>
        <v>386.07000000000016</v>
      </c>
      <c r="N175" s="94">
        <f t="shared" si="314"/>
        <v>598.9910000000001</v>
      </c>
      <c r="O175" s="94">
        <f t="shared" si="314"/>
        <v>209.61600000000021</v>
      </c>
      <c r="P175" s="119">
        <f t="shared" si="314"/>
        <v>345.91100000000017</v>
      </c>
      <c r="Q175" s="18">
        <f t="shared" si="314"/>
        <v>345.90900000000033</v>
      </c>
      <c r="R175" s="93">
        <f t="shared" si="314"/>
        <v>239.32100000000025</v>
      </c>
      <c r="S175" s="94">
        <f t="shared" si="314"/>
        <v>194.14800000000025</v>
      </c>
      <c r="T175" s="94">
        <f t="shared" si="314"/>
        <v>133.17600000000027</v>
      </c>
      <c r="U175" s="119">
        <f t="shared" si="314"/>
        <v>255.64085823323401</v>
      </c>
      <c r="V175" s="18">
        <f t="shared" si="314"/>
        <v>255.64085823323398</v>
      </c>
      <c r="W175" s="93">
        <f t="shared" ca="1" si="314"/>
        <v>372.57170196274825</v>
      </c>
      <c r="X175" s="94">
        <f t="shared" ca="1" si="314"/>
        <v>386.11348064134916</v>
      </c>
      <c r="Y175" s="94">
        <f t="shared" ca="1" si="314"/>
        <v>360.46554874446372</v>
      </c>
      <c r="Z175" s="119">
        <f t="shared" ca="1" si="314"/>
        <v>498.41709730747499</v>
      </c>
      <c r="AA175" s="18">
        <f t="shared" ca="1" si="314"/>
        <v>498.41709730747499</v>
      </c>
      <c r="AB175" s="93">
        <f t="shared" ca="1" si="314"/>
        <v>628.64821268653668</v>
      </c>
      <c r="AC175" s="94">
        <f t="shared" ca="1" si="314"/>
        <v>644.99637520360284</v>
      </c>
      <c r="AD175" s="94">
        <f t="shared" ca="1" si="314"/>
        <v>619.36997803380109</v>
      </c>
      <c r="AE175" s="119">
        <f t="shared" ca="1" si="314"/>
        <v>769.5638685208321</v>
      </c>
      <c r="AF175" s="18">
        <f t="shared" ca="1" si="314"/>
        <v>769.5638685208321</v>
      </c>
    </row>
    <row r="176" spans="2:32" s="14" customFormat="1" x14ac:dyDescent="0.25">
      <c r="G176" s="92"/>
      <c r="H176" s="92"/>
      <c r="I176" s="92"/>
      <c r="J176" s="92"/>
      <c r="K176" s="92"/>
      <c r="L176" s="92"/>
      <c r="M176" s="92"/>
      <c r="N176" s="92"/>
      <c r="O176" s="92"/>
      <c r="P176" s="92"/>
      <c r="Q176" s="92"/>
      <c r="R176" s="92"/>
      <c r="S176" s="92"/>
      <c r="T176" s="92"/>
      <c r="U176" s="80"/>
      <c r="V176" s="80"/>
      <c r="W176" s="80"/>
      <c r="X176" s="80"/>
      <c r="Y176" s="80"/>
      <c r="Z176" s="80"/>
      <c r="AA176" s="80"/>
      <c r="AB176" s="80"/>
      <c r="AC176" s="80"/>
      <c r="AD176" s="80"/>
      <c r="AE176" s="80"/>
      <c r="AF176" s="80"/>
    </row>
    <row r="177" spans="2:32" s="14" customFormat="1" x14ac:dyDescent="0.25">
      <c r="B177" s="14" t="s">
        <v>117</v>
      </c>
      <c r="G177" s="92">
        <v>101.598</v>
      </c>
      <c r="H177" s="92"/>
      <c r="I177" s="92"/>
      <c r="J177" s="92"/>
      <c r="K177" s="92"/>
      <c r="L177" s="92">
        <v>137.18</v>
      </c>
      <c r="M177" s="92">
        <v>20.645</v>
      </c>
      <c r="N177" s="92">
        <f>98.437-M177</f>
        <v>77.792000000000002</v>
      </c>
      <c r="O177" s="92">
        <f>139.405-N177-M177</f>
        <v>40.968000000000004</v>
      </c>
      <c r="P177" s="92">
        <f>Q177-O177-N177-M177</f>
        <v>39.842999999999975</v>
      </c>
      <c r="Q177" s="92">
        <v>179.24799999999999</v>
      </c>
      <c r="R177" s="92">
        <v>14.154</v>
      </c>
      <c r="S177" s="92">
        <f>120.08-R177</f>
        <v>105.926</v>
      </c>
      <c r="T177" s="92">
        <f>168.47-S177-R177</f>
        <v>48.39</v>
      </c>
      <c r="U177" s="80">
        <f>U66</f>
        <v>78.823780278551723</v>
      </c>
      <c r="V177" s="80"/>
      <c r="W177" s="80"/>
      <c r="X177" s="80"/>
      <c r="Y177" s="80"/>
      <c r="Z177" s="80"/>
      <c r="AA177" s="80"/>
      <c r="AB177" s="80"/>
      <c r="AC177" s="80"/>
      <c r="AD177" s="80"/>
      <c r="AE177" s="80"/>
      <c r="AF177" s="80"/>
    </row>
    <row r="178" spans="2:32" s="14" customFormat="1" x14ac:dyDescent="0.25">
      <c r="B178" s="174" t="s">
        <v>146</v>
      </c>
      <c r="G178" s="110">
        <f>G177/G66</f>
        <v>0.81371488983397011</v>
      </c>
      <c r="H178" s="92"/>
      <c r="I178" s="92"/>
      <c r="J178" s="92"/>
      <c r="K178" s="92"/>
      <c r="L178" s="110">
        <f t="shared" ref="L178:U178" si="315">L177/L66</f>
        <v>0.88992974238875888</v>
      </c>
      <c r="M178" s="110">
        <f t="shared" si="315"/>
        <v>0.50418834102620458</v>
      </c>
      <c r="N178" s="110">
        <f t="shared" si="315"/>
        <v>1.7455067650952498</v>
      </c>
      <c r="O178" s="110">
        <f t="shared" si="315"/>
        <v>1.0246610974938724</v>
      </c>
      <c r="P178" s="110">
        <f t="shared" si="315"/>
        <v>0.6432930767243602</v>
      </c>
      <c r="Q178" s="110">
        <f t="shared" si="315"/>
        <v>0.95633616458235504</v>
      </c>
      <c r="R178" s="110">
        <f t="shared" si="315"/>
        <v>0.25501324252743096</v>
      </c>
      <c r="S178" s="110">
        <f t="shared" si="315"/>
        <v>1.9611204709977228</v>
      </c>
      <c r="T178" s="110">
        <f t="shared" si="315"/>
        <v>0.92506212961192891</v>
      </c>
      <c r="U178" s="110">
        <f t="shared" si="315"/>
        <v>1</v>
      </c>
      <c r="V178" s="80"/>
      <c r="W178" s="80"/>
      <c r="X178" s="80"/>
      <c r="Y178" s="80"/>
      <c r="Z178" s="80"/>
      <c r="AA178" s="80"/>
      <c r="AB178" s="80"/>
      <c r="AC178" s="80"/>
      <c r="AD178" s="80"/>
      <c r="AE178" s="80"/>
      <c r="AF178" s="80"/>
    </row>
    <row r="179" spans="2:32" s="14" customFormat="1" x14ac:dyDescent="0.25">
      <c r="G179" s="92"/>
      <c r="H179" s="92"/>
      <c r="I179" s="92"/>
      <c r="J179" s="92"/>
      <c r="K179" s="92"/>
      <c r="L179" s="92"/>
      <c r="M179" s="92"/>
      <c r="N179" s="92"/>
      <c r="O179" s="92"/>
      <c r="P179" s="92"/>
      <c r="Q179" s="92"/>
      <c r="R179" s="92"/>
      <c r="S179" s="92"/>
      <c r="T179" s="92"/>
      <c r="U179" s="80"/>
      <c r="V179" s="80"/>
      <c r="W179" s="80"/>
      <c r="X179" s="80"/>
      <c r="Y179" s="80"/>
      <c r="Z179" s="80"/>
      <c r="AA179" s="80"/>
      <c r="AB179" s="80"/>
      <c r="AC179" s="80"/>
      <c r="AD179" s="80"/>
      <c r="AE179" s="80"/>
      <c r="AF179" s="80"/>
    </row>
    <row r="180" spans="2:32" s="14" customFormat="1" x14ac:dyDescent="0.25">
      <c r="G180" s="92"/>
      <c r="H180" s="92"/>
      <c r="I180" s="92"/>
      <c r="J180" s="92"/>
      <c r="K180" s="92"/>
      <c r="L180" s="92"/>
      <c r="M180" s="92"/>
      <c r="N180" s="92"/>
      <c r="O180" s="92"/>
      <c r="P180" s="92"/>
      <c r="Q180" s="92"/>
      <c r="R180" s="92"/>
      <c r="S180" s="92"/>
      <c r="T180" s="92"/>
      <c r="U180" s="80"/>
      <c r="V180" s="80"/>
      <c r="W180" s="80"/>
      <c r="X180" s="80"/>
      <c r="Y180" s="80"/>
      <c r="Z180" s="80"/>
      <c r="AA180" s="80"/>
      <c r="AB180" s="80"/>
      <c r="AC180" s="80"/>
      <c r="AD180" s="80"/>
      <c r="AE180" s="80"/>
      <c r="AF180" s="80"/>
    </row>
    <row r="181" spans="2:32" s="14" customFormat="1" x14ac:dyDescent="0.25">
      <c r="G181" s="92"/>
      <c r="H181" s="92"/>
      <c r="I181" s="92"/>
      <c r="J181" s="92"/>
      <c r="K181" s="92"/>
      <c r="L181" s="92"/>
      <c r="M181" s="92"/>
      <c r="N181" s="92"/>
      <c r="O181" s="92"/>
      <c r="P181" s="92"/>
      <c r="Q181" s="92"/>
      <c r="R181" s="92"/>
      <c r="S181" s="92"/>
      <c r="T181" s="92"/>
      <c r="U181" s="80"/>
      <c r="V181" s="80"/>
      <c r="W181" s="80"/>
      <c r="X181" s="80"/>
      <c r="Y181" s="80"/>
      <c r="Z181" s="80"/>
      <c r="AA181" s="80"/>
      <c r="AB181" s="80"/>
      <c r="AC181" s="80"/>
      <c r="AD181" s="80"/>
      <c r="AE181" s="80"/>
      <c r="AF181" s="80"/>
    </row>
    <row r="182" spans="2:32" s="14" customFormat="1" x14ac:dyDescent="0.25">
      <c r="G182" s="92"/>
      <c r="H182" s="92"/>
      <c r="I182" s="92"/>
      <c r="J182" s="92"/>
      <c r="K182" s="92"/>
      <c r="L182" s="92"/>
      <c r="M182" s="92"/>
      <c r="N182" s="92"/>
      <c r="O182" s="92"/>
      <c r="P182" s="92"/>
      <c r="Q182" s="92"/>
      <c r="R182" s="92"/>
      <c r="S182" s="92"/>
      <c r="T182" s="92"/>
      <c r="U182" s="80"/>
      <c r="V182" s="80"/>
      <c r="W182" s="80"/>
      <c r="X182" s="80"/>
      <c r="Y182" s="80"/>
      <c r="Z182" s="80"/>
      <c r="AA182" s="80"/>
      <c r="AB182" s="80"/>
      <c r="AC182" s="80"/>
      <c r="AD182" s="80"/>
      <c r="AE182" s="80"/>
      <c r="AF182" s="80"/>
    </row>
    <row r="183" spans="2:32" s="14" customFormat="1" x14ac:dyDescent="0.25">
      <c r="G183" s="92"/>
      <c r="H183" s="92"/>
      <c r="I183" s="92"/>
      <c r="J183" s="92"/>
      <c r="K183" s="92"/>
      <c r="L183" s="92"/>
      <c r="M183" s="92"/>
      <c r="N183" s="92"/>
      <c r="O183" s="92"/>
      <c r="P183" s="92"/>
      <c r="Q183" s="92"/>
      <c r="R183" s="92"/>
      <c r="S183" s="92"/>
      <c r="T183" s="92"/>
      <c r="U183" s="80"/>
      <c r="V183" s="80"/>
      <c r="W183" s="80"/>
      <c r="X183" s="80"/>
      <c r="Y183" s="80"/>
      <c r="Z183" s="80"/>
      <c r="AA183" s="80"/>
      <c r="AB183" s="80"/>
      <c r="AC183" s="80"/>
      <c r="AD183" s="80"/>
      <c r="AE183" s="80"/>
      <c r="AF183" s="80"/>
    </row>
    <row r="184" spans="2:32" s="14" customFormat="1" x14ac:dyDescent="0.25">
      <c r="G184" s="92"/>
      <c r="H184" s="92"/>
      <c r="I184" s="92"/>
      <c r="J184" s="92"/>
      <c r="K184" s="92"/>
      <c r="L184" s="92"/>
      <c r="M184" s="92"/>
      <c r="N184" s="92"/>
      <c r="O184" s="92"/>
      <c r="P184" s="92"/>
      <c r="Q184" s="92"/>
      <c r="R184" s="92"/>
      <c r="S184" s="92"/>
      <c r="T184" s="92"/>
      <c r="U184" s="80"/>
      <c r="V184" s="80"/>
      <c r="W184" s="80"/>
      <c r="X184" s="80"/>
      <c r="Y184" s="80"/>
      <c r="Z184" s="80"/>
      <c r="AA184" s="80"/>
      <c r="AB184" s="80"/>
      <c r="AC184" s="80"/>
      <c r="AD184" s="80"/>
      <c r="AE184" s="80"/>
      <c r="AF184" s="80"/>
    </row>
    <row r="185" spans="2:32" s="14" customFormat="1" x14ac:dyDescent="0.25">
      <c r="G185" s="92"/>
      <c r="H185" s="92"/>
      <c r="I185" s="92"/>
      <c r="J185" s="92"/>
      <c r="K185" s="92"/>
      <c r="L185" s="92"/>
      <c r="M185" s="92"/>
      <c r="N185" s="92"/>
      <c r="O185" s="92"/>
      <c r="P185" s="92"/>
      <c r="Q185" s="92"/>
      <c r="R185" s="92"/>
      <c r="S185" s="92"/>
      <c r="T185" s="92"/>
      <c r="U185" s="80"/>
      <c r="V185" s="80"/>
      <c r="W185" s="80"/>
      <c r="X185" s="80"/>
      <c r="Y185" s="80"/>
      <c r="Z185" s="80"/>
      <c r="AA185" s="80"/>
      <c r="AB185" s="80"/>
      <c r="AC185" s="80"/>
      <c r="AD185" s="80"/>
      <c r="AE185" s="80"/>
      <c r="AF185" s="80"/>
    </row>
    <row r="186" spans="2:32" s="14" customFormat="1" x14ac:dyDescent="0.25">
      <c r="G186" s="92"/>
      <c r="H186" s="92"/>
      <c r="I186" s="92"/>
      <c r="J186" s="92"/>
      <c r="K186" s="92"/>
      <c r="L186" s="92"/>
      <c r="M186" s="92"/>
      <c r="N186" s="92"/>
      <c r="O186" s="92"/>
      <c r="P186" s="92"/>
      <c r="Q186" s="92"/>
      <c r="R186" s="92"/>
      <c r="S186" s="92"/>
      <c r="T186" s="92"/>
      <c r="U186" s="80"/>
      <c r="V186" s="80"/>
      <c r="W186" s="80"/>
      <c r="X186" s="80"/>
      <c r="Y186" s="80"/>
      <c r="Z186" s="80"/>
      <c r="AA186" s="80"/>
      <c r="AB186" s="80"/>
      <c r="AC186" s="80"/>
      <c r="AD186" s="80"/>
      <c r="AE186" s="80"/>
      <c r="AF186" s="80"/>
    </row>
    <row r="187" spans="2:32" s="14" customFormat="1" x14ac:dyDescent="0.25">
      <c r="G187" s="92"/>
      <c r="H187" s="92"/>
      <c r="I187" s="92"/>
      <c r="J187" s="92"/>
      <c r="K187" s="92"/>
      <c r="L187" s="92"/>
      <c r="M187" s="92"/>
      <c r="N187" s="92"/>
      <c r="O187" s="92"/>
      <c r="P187" s="92"/>
      <c r="Q187" s="92"/>
      <c r="R187" s="92"/>
      <c r="S187" s="92"/>
      <c r="T187" s="92"/>
      <c r="U187" s="80"/>
      <c r="V187" s="80"/>
      <c r="W187" s="80"/>
      <c r="X187" s="80"/>
      <c r="Y187" s="80"/>
      <c r="Z187" s="80"/>
      <c r="AA187" s="80"/>
      <c r="AB187" s="80"/>
      <c r="AC187" s="80"/>
      <c r="AD187" s="80"/>
      <c r="AE187" s="80"/>
      <c r="AF187" s="80"/>
    </row>
    <row r="188" spans="2:32" s="14" customFormat="1" x14ac:dyDescent="0.25">
      <c r="G188" s="92"/>
      <c r="H188" s="92"/>
      <c r="I188" s="92"/>
      <c r="J188" s="92"/>
      <c r="K188" s="92"/>
      <c r="L188" s="92"/>
      <c r="M188" s="92"/>
      <c r="N188" s="92"/>
      <c r="O188" s="92"/>
      <c r="P188" s="92"/>
      <c r="Q188" s="92"/>
      <c r="R188" s="92"/>
      <c r="S188" s="92"/>
      <c r="T188" s="92"/>
      <c r="U188" s="80"/>
      <c r="V188" s="80"/>
      <c r="W188" s="80"/>
      <c r="X188" s="80"/>
      <c r="Y188" s="80"/>
      <c r="Z188" s="80"/>
      <c r="AA188" s="80"/>
      <c r="AB188" s="80"/>
      <c r="AC188" s="80"/>
      <c r="AD188" s="80"/>
      <c r="AE188" s="80"/>
      <c r="AF188" s="80"/>
    </row>
    <row r="189" spans="2:32" s="14" customFormat="1" x14ac:dyDescent="0.25">
      <c r="G189" s="92"/>
      <c r="H189" s="92"/>
      <c r="I189" s="92"/>
      <c r="J189" s="92"/>
      <c r="K189" s="92"/>
      <c r="L189" s="92"/>
      <c r="M189" s="92"/>
      <c r="N189" s="92"/>
      <c r="O189" s="92"/>
      <c r="P189" s="92"/>
      <c r="Q189" s="92"/>
      <c r="R189" s="92"/>
      <c r="S189" s="92"/>
      <c r="T189" s="92"/>
      <c r="U189" s="80"/>
      <c r="V189" s="80"/>
      <c r="W189" s="80"/>
      <c r="X189" s="80"/>
      <c r="Y189" s="80"/>
      <c r="Z189" s="80"/>
      <c r="AA189" s="80"/>
      <c r="AB189" s="80"/>
      <c r="AC189" s="80"/>
      <c r="AD189" s="80"/>
      <c r="AE189" s="80"/>
      <c r="AF189" s="80"/>
    </row>
    <row r="190" spans="2:32" s="14" customFormat="1" x14ac:dyDescent="0.25">
      <c r="G190" s="92"/>
      <c r="H190" s="92"/>
      <c r="I190" s="92"/>
      <c r="J190" s="92"/>
      <c r="K190" s="92"/>
      <c r="L190" s="92"/>
      <c r="M190" s="92"/>
      <c r="N190" s="92"/>
      <c r="O190" s="92"/>
      <c r="P190" s="92"/>
      <c r="Q190" s="92"/>
      <c r="R190" s="92"/>
      <c r="S190" s="92"/>
      <c r="T190" s="92"/>
      <c r="U190" s="80"/>
      <c r="V190" s="80"/>
      <c r="W190" s="80"/>
      <c r="X190" s="80"/>
      <c r="Y190" s="80"/>
      <c r="Z190" s="80"/>
      <c r="AA190" s="80"/>
      <c r="AB190" s="80"/>
      <c r="AC190" s="80"/>
      <c r="AD190" s="80"/>
      <c r="AE190" s="80"/>
      <c r="AF190" s="80"/>
    </row>
    <row r="191" spans="2:32" s="14" customFormat="1" x14ac:dyDescent="0.25">
      <c r="G191" s="92"/>
      <c r="H191" s="92"/>
      <c r="I191" s="92"/>
      <c r="J191" s="92"/>
      <c r="K191" s="92"/>
      <c r="L191" s="92"/>
      <c r="M191" s="92"/>
      <c r="N191" s="92"/>
      <c r="O191" s="92"/>
      <c r="P191" s="92"/>
      <c r="Q191" s="92"/>
      <c r="R191" s="92"/>
      <c r="S191" s="92"/>
      <c r="T191" s="92"/>
      <c r="U191" s="80"/>
      <c r="V191" s="80"/>
      <c r="W191" s="80"/>
      <c r="X191" s="80"/>
      <c r="Y191" s="80"/>
      <c r="Z191" s="80"/>
      <c r="AA191" s="80"/>
      <c r="AB191" s="80"/>
      <c r="AC191" s="80"/>
      <c r="AD191" s="80"/>
      <c r="AE191" s="80"/>
      <c r="AF191" s="80"/>
    </row>
    <row r="192" spans="2:32" s="14" customFormat="1" x14ac:dyDescent="0.25">
      <c r="G192" s="92"/>
      <c r="H192" s="92"/>
      <c r="I192" s="92"/>
      <c r="J192" s="92"/>
      <c r="K192" s="92"/>
      <c r="L192" s="92"/>
      <c r="M192" s="92"/>
      <c r="N192" s="92"/>
      <c r="O192" s="92"/>
      <c r="P192" s="92"/>
      <c r="Q192" s="92"/>
      <c r="R192" s="92"/>
      <c r="S192" s="92"/>
      <c r="T192" s="92"/>
      <c r="U192" s="80"/>
      <c r="V192" s="80"/>
      <c r="W192" s="80"/>
      <c r="X192" s="80"/>
      <c r="Y192" s="80"/>
      <c r="Z192" s="80"/>
      <c r="AA192" s="80"/>
      <c r="AB192" s="80"/>
      <c r="AC192" s="80"/>
      <c r="AD192" s="80"/>
      <c r="AE192" s="80"/>
      <c r="AF192" s="80"/>
    </row>
    <row r="193" spans="7:32" s="14" customFormat="1" x14ac:dyDescent="0.25">
      <c r="G193" s="92"/>
      <c r="H193" s="92"/>
      <c r="I193" s="92"/>
      <c r="J193" s="92"/>
      <c r="K193" s="92"/>
      <c r="L193" s="92"/>
      <c r="M193" s="92"/>
      <c r="N193" s="92"/>
      <c r="O193" s="92"/>
      <c r="P193" s="92"/>
      <c r="Q193" s="92"/>
      <c r="R193" s="92"/>
      <c r="S193" s="92"/>
      <c r="T193" s="92"/>
      <c r="U193" s="80"/>
      <c r="V193" s="80"/>
      <c r="W193" s="80"/>
      <c r="X193" s="80"/>
      <c r="Y193" s="80"/>
      <c r="Z193" s="80"/>
      <c r="AA193" s="80"/>
      <c r="AB193" s="80"/>
      <c r="AC193" s="80"/>
      <c r="AD193" s="80"/>
      <c r="AE193" s="80"/>
      <c r="AF193" s="80"/>
    </row>
    <row r="194" spans="7:32" s="14" customFormat="1" x14ac:dyDescent="0.25">
      <c r="G194" s="92"/>
      <c r="H194" s="92"/>
      <c r="I194" s="92"/>
      <c r="J194" s="92"/>
      <c r="K194" s="92"/>
      <c r="L194" s="92"/>
      <c r="M194" s="92"/>
      <c r="N194" s="92"/>
      <c r="O194" s="92"/>
      <c r="P194" s="92"/>
      <c r="Q194" s="92"/>
      <c r="R194" s="92"/>
      <c r="S194" s="92"/>
      <c r="T194" s="92"/>
      <c r="U194" s="80"/>
      <c r="V194" s="80"/>
      <c r="W194" s="80"/>
      <c r="X194" s="80"/>
      <c r="Y194" s="80"/>
      <c r="Z194" s="80"/>
      <c r="AA194" s="80"/>
      <c r="AB194" s="80"/>
      <c r="AC194" s="80"/>
      <c r="AD194" s="80"/>
      <c r="AE194" s="80"/>
      <c r="AF194" s="80"/>
    </row>
    <row r="195" spans="7:32" s="14" customFormat="1" x14ac:dyDescent="0.25">
      <c r="G195" s="92"/>
      <c r="H195" s="92"/>
      <c r="I195" s="92"/>
      <c r="J195" s="92"/>
      <c r="K195" s="92"/>
      <c r="L195" s="92"/>
      <c r="M195" s="92"/>
      <c r="N195" s="92"/>
      <c r="O195" s="92"/>
      <c r="P195" s="92"/>
      <c r="Q195" s="92"/>
      <c r="R195" s="92"/>
      <c r="S195" s="92"/>
      <c r="T195" s="92"/>
      <c r="U195" s="80"/>
      <c r="V195" s="80"/>
      <c r="W195" s="80"/>
      <c r="X195" s="80"/>
      <c r="Y195" s="80"/>
      <c r="Z195" s="80"/>
      <c r="AA195" s="80"/>
      <c r="AB195" s="80"/>
      <c r="AC195" s="80"/>
      <c r="AD195" s="80"/>
      <c r="AE195" s="80"/>
      <c r="AF195" s="80"/>
    </row>
    <row r="196" spans="7:32" s="14" customFormat="1" x14ac:dyDescent="0.25">
      <c r="G196" s="92"/>
      <c r="H196" s="92"/>
      <c r="I196" s="92"/>
      <c r="J196" s="92"/>
      <c r="K196" s="92"/>
      <c r="L196" s="92"/>
      <c r="M196" s="92"/>
      <c r="N196" s="92"/>
      <c r="O196" s="92"/>
      <c r="P196" s="92"/>
      <c r="Q196" s="92"/>
      <c r="R196" s="92"/>
      <c r="S196" s="92"/>
      <c r="T196" s="92"/>
      <c r="U196" s="80"/>
      <c r="V196" s="80"/>
      <c r="W196" s="80"/>
      <c r="X196" s="80"/>
      <c r="Y196" s="80"/>
      <c r="Z196" s="80"/>
      <c r="AA196" s="80"/>
      <c r="AB196" s="80"/>
      <c r="AC196" s="80"/>
      <c r="AD196" s="80"/>
      <c r="AE196" s="80"/>
      <c r="AF196" s="80"/>
    </row>
    <row r="197" spans="7:32" s="14" customFormat="1" x14ac:dyDescent="0.25">
      <c r="G197" s="92"/>
      <c r="H197" s="92"/>
      <c r="I197" s="92"/>
      <c r="J197" s="92"/>
      <c r="K197" s="92"/>
      <c r="L197" s="92"/>
      <c r="M197" s="92"/>
      <c r="N197" s="92"/>
      <c r="O197" s="92"/>
      <c r="P197" s="92"/>
      <c r="Q197" s="92"/>
      <c r="R197" s="92"/>
      <c r="S197" s="92"/>
      <c r="T197" s="92"/>
      <c r="U197" s="80"/>
      <c r="V197" s="80"/>
      <c r="W197" s="80"/>
      <c r="X197" s="80"/>
      <c r="Y197" s="80"/>
      <c r="Z197" s="80"/>
      <c r="AA197" s="80"/>
      <c r="AB197" s="80"/>
      <c r="AC197" s="80"/>
      <c r="AD197" s="80"/>
      <c r="AE197" s="80"/>
      <c r="AF197" s="80"/>
    </row>
    <row r="198" spans="7:32" s="14" customFormat="1" x14ac:dyDescent="0.25">
      <c r="G198" s="92"/>
      <c r="H198" s="92"/>
      <c r="I198" s="92"/>
      <c r="J198" s="92"/>
      <c r="K198" s="92"/>
      <c r="L198" s="92"/>
      <c r="M198" s="92"/>
      <c r="N198" s="92"/>
      <c r="O198" s="92"/>
      <c r="P198" s="92"/>
      <c r="Q198" s="92"/>
      <c r="R198" s="92"/>
      <c r="S198" s="92"/>
      <c r="T198" s="92"/>
      <c r="U198" s="80"/>
      <c r="V198" s="80"/>
      <c r="W198" s="80"/>
      <c r="X198" s="80"/>
      <c r="Y198" s="80"/>
      <c r="Z198" s="80"/>
      <c r="AA198" s="80"/>
      <c r="AB198" s="80"/>
      <c r="AC198" s="80"/>
      <c r="AD198" s="80"/>
      <c r="AE198" s="80"/>
      <c r="AF198" s="80"/>
    </row>
    <row r="199" spans="7:32" s="14" customFormat="1" x14ac:dyDescent="0.25">
      <c r="G199" s="92"/>
      <c r="H199" s="92"/>
      <c r="I199" s="92"/>
      <c r="J199" s="92"/>
      <c r="K199" s="92"/>
      <c r="L199" s="92"/>
      <c r="M199" s="92"/>
      <c r="N199" s="92"/>
      <c r="O199" s="92"/>
      <c r="P199" s="92"/>
      <c r="Q199" s="92"/>
      <c r="R199" s="92"/>
      <c r="S199" s="92"/>
      <c r="T199" s="92"/>
      <c r="U199" s="80"/>
      <c r="V199" s="80"/>
      <c r="W199" s="80"/>
      <c r="X199" s="80"/>
      <c r="Y199" s="80"/>
      <c r="Z199" s="80"/>
      <c r="AA199" s="80"/>
      <c r="AB199" s="80"/>
      <c r="AC199" s="80"/>
      <c r="AD199" s="80"/>
      <c r="AE199" s="80"/>
      <c r="AF199" s="80"/>
    </row>
    <row r="200" spans="7:32" s="14" customFormat="1" x14ac:dyDescent="0.25">
      <c r="G200" s="92"/>
      <c r="H200" s="92"/>
      <c r="I200" s="92"/>
      <c r="J200" s="92"/>
      <c r="K200" s="92"/>
      <c r="L200" s="92"/>
      <c r="M200" s="92"/>
      <c r="N200" s="92"/>
      <c r="O200" s="92"/>
      <c r="P200" s="92"/>
      <c r="Q200" s="92"/>
      <c r="R200" s="92"/>
      <c r="S200" s="92"/>
      <c r="T200" s="92"/>
      <c r="U200" s="80"/>
      <c r="V200" s="80"/>
      <c r="W200" s="80"/>
      <c r="X200" s="80"/>
      <c r="Y200" s="80"/>
      <c r="Z200" s="80"/>
      <c r="AA200" s="80"/>
      <c r="AB200" s="80"/>
      <c r="AC200" s="80"/>
      <c r="AD200" s="80"/>
      <c r="AE200" s="80"/>
      <c r="AF200" s="80"/>
    </row>
    <row r="201" spans="7:32" s="14" customFormat="1" x14ac:dyDescent="0.25">
      <c r="G201" s="92"/>
      <c r="H201" s="92"/>
      <c r="I201" s="92"/>
      <c r="J201" s="92"/>
      <c r="K201" s="92"/>
      <c r="L201" s="92"/>
      <c r="M201" s="92"/>
      <c r="N201" s="92"/>
      <c r="O201" s="92"/>
      <c r="P201" s="92"/>
      <c r="Q201" s="92"/>
      <c r="R201" s="92"/>
      <c r="S201" s="92"/>
      <c r="T201" s="92"/>
      <c r="U201" s="80"/>
      <c r="V201" s="80"/>
      <c r="W201" s="80"/>
      <c r="X201" s="80"/>
      <c r="Y201" s="80"/>
      <c r="Z201" s="80"/>
      <c r="AA201" s="80"/>
      <c r="AB201" s="80"/>
      <c r="AC201" s="80"/>
      <c r="AD201" s="80"/>
      <c r="AE201" s="80"/>
      <c r="AF201" s="80"/>
    </row>
    <row r="202" spans="7:32" s="14" customFormat="1" x14ac:dyDescent="0.25">
      <c r="G202" s="92"/>
      <c r="H202" s="92"/>
      <c r="I202" s="92"/>
      <c r="J202" s="92"/>
      <c r="K202" s="92"/>
      <c r="L202" s="92"/>
      <c r="M202" s="92"/>
      <c r="N202" s="92"/>
      <c r="O202" s="92"/>
      <c r="P202" s="92"/>
      <c r="Q202" s="92"/>
      <c r="R202" s="92"/>
      <c r="S202" s="92"/>
      <c r="T202" s="92"/>
      <c r="U202" s="80"/>
      <c r="V202" s="80"/>
      <c r="W202" s="80"/>
      <c r="X202" s="80"/>
      <c r="Y202" s="80"/>
      <c r="Z202" s="80"/>
      <c r="AA202" s="80"/>
      <c r="AB202" s="80"/>
      <c r="AC202" s="80"/>
      <c r="AD202" s="80"/>
      <c r="AE202" s="80"/>
      <c r="AF202" s="80"/>
    </row>
    <row r="203" spans="7:32" s="14" customFormat="1" x14ac:dyDescent="0.25">
      <c r="G203" s="92"/>
      <c r="H203" s="92"/>
      <c r="I203" s="92"/>
      <c r="J203" s="92"/>
      <c r="K203" s="92"/>
      <c r="L203" s="92"/>
      <c r="M203" s="92"/>
      <c r="N203" s="92"/>
      <c r="O203" s="92"/>
      <c r="P203" s="92"/>
      <c r="Q203" s="92"/>
      <c r="R203" s="92"/>
      <c r="S203" s="92"/>
      <c r="T203" s="92"/>
      <c r="U203" s="80"/>
      <c r="V203" s="80"/>
      <c r="W203" s="80"/>
      <c r="X203" s="80"/>
      <c r="Y203" s="80"/>
      <c r="Z203" s="80"/>
      <c r="AA203" s="80"/>
      <c r="AB203" s="80"/>
      <c r="AC203" s="80"/>
      <c r="AD203" s="80"/>
      <c r="AE203" s="80"/>
      <c r="AF203" s="80"/>
    </row>
    <row r="204" spans="7:32" s="14" customFormat="1" x14ac:dyDescent="0.25">
      <c r="G204" s="92"/>
      <c r="H204" s="92"/>
      <c r="I204" s="92"/>
      <c r="J204" s="92"/>
      <c r="K204" s="92"/>
      <c r="L204" s="92"/>
      <c r="M204" s="92"/>
      <c r="N204" s="92"/>
      <c r="O204" s="92"/>
      <c r="P204" s="92"/>
      <c r="Q204" s="92"/>
      <c r="R204" s="92"/>
      <c r="S204" s="92"/>
      <c r="T204" s="92"/>
      <c r="U204" s="80"/>
      <c r="V204" s="80"/>
      <c r="W204" s="80"/>
      <c r="X204" s="80"/>
      <c r="Y204" s="80"/>
      <c r="Z204" s="80"/>
      <c r="AA204" s="80"/>
      <c r="AB204" s="80"/>
      <c r="AC204" s="80"/>
      <c r="AD204" s="80"/>
      <c r="AE204" s="80"/>
      <c r="AF204" s="80"/>
    </row>
    <row r="205" spans="7:32" s="14" customFormat="1" x14ac:dyDescent="0.25">
      <c r="G205" s="92"/>
      <c r="H205" s="92"/>
      <c r="I205" s="92"/>
      <c r="J205" s="92"/>
      <c r="K205" s="92"/>
      <c r="L205" s="92"/>
      <c r="M205" s="92"/>
      <c r="N205" s="92"/>
      <c r="O205" s="92"/>
      <c r="P205" s="92"/>
      <c r="Q205" s="92"/>
      <c r="R205" s="92"/>
      <c r="S205" s="92"/>
      <c r="T205" s="92"/>
      <c r="U205" s="80"/>
      <c r="V205" s="80"/>
      <c r="W205" s="80"/>
      <c r="X205" s="80"/>
      <c r="Y205" s="80"/>
      <c r="Z205" s="80"/>
      <c r="AA205" s="80"/>
      <c r="AB205" s="80"/>
      <c r="AC205" s="80"/>
      <c r="AD205" s="80"/>
      <c r="AE205" s="80"/>
      <c r="AF205" s="80"/>
    </row>
    <row r="206" spans="7:32" s="14" customFormat="1" x14ac:dyDescent="0.25">
      <c r="G206" s="92"/>
      <c r="H206" s="92"/>
      <c r="I206" s="92"/>
      <c r="J206" s="92"/>
      <c r="K206" s="92"/>
      <c r="L206" s="92"/>
      <c r="M206" s="92"/>
      <c r="N206" s="92"/>
      <c r="O206" s="92"/>
      <c r="P206" s="92"/>
      <c r="Q206" s="92"/>
      <c r="R206" s="92"/>
      <c r="S206" s="92"/>
      <c r="T206" s="92"/>
      <c r="U206" s="80"/>
      <c r="V206" s="80"/>
      <c r="W206" s="80"/>
      <c r="X206" s="80"/>
      <c r="Y206" s="80"/>
      <c r="Z206" s="80"/>
      <c r="AA206" s="80"/>
      <c r="AB206" s="80"/>
      <c r="AC206" s="80"/>
      <c r="AD206" s="80"/>
      <c r="AE206" s="80"/>
      <c r="AF206" s="80"/>
    </row>
    <row r="207" spans="7:32" s="14" customFormat="1" x14ac:dyDescent="0.25">
      <c r="G207" s="92"/>
      <c r="H207" s="92"/>
      <c r="I207" s="92"/>
      <c r="J207" s="92"/>
      <c r="K207" s="92"/>
      <c r="L207" s="92"/>
      <c r="M207" s="92"/>
      <c r="N207" s="92"/>
      <c r="O207" s="92"/>
      <c r="P207" s="92"/>
      <c r="Q207" s="92"/>
      <c r="R207" s="92"/>
      <c r="S207" s="92"/>
      <c r="T207" s="92"/>
      <c r="U207" s="80"/>
      <c r="V207" s="80"/>
      <c r="W207" s="80"/>
      <c r="X207" s="80"/>
      <c r="Y207" s="80"/>
      <c r="Z207" s="80"/>
      <c r="AA207" s="80"/>
      <c r="AB207" s="80"/>
      <c r="AC207" s="80"/>
      <c r="AD207" s="80"/>
      <c r="AE207" s="80"/>
      <c r="AF207" s="80"/>
    </row>
    <row r="208" spans="7:32" s="14" customFormat="1" x14ac:dyDescent="0.25">
      <c r="G208" s="92"/>
      <c r="H208" s="92"/>
      <c r="I208" s="92"/>
      <c r="J208" s="92"/>
      <c r="K208" s="92"/>
      <c r="L208" s="92"/>
      <c r="M208" s="92"/>
      <c r="N208" s="92"/>
      <c r="O208" s="92"/>
      <c r="P208" s="92"/>
      <c r="Q208" s="92"/>
      <c r="R208" s="92"/>
      <c r="S208" s="92"/>
      <c r="T208" s="92"/>
      <c r="U208" s="80"/>
      <c r="V208" s="80"/>
      <c r="W208" s="80"/>
      <c r="X208" s="80"/>
      <c r="Y208" s="80"/>
      <c r="Z208" s="80"/>
      <c r="AA208" s="80"/>
      <c r="AB208" s="80"/>
      <c r="AC208" s="80"/>
      <c r="AD208" s="80"/>
      <c r="AE208" s="80"/>
      <c r="AF208" s="80"/>
    </row>
    <row r="209" spans="7:32" s="14" customFormat="1" x14ac:dyDescent="0.25">
      <c r="G209" s="92"/>
      <c r="H209" s="92"/>
      <c r="I209" s="92"/>
      <c r="J209" s="92"/>
      <c r="K209" s="92"/>
      <c r="L209" s="92"/>
      <c r="M209" s="92"/>
      <c r="N209" s="92"/>
      <c r="O209" s="92"/>
      <c r="P209" s="92"/>
      <c r="Q209" s="92"/>
      <c r="R209" s="92"/>
      <c r="S209" s="92"/>
      <c r="T209" s="92"/>
      <c r="U209" s="80"/>
      <c r="V209" s="80"/>
      <c r="W209" s="80"/>
      <c r="X209" s="80"/>
      <c r="Y209" s="80"/>
      <c r="Z209" s="80"/>
      <c r="AA209" s="80"/>
      <c r="AB209" s="80"/>
      <c r="AC209" s="80"/>
      <c r="AD209" s="80"/>
      <c r="AE209" s="80"/>
      <c r="AF209" s="80"/>
    </row>
    <row r="210" spans="7:32" s="14" customFormat="1" x14ac:dyDescent="0.25">
      <c r="G210" s="92"/>
      <c r="H210" s="92"/>
      <c r="I210" s="92"/>
      <c r="J210" s="92"/>
      <c r="K210" s="92"/>
      <c r="L210" s="92"/>
      <c r="M210" s="92"/>
      <c r="N210" s="92"/>
      <c r="O210" s="92"/>
      <c r="P210" s="92"/>
      <c r="Q210" s="92"/>
      <c r="R210" s="92"/>
      <c r="S210" s="92"/>
      <c r="T210" s="92"/>
      <c r="U210" s="80"/>
      <c r="V210" s="80"/>
      <c r="W210" s="80"/>
      <c r="X210" s="80"/>
      <c r="Y210" s="80"/>
      <c r="Z210" s="80"/>
      <c r="AA210" s="80"/>
      <c r="AB210" s="80"/>
      <c r="AC210" s="80"/>
      <c r="AD210" s="80"/>
      <c r="AE210" s="80"/>
      <c r="AF210" s="80"/>
    </row>
    <row r="211" spans="7:32" s="14" customFormat="1" x14ac:dyDescent="0.25">
      <c r="G211" s="92"/>
      <c r="H211" s="92"/>
      <c r="I211" s="92"/>
      <c r="J211" s="92"/>
      <c r="K211" s="92"/>
      <c r="L211" s="92"/>
      <c r="M211" s="92"/>
      <c r="N211" s="92"/>
      <c r="O211" s="92"/>
      <c r="P211" s="92"/>
      <c r="Q211" s="92"/>
      <c r="R211" s="92"/>
      <c r="S211" s="92"/>
      <c r="T211" s="92"/>
      <c r="U211" s="80"/>
      <c r="V211" s="80"/>
      <c r="W211" s="80"/>
      <c r="X211" s="80"/>
      <c r="Y211" s="80"/>
      <c r="Z211" s="80"/>
      <c r="AA211" s="80"/>
      <c r="AB211" s="80"/>
      <c r="AC211" s="80"/>
      <c r="AD211" s="80"/>
      <c r="AE211" s="80"/>
      <c r="AF211" s="80"/>
    </row>
    <row r="212" spans="7:32" s="14" customFormat="1" x14ac:dyDescent="0.25">
      <c r="G212" s="92"/>
      <c r="H212" s="92"/>
      <c r="I212" s="92"/>
      <c r="J212" s="92"/>
      <c r="K212" s="92"/>
      <c r="L212" s="92"/>
      <c r="M212" s="92"/>
      <c r="N212" s="92"/>
      <c r="O212" s="92"/>
      <c r="P212" s="92"/>
      <c r="Q212" s="92"/>
      <c r="R212" s="92"/>
      <c r="S212" s="92"/>
      <c r="T212" s="92"/>
      <c r="U212" s="80"/>
      <c r="V212" s="80"/>
      <c r="W212" s="80"/>
      <c r="X212" s="80"/>
      <c r="Y212" s="80"/>
      <c r="Z212" s="80"/>
      <c r="AA212" s="80"/>
      <c r="AB212" s="80"/>
      <c r="AC212" s="80"/>
      <c r="AD212" s="80"/>
      <c r="AE212" s="80"/>
      <c r="AF212" s="80"/>
    </row>
    <row r="213" spans="7:32" s="14" customFormat="1" x14ac:dyDescent="0.25">
      <c r="G213" s="80"/>
      <c r="H213" s="80"/>
      <c r="I213" s="80"/>
      <c r="J213" s="80"/>
      <c r="K213" s="80"/>
      <c r="L213" s="80"/>
      <c r="M213" s="80"/>
      <c r="N213" s="80"/>
      <c r="O213" s="80"/>
      <c r="P213" s="80"/>
      <c r="Q213" s="80"/>
      <c r="R213" s="80"/>
      <c r="S213" s="80"/>
      <c r="T213" s="80"/>
      <c r="U213" s="80"/>
      <c r="V213" s="80"/>
      <c r="W213" s="80"/>
      <c r="X213" s="80"/>
      <c r="Y213" s="80"/>
      <c r="Z213" s="80"/>
      <c r="AA213" s="80"/>
      <c r="AB213" s="80"/>
      <c r="AC213" s="80"/>
      <c r="AD213" s="80"/>
      <c r="AE213" s="80"/>
      <c r="AF213" s="80"/>
    </row>
    <row r="214" spans="7:32" s="14" customFormat="1" x14ac:dyDescent="0.25">
      <c r="G214" s="80"/>
      <c r="H214" s="80"/>
      <c r="I214" s="80"/>
      <c r="J214" s="80"/>
      <c r="K214" s="80"/>
      <c r="L214" s="80"/>
      <c r="M214" s="80"/>
      <c r="N214" s="80"/>
      <c r="O214" s="80"/>
      <c r="P214" s="80"/>
      <c r="Q214" s="80"/>
      <c r="R214" s="80"/>
      <c r="S214" s="80"/>
      <c r="T214" s="80"/>
      <c r="U214" s="80"/>
      <c r="V214" s="80"/>
      <c r="W214" s="80"/>
      <c r="X214" s="80"/>
      <c r="Y214" s="80"/>
      <c r="Z214" s="80"/>
      <c r="AA214" s="80"/>
      <c r="AB214" s="80"/>
      <c r="AC214" s="80"/>
      <c r="AD214" s="80"/>
      <c r="AE214" s="80"/>
      <c r="AF214" s="80"/>
    </row>
    <row r="215" spans="7:32" s="14" customFormat="1" x14ac:dyDescent="0.25">
      <c r="G215" s="80"/>
      <c r="H215" s="80"/>
      <c r="I215" s="80"/>
      <c r="J215" s="80"/>
      <c r="K215" s="80"/>
      <c r="L215" s="80"/>
      <c r="M215" s="80"/>
      <c r="N215" s="80"/>
      <c r="O215" s="80"/>
      <c r="P215" s="80"/>
      <c r="Q215" s="80"/>
      <c r="R215" s="80"/>
      <c r="S215" s="80"/>
      <c r="T215" s="80"/>
      <c r="U215" s="80"/>
      <c r="V215" s="80"/>
      <c r="W215" s="80"/>
      <c r="X215" s="80"/>
      <c r="Y215" s="80"/>
      <c r="Z215" s="80"/>
      <c r="AA215" s="80"/>
      <c r="AB215" s="80"/>
      <c r="AC215" s="80"/>
      <c r="AD215" s="80"/>
      <c r="AE215" s="80"/>
      <c r="AF215" s="80"/>
    </row>
    <row r="216" spans="7:32" s="14" customFormat="1" x14ac:dyDescent="0.25">
      <c r="G216" s="80"/>
      <c r="H216" s="80"/>
      <c r="I216" s="80"/>
      <c r="J216" s="80"/>
      <c r="K216" s="80"/>
      <c r="L216" s="80"/>
      <c r="M216" s="80"/>
      <c r="N216" s="80"/>
      <c r="O216" s="80"/>
      <c r="P216" s="80"/>
      <c r="Q216" s="80"/>
      <c r="R216" s="80"/>
      <c r="S216" s="80"/>
      <c r="T216" s="80"/>
      <c r="U216" s="80"/>
      <c r="V216" s="80"/>
      <c r="W216" s="80"/>
      <c r="X216" s="80"/>
      <c r="Y216" s="80"/>
      <c r="Z216" s="80"/>
      <c r="AA216" s="80"/>
      <c r="AB216" s="80"/>
      <c r="AC216" s="80"/>
      <c r="AD216" s="80"/>
      <c r="AE216" s="80"/>
      <c r="AF216" s="80"/>
    </row>
    <row r="217" spans="7:32" s="14" customFormat="1" x14ac:dyDescent="0.25">
      <c r="G217" s="80"/>
      <c r="H217" s="80"/>
      <c r="I217" s="80"/>
      <c r="J217" s="80"/>
      <c r="K217" s="80"/>
      <c r="L217" s="80"/>
      <c r="M217" s="80"/>
      <c r="N217" s="80"/>
      <c r="O217" s="80"/>
      <c r="P217" s="80"/>
      <c r="Q217" s="80"/>
      <c r="R217" s="80"/>
      <c r="S217" s="80"/>
      <c r="T217" s="80"/>
      <c r="U217" s="80"/>
      <c r="V217" s="80"/>
      <c r="W217" s="80"/>
      <c r="X217" s="80"/>
      <c r="Y217" s="80"/>
      <c r="Z217" s="80"/>
      <c r="AA217" s="80"/>
      <c r="AB217" s="80"/>
      <c r="AC217" s="80"/>
      <c r="AD217" s="80"/>
      <c r="AE217" s="80"/>
      <c r="AF217" s="80"/>
    </row>
    <row r="218" spans="7:32" s="14" customFormat="1" x14ac:dyDescent="0.25">
      <c r="G218" s="80"/>
      <c r="H218" s="80"/>
      <c r="I218" s="80"/>
      <c r="J218" s="80"/>
      <c r="K218" s="80"/>
      <c r="L218" s="80"/>
      <c r="M218" s="80"/>
      <c r="N218" s="80"/>
      <c r="O218" s="80"/>
      <c r="P218" s="80"/>
      <c r="Q218" s="80"/>
      <c r="R218" s="80"/>
      <c r="S218" s="80"/>
      <c r="T218" s="80"/>
      <c r="U218" s="80"/>
      <c r="V218" s="80"/>
      <c r="W218" s="80"/>
      <c r="X218" s="80"/>
      <c r="Y218" s="80"/>
      <c r="Z218" s="80"/>
      <c r="AA218" s="80"/>
      <c r="AB218" s="80"/>
      <c r="AC218" s="80"/>
      <c r="AD218" s="80"/>
      <c r="AE218" s="80"/>
      <c r="AF218" s="80"/>
    </row>
    <row r="219" spans="7:32" s="14" customFormat="1" x14ac:dyDescent="0.25">
      <c r="G219" s="80"/>
      <c r="H219" s="80"/>
      <c r="I219" s="80"/>
      <c r="J219" s="80"/>
      <c r="K219" s="80"/>
      <c r="L219" s="80"/>
      <c r="M219" s="80"/>
      <c r="N219" s="80"/>
      <c r="O219" s="80"/>
      <c r="P219" s="80"/>
      <c r="Q219" s="80"/>
      <c r="R219" s="80"/>
      <c r="S219" s="80"/>
      <c r="T219" s="80"/>
      <c r="U219" s="80"/>
      <c r="V219" s="80"/>
      <c r="W219" s="80"/>
      <c r="X219" s="80"/>
      <c r="Y219" s="80"/>
      <c r="Z219" s="80"/>
      <c r="AA219" s="80"/>
      <c r="AB219" s="80"/>
      <c r="AC219" s="80"/>
      <c r="AD219" s="80"/>
      <c r="AE219" s="80"/>
      <c r="AF219" s="80"/>
    </row>
    <row r="220" spans="7:32" s="14" customFormat="1" x14ac:dyDescent="0.25">
      <c r="G220" s="80"/>
      <c r="H220" s="80"/>
      <c r="I220" s="80"/>
      <c r="J220" s="80"/>
      <c r="K220" s="80"/>
      <c r="L220" s="80"/>
      <c r="M220" s="80"/>
      <c r="N220" s="80"/>
      <c r="O220" s="80"/>
      <c r="P220" s="80"/>
      <c r="Q220" s="80"/>
      <c r="R220" s="80"/>
      <c r="S220" s="80"/>
      <c r="T220" s="80"/>
      <c r="U220" s="80"/>
      <c r="V220" s="80"/>
      <c r="W220" s="80"/>
      <c r="X220" s="80"/>
      <c r="Y220" s="80"/>
      <c r="Z220" s="80"/>
      <c r="AA220" s="80"/>
      <c r="AB220" s="80"/>
      <c r="AC220" s="80"/>
      <c r="AD220" s="80"/>
      <c r="AE220" s="80"/>
      <c r="AF220" s="80"/>
    </row>
    <row r="221" spans="7:32" s="14" customFormat="1" x14ac:dyDescent="0.25">
      <c r="G221" s="80"/>
      <c r="H221" s="80"/>
      <c r="I221" s="80"/>
      <c r="J221" s="80"/>
      <c r="K221" s="80"/>
      <c r="L221" s="80"/>
      <c r="M221" s="80"/>
      <c r="N221" s="80"/>
      <c r="O221" s="80"/>
      <c r="P221" s="80"/>
      <c r="Q221" s="80"/>
      <c r="R221" s="80"/>
      <c r="S221" s="80"/>
      <c r="T221" s="80"/>
      <c r="U221" s="80"/>
      <c r="V221" s="80"/>
      <c r="W221" s="80"/>
      <c r="X221" s="80"/>
      <c r="Y221" s="80"/>
      <c r="Z221" s="80"/>
      <c r="AA221" s="80"/>
      <c r="AB221" s="80"/>
      <c r="AC221" s="80"/>
      <c r="AD221" s="80"/>
      <c r="AE221" s="80"/>
      <c r="AF221" s="80"/>
    </row>
    <row r="222" spans="7:32" s="14" customFormat="1" x14ac:dyDescent="0.25">
      <c r="G222" s="80"/>
      <c r="H222" s="80"/>
      <c r="I222" s="80"/>
      <c r="J222" s="80"/>
      <c r="K222" s="80"/>
      <c r="L222" s="80"/>
      <c r="M222" s="80"/>
      <c r="N222" s="80"/>
      <c r="O222" s="80"/>
      <c r="P222" s="80"/>
      <c r="Q222" s="80"/>
      <c r="R222" s="80"/>
      <c r="S222" s="80"/>
      <c r="T222" s="80"/>
      <c r="U222" s="80"/>
      <c r="V222" s="80"/>
      <c r="W222" s="80"/>
      <c r="X222" s="80"/>
      <c r="Y222" s="80"/>
      <c r="Z222" s="80"/>
      <c r="AA222" s="80"/>
      <c r="AB222" s="80"/>
      <c r="AC222" s="80"/>
      <c r="AD222" s="80"/>
      <c r="AE222" s="80"/>
      <c r="AF222" s="80"/>
    </row>
    <row r="223" spans="7:32" s="14" customFormat="1" x14ac:dyDescent="0.25">
      <c r="G223" s="80"/>
      <c r="H223" s="80"/>
      <c r="I223" s="80"/>
      <c r="J223" s="80"/>
      <c r="K223" s="80"/>
      <c r="L223" s="80"/>
      <c r="M223" s="80"/>
      <c r="N223" s="80"/>
      <c r="O223" s="80"/>
      <c r="P223" s="80"/>
      <c r="Q223" s="80"/>
      <c r="R223" s="80"/>
      <c r="S223" s="80"/>
      <c r="T223" s="80"/>
      <c r="U223" s="80"/>
      <c r="V223" s="80"/>
      <c r="W223" s="80"/>
      <c r="X223" s="80"/>
      <c r="Y223" s="80"/>
      <c r="Z223" s="80"/>
      <c r="AA223" s="80"/>
      <c r="AB223" s="80"/>
      <c r="AC223" s="80"/>
      <c r="AD223" s="80"/>
      <c r="AE223" s="80"/>
      <c r="AF223" s="80"/>
    </row>
    <row r="224" spans="7:32" s="14" customFormat="1" x14ac:dyDescent="0.25">
      <c r="G224" s="80"/>
      <c r="H224" s="80"/>
      <c r="I224" s="80"/>
      <c r="J224" s="80"/>
      <c r="K224" s="80"/>
      <c r="L224" s="80"/>
      <c r="M224" s="80"/>
      <c r="N224" s="80"/>
      <c r="O224" s="80"/>
      <c r="P224" s="80"/>
      <c r="Q224" s="80"/>
      <c r="R224" s="80"/>
      <c r="S224" s="80"/>
      <c r="T224" s="80"/>
      <c r="U224" s="80"/>
      <c r="V224" s="80"/>
      <c r="W224" s="80"/>
      <c r="X224" s="80"/>
      <c r="Y224" s="80"/>
      <c r="Z224" s="80"/>
      <c r="AA224" s="80"/>
      <c r="AB224" s="80"/>
      <c r="AC224" s="80"/>
      <c r="AD224" s="80"/>
      <c r="AE224" s="80"/>
      <c r="AF224" s="80"/>
    </row>
    <row r="225" spans="7:32" s="14" customFormat="1" x14ac:dyDescent="0.25">
      <c r="G225" s="80"/>
      <c r="H225" s="80"/>
      <c r="I225" s="80"/>
      <c r="J225" s="80"/>
      <c r="K225" s="80"/>
      <c r="L225" s="80"/>
      <c r="M225" s="80"/>
      <c r="N225" s="80"/>
      <c r="O225" s="80"/>
      <c r="P225" s="80"/>
      <c r="Q225" s="80"/>
      <c r="R225" s="80"/>
      <c r="S225" s="80"/>
      <c r="T225" s="80"/>
      <c r="U225" s="80"/>
      <c r="V225" s="80"/>
      <c r="W225" s="80"/>
      <c r="X225" s="80"/>
      <c r="Y225" s="80"/>
      <c r="Z225" s="80"/>
      <c r="AA225" s="80"/>
      <c r="AB225" s="80"/>
      <c r="AC225" s="80"/>
      <c r="AD225" s="80"/>
      <c r="AE225" s="80"/>
      <c r="AF225" s="80"/>
    </row>
    <row r="226" spans="7:32" s="14" customFormat="1" x14ac:dyDescent="0.25">
      <c r="G226" s="80"/>
      <c r="H226" s="80"/>
      <c r="I226" s="80"/>
      <c r="J226" s="80"/>
      <c r="K226" s="80"/>
      <c r="L226" s="80"/>
      <c r="M226" s="80"/>
      <c r="N226" s="80"/>
      <c r="O226" s="80"/>
      <c r="P226" s="80"/>
      <c r="Q226" s="80"/>
      <c r="R226" s="80"/>
      <c r="S226" s="80"/>
      <c r="T226" s="80"/>
      <c r="U226" s="80"/>
      <c r="V226" s="80"/>
      <c r="W226" s="80"/>
      <c r="X226" s="80"/>
      <c r="Y226" s="80"/>
      <c r="Z226" s="80"/>
      <c r="AA226" s="80"/>
      <c r="AB226" s="80"/>
      <c r="AC226" s="80"/>
      <c r="AD226" s="80"/>
      <c r="AE226" s="80"/>
      <c r="AF226" s="80"/>
    </row>
    <row r="227" spans="7:32" s="14" customFormat="1" x14ac:dyDescent="0.25">
      <c r="G227" s="80"/>
      <c r="H227" s="80"/>
      <c r="I227" s="80"/>
      <c r="J227" s="80"/>
      <c r="K227" s="80"/>
      <c r="L227" s="80"/>
      <c r="M227" s="80"/>
      <c r="N227" s="80"/>
      <c r="O227" s="80"/>
      <c r="P227" s="80"/>
      <c r="Q227" s="80"/>
      <c r="R227" s="80"/>
      <c r="S227" s="80"/>
      <c r="T227" s="80"/>
      <c r="U227" s="80"/>
      <c r="V227" s="80"/>
      <c r="W227" s="80"/>
      <c r="X227" s="80"/>
      <c r="Y227" s="80"/>
      <c r="Z227" s="80"/>
      <c r="AA227" s="80"/>
      <c r="AB227" s="80"/>
      <c r="AC227" s="80"/>
      <c r="AD227" s="80"/>
      <c r="AE227" s="80"/>
      <c r="AF227" s="80"/>
    </row>
    <row r="228" spans="7:32" s="14" customFormat="1" x14ac:dyDescent="0.25">
      <c r="G228" s="80"/>
      <c r="H228" s="80"/>
      <c r="I228" s="80"/>
      <c r="J228" s="80"/>
      <c r="K228" s="80"/>
      <c r="L228" s="80"/>
      <c r="M228" s="80"/>
      <c r="N228" s="80"/>
      <c r="O228" s="80"/>
      <c r="P228" s="80"/>
      <c r="Q228" s="80"/>
      <c r="R228" s="80"/>
      <c r="S228" s="80"/>
      <c r="T228" s="80"/>
      <c r="U228" s="80"/>
      <c r="V228" s="80"/>
      <c r="W228" s="80"/>
      <c r="X228" s="80"/>
      <c r="Y228" s="80"/>
      <c r="Z228" s="80"/>
      <c r="AA228" s="80"/>
      <c r="AB228" s="80"/>
      <c r="AC228" s="80"/>
      <c r="AD228" s="80"/>
      <c r="AE228" s="80"/>
      <c r="AF228" s="80"/>
    </row>
    <row r="229" spans="7:32" s="14" customFormat="1" x14ac:dyDescent="0.25">
      <c r="G229" s="80"/>
      <c r="H229" s="80"/>
      <c r="I229" s="80"/>
      <c r="J229" s="80"/>
      <c r="K229" s="80"/>
      <c r="L229" s="80"/>
      <c r="M229" s="80"/>
      <c r="N229" s="80"/>
      <c r="O229" s="80"/>
      <c r="P229" s="80"/>
      <c r="Q229" s="80"/>
      <c r="R229" s="80"/>
      <c r="S229" s="80"/>
      <c r="T229" s="80"/>
      <c r="U229" s="80"/>
      <c r="V229" s="80"/>
      <c r="W229" s="80"/>
      <c r="X229" s="80"/>
      <c r="Y229" s="80"/>
      <c r="Z229" s="80"/>
      <c r="AA229" s="80"/>
      <c r="AB229" s="80"/>
      <c r="AC229" s="80"/>
      <c r="AD229" s="80"/>
      <c r="AE229" s="80"/>
      <c r="AF229" s="80"/>
    </row>
    <row r="230" spans="7:32" s="14" customFormat="1" x14ac:dyDescent="0.25">
      <c r="G230" s="80"/>
      <c r="H230" s="80"/>
      <c r="I230" s="80"/>
      <c r="J230" s="80"/>
      <c r="K230" s="80"/>
      <c r="L230" s="80"/>
      <c r="M230" s="80"/>
      <c r="N230" s="80"/>
      <c r="O230" s="80"/>
      <c r="P230" s="80"/>
      <c r="Q230" s="80"/>
      <c r="R230" s="80"/>
      <c r="S230" s="80"/>
      <c r="T230" s="80"/>
      <c r="U230" s="80"/>
      <c r="V230" s="80"/>
      <c r="W230" s="80"/>
      <c r="X230" s="80"/>
      <c r="Y230" s="80"/>
      <c r="Z230" s="80"/>
      <c r="AA230" s="80"/>
      <c r="AB230" s="80"/>
      <c r="AC230" s="80"/>
      <c r="AD230" s="80"/>
      <c r="AE230" s="80"/>
      <c r="AF230" s="80"/>
    </row>
    <row r="231" spans="7:32" s="14" customFormat="1" x14ac:dyDescent="0.25">
      <c r="G231" s="80"/>
      <c r="H231" s="80"/>
      <c r="I231" s="80"/>
      <c r="J231" s="80"/>
      <c r="K231" s="80"/>
      <c r="L231" s="80"/>
      <c r="M231" s="80"/>
      <c r="N231" s="80"/>
      <c r="O231" s="80"/>
      <c r="P231" s="80"/>
      <c r="Q231" s="80"/>
      <c r="R231" s="80"/>
      <c r="S231" s="80"/>
      <c r="T231" s="80"/>
      <c r="U231" s="80"/>
      <c r="V231" s="80"/>
      <c r="W231" s="80"/>
      <c r="X231" s="80"/>
      <c r="Y231" s="80"/>
      <c r="Z231" s="80"/>
      <c r="AA231" s="80"/>
      <c r="AB231" s="80"/>
      <c r="AC231" s="80"/>
      <c r="AD231" s="80"/>
      <c r="AE231" s="80"/>
      <c r="AF231" s="80"/>
    </row>
    <row r="232" spans="7:32" s="14" customFormat="1" x14ac:dyDescent="0.25">
      <c r="G232" s="80"/>
      <c r="H232" s="80"/>
      <c r="I232" s="80"/>
      <c r="J232" s="80"/>
      <c r="K232" s="80"/>
      <c r="L232" s="80"/>
      <c r="M232" s="80"/>
      <c r="N232" s="80"/>
      <c r="O232" s="80"/>
      <c r="P232" s="80"/>
      <c r="Q232" s="80"/>
      <c r="R232" s="80"/>
      <c r="S232" s="80"/>
      <c r="T232" s="80"/>
      <c r="U232" s="80"/>
      <c r="V232" s="80"/>
      <c r="W232" s="80"/>
      <c r="X232" s="80"/>
      <c r="Y232" s="80"/>
      <c r="Z232" s="80"/>
      <c r="AA232" s="80"/>
      <c r="AB232" s="80"/>
      <c r="AC232" s="80"/>
      <c r="AD232" s="80"/>
      <c r="AE232" s="80"/>
      <c r="AF232" s="80"/>
    </row>
    <row r="233" spans="7:32" s="14" customFormat="1" x14ac:dyDescent="0.25">
      <c r="G233" s="80"/>
      <c r="H233" s="80"/>
      <c r="I233" s="80"/>
      <c r="J233" s="80"/>
      <c r="K233" s="80"/>
      <c r="L233" s="80"/>
      <c r="M233" s="80"/>
      <c r="N233" s="80"/>
      <c r="O233" s="80"/>
      <c r="P233" s="80"/>
      <c r="Q233" s="80"/>
      <c r="R233" s="80"/>
      <c r="S233" s="80"/>
      <c r="T233" s="80"/>
      <c r="U233" s="80"/>
      <c r="V233" s="80"/>
      <c r="W233" s="80"/>
      <c r="X233" s="80"/>
      <c r="Y233" s="80"/>
      <c r="Z233" s="80"/>
      <c r="AA233" s="80"/>
      <c r="AB233" s="80"/>
      <c r="AC233" s="80"/>
      <c r="AD233" s="80"/>
      <c r="AE233" s="80"/>
      <c r="AF233" s="80"/>
    </row>
    <row r="234" spans="7:32" s="14" customFormat="1" x14ac:dyDescent="0.25">
      <c r="G234" s="80"/>
      <c r="H234" s="80"/>
      <c r="I234" s="80"/>
      <c r="J234" s="80"/>
      <c r="K234" s="80"/>
      <c r="L234" s="80"/>
      <c r="M234" s="80"/>
      <c r="N234" s="80"/>
      <c r="O234" s="80"/>
      <c r="P234" s="80"/>
      <c r="Q234" s="80"/>
      <c r="R234" s="80"/>
      <c r="S234" s="80"/>
      <c r="T234" s="80"/>
      <c r="U234" s="80"/>
      <c r="V234" s="80"/>
      <c r="W234" s="80"/>
      <c r="X234" s="80"/>
      <c r="Y234" s="80"/>
      <c r="Z234" s="80"/>
      <c r="AA234" s="80"/>
      <c r="AB234" s="80"/>
      <c r="AC234" s="80"/>
      <c r="AD234" s="80"/>
      <c r="AE234" s="80"/>
      <c r="AF234" s="80"/>
    </row>
    <row r="235" spans="7:32" s="14" customFormat="1" x14ac:dyDescent="0.25">
      <c r="G235" s="80"/>
      <c r="H235" s="80"/>
      <c r="I235" s="80"/>
      <c r="J235" s="80"/>
      <c r="K235" s="80"/>
      <c r="L235" s="80"/>
      <c r="M235" s="80"/>
      <c r="N235" s="80"/>
      <c r="O235" s="80"/>
      <c r="P235" s="80"/>
      <c r="Q235" s="80"/>
      <c r="R235" s="80"/>
      <c r="S235" s="80"/>
      <c r="T235" s="80"/>
      <c r="U235" s="80"/>
      <c r="V235" s="80"/>
      <c r="W235" s="80"/>
      <c r="X235" s="80"/>
      <c r="Y235" s="80"/>
      <c r="Z235" s="80"/>
      <c r="AA235" s="80"/>
      <c r="AB235" s="80"/>
      <c r="AC235" s="80"/>
      <c r="AD235" s="80"/>
      <c r="AE235" s="80"/>
      <c r="AF235" s="80"/>
    </row>
    <row r="236" spans="7:32" s="14" customFormat="1" x14ac:dyDescent="0.25">
      <c r="G236" s="80"/>
      <c r="H236" s="80"/>
      <c r="I236" s="80"/>
      <c r="J236" s="80"/>
      <c r="K236" s="80"/>
      <c r="L236" s="80"/>
      <c r="M236" s="80"/>
      <c r="N236" s="80"/>
      <c r="O236" s="80"/>
      <c r="P236" s="80"/>
      <c r="Q236" s="80"/>
      <c r="R236" s="80"/>
      <c r="S236" s="80"/>
      <c r="T236" s="80"/>
      <c r="U236" s="80"/>
      <c r="V236" s="80"/>
      <c r="W236" s="80"/>
      <c r="X236" s="80"/>
      <c r="Y236" s="80"/>
      <c r="Z236" s="80"/>
      <c r="AA236" s="80"/>
      <c r="AB236" s="80"/>
      <c r="AC236" s="80"/>
      <c r="AD236" s="80"/>
      <c r="AE236" s="80"/>
      <c r="AF236" s="80"/>
    </row>
    <row r="237" spans="7:32" s="14" customFormat="1" x14ac:dyDescent="0.25">
      <c r="G237" s="80"/>
      <c r="H237" s="80"/>
      <c r="I237" s="80"/>
      <c r="J237" s="80"/>
      <c r="K237" s="80"/>
      <c r="L237" s="80"/>
      <c r="M237" s="80"/>
      <c r="N237" s="80"/>
      <c r="O237" s="80"/>
      <c r="P237" s="80"/>
      <c r="Q237" s="80"/>
      <c r="R237" s="80"/>
      <c r="S237" s="80"/>
      <c r="T237" s="80"/>
      <c r="U237" s="80"/>
      <c r="V237" s="80"/>
      <c r="W237" s="80"/>
      <c r="X237" s="80"/>
      <c r="Y237" s="80"/>
      <c r="Z237" s="80"/>
      <c r="AA237" s="80"/>
      <c r="AB237" s="80"/>
      <c r="AC237" s="80"/>
      <c r="AD237" s="80"/>
      <c r="AE237" s="80"/>
      <c r="AF237" s="80"/>
    </row>
    <row r="238" spans="7:32" s="14" customFormat="1" x14ac:dyDescent="0.25">
      <c r="G238" s="80"/>
      <c r="H238" s="80"/>
      <c r="I238" s="80"/>
      <c r="J238" s="80"/>
      <c r="K238" s="80"/>
      <c r="L238" s="80"/>
      <c r="M238" s="80"/>
      <c r="N238" s="80"/>
      <c r="O238" s="80"/>
      <c r="P238" s="80"/>
      <c r="Q238" s="80"/>
      <c r="R238" s="80"/>
      <c r="S238" s="80"/>
      <c r="T238" s="80"/>
      <c r="U238" s="80"/>
      <c r="V238" s="80"/>
      <c r="W238" s="80"/>
      <c r="X238" s="80"/>
      <c r="Y238" s="80"/>
      <c r="Z238" s="80"/>
      <c r="AA238" s="80"/>
      <c r="AB238" s="80"/>
      <c r="AC238" s="80"/>
      <c r="AD238" s="80"/>
      <c r="AE238" s="80"/>
      <c r="AF238" s="80"/>
    </row>
    <row r="239" spans="7:32" s="14" customFormat="1" x14ac:dyDescent="0.25">
      <c r="G239" s="80"/>
      <c r="H239" s="80"/>
      <c r="I239" s="80"/>
      <c r="J239" s="80"/>
      <c r="K239" s="80"/>
      <c r="L239" s="80"/>
      <c r="M239" s="80"/>
      <c r="N239" s="80"/>
      <c r="O239" s="80"/>
      <c r="P239" s="80"/>
      <c r="Q239" s="80"/>
      <c r="R239" s="80"/>
      <c r="S239" s="80"/>
      <c r="T239" s="80"/>
      <c r="U239" s="80"/>
      <c r="V239" s="80"/>
      <c r="W239" s="80"/>
      <c r="X239" s="80"/>
      <c r="Y239" s="80"/>
      <c r="Z239" s="80"/>
      <c r="AA239" s="80"/>
      <c r="AB239" s="80"/>
      <c r="AC239" s="80"/>
      <c r="AD239" s="80"/>
      <c r="AE239" s="80"/>
      <c r="AF239" s="80"/>
    </row>
    <row r="240" spans="7:32" s="14" customFormat="1" x14ac:dyDescent="0.25">
      <c r="G240" s="80"/>
      <c r="H240" s="80"/>
      <c r="I240" s="80"/>
      <c r="J240" s="80"/>
      <c r="K240" s="80"/>
      <c r="L240" s="80"/>
      <c r="M240" s="80"/>
      <c r="N240" s="80"/>
      <c r="O240" s="80"/>
      <c r="P240" s="80"/>
      <c r="Q240" s="80"/>
      <c r="R240" s="80"/>
      <c r="S240" s="80"/>
      <c r="T240" s="80"/>
      <c r="U240" s="80"/>
      <c r="V240" s="80"/>
      <c r="W240" s="80"/>
      <c r="X240" s="80"/>
      <c r="Y240" s="80"/>
      <c r="Z240" s="80"/>
      <c r="AA240" s="80"/>
      <c r="AB240" s="80"/>
      <c r="AC240" s="80"/>
      <c r="AD240" s="80"/>
      <c r="AE240" s="80"/>
      <c r="AF240" s="80"/>
    </row>
    <row r="241" spans="7:32" s="14" customFormat="1" x14ac:dyDescent="0.25">
      <c r="G241" s="80"/>
      <c r="H241" s="80"/>
      <c r="I241" s="80"/>
      <c r="J241" s="80"/>
      <c r="K241" s="80"/>
      <c r="L241" s="80"/>
      <c r="M241" s="80"/>
      <c r="N241" s="80"/>
      <c r="O241" s="80"/>
      <c r="P241" s="80"/>
      <c r="Q241" s="80"/>
      <c r="R241" s="80"/>
      <c r="S241" s="80"/>
      <c r="T241" s="80"/>
      <c r="U241" s="80"/>
      <c r="V241" s="80"/>
      <c r="W241" s="80"/>
      <c r="X241" s="80"/>
      <c r="Y241" s="80"/>
      <c r="Z241" s="80"/>
      <c r="AA241" s="80"/>
      <c r="AB241" s="80"/>
      <c r="AC241" s="80"/>
      <c r="AD241" s="80"/>
      <c r="AE241" s="80"/>
      <c r="AF241" s="80"/>
    </row>
    <row r="242" spans="7:32" s="14" customFormat="1" x14ac:dyDescent="0.25">
      <c r="G242" s="80"/>
      <c r="H242" s="80"/>
      <c r="I242" s="80"/>
      <c r="J242" s="80"/>
      <c r="K242" s="80"/>
      <c r="L242" s="80"/>
      <c r="M242" s="80"/>
      <c r="N242" s="80"/>
      <c r="O242" s="80"/>
      <c r="P242" s="80"/>
      <c r="Q242" s="80"/>
      <c r="R242" s="80"/>
      <c r="S242" s="80"/>
      <c r="T242" s="80"/>
      <c r="U242" s="80"/>
      <c r="V242" s="80"/>
      <c r="W242" s="80"/>
      <c r="X242" s="80"/>
      <c r="Y242" s="80"/>
      <c r="Z242" s="80"/>
      <c r="AA242" s="80"/>
      <c r="AB242" s="80"/>
      <c r="AC242" s="80"/>
      <c r="AD242" s="80"/>
      <c r="AE242" s="80"/>
      <c r="AF242" s="80"/>
    </row>
    <row r="243" spans="7:32" s="14" customFormat="1" x14ac:dyDescent="0.25">
      <c r="G243" s="80"/>
      <c r="H243" s="80"/>
      <c r="I243" s="80"/>
      <c r="J243" s="80"/>
      <c r="K243" s="80"/>
      <c r="L243" s="80"/>
      <c r="M243" s="80"/>
      <c r="N243" s="80"/>
      <c r="O243" s="80"/>
      <c r="P243" s="80"/>
      <c r="Q243" s="80"/>
      <c r="R243" s="80"/>
      <c r="S243" s="80"/>
      <c r="T243" s="80"/>
      <c r="U243" s="80"/>
      <c r="V243" s="80"/>
      <c r="W243" s="80"/>
      <c r="X243" s="80"/>
      <c r="Y243" s="80"/>
      <c r="Z243" s="80"/>
      <c r="AA243" s="80"/>
      <c r="AB243" s="80"/>
      <c r="AC243" s="80"/>
      <c r="AD243" s="80"/>
      <c r="AE243" s="80"/>
      <c r="AF243" s="80"/>
    </row>
    <row r="244" spans="7:32" s="14" customFormat="1" x14ac:dyDescent="0.25">
      <c r="G244" s="80"/>
      <c r="H244" s="80"/>
      <c r="I244" s="80"/>
      <c r="J244" s="80"/>
      <c r="K244" s="80"/>
      <c r="L244" s="80"/>
      <c r="M244" s="80"/>
      <c r="N244" s="80"/>
      <c r="O244" s="80"/>
      <c r="P244" s="80"/>
      <c r="Q244" s="80"/>
      <c r="R244" s="80"/>
      <c r="S244" s="80"/>
      <c r="T244" s="80"/>
      <c r="U244" s="80"/>
      <c r="V244" s="80"/>
      <c r="W244" s="80"/>
      <c r="X244" s="80"/>
      <c r="Y244" s="80"/>
      <c r="Z244" s="80"/>
      <c r="AA244" s="80"/>
      <c r="AB244" s="80"/>
      <c r="AC244" s="80"/>
      <c r="AD244" s="80"/>
      <c r="AE244" s="80"/>
      <c r="AF244" s="80"/>
    </row>
    <row r="245" spans="7:32" s="14" customFormat="1" x14ac:dyDescent="0.25">
      <c r="G245" s="80"/>
      <c r="H245" s="80"/>
      <c r="I245" s="80"/>
      <c r="J245" s="80"/>
      <c r="K245" s="80"/>
      <c r="L245" s="80"/>
      <c r="M245" s="80"/>
      <c r="N245" s="80"/>
      <c r="O245" s="80"/>
      <c r="P245" s="80"/>
      <c r="Q245" s="80"/>
      <c r="R245" s="80"/>
      <c r="S245" s="80"/>
      <c r="T245" s="80"/>
      <c r="U245" s="80"/>
      <c r="V245" s="80"/>
      <c r="W245" s="80"/>
      <c r="X245" s="80"/>
      <c r="Y245" s="80"/>
      <c r="Z245" s="80"/>
      <c r="AA245" s="80"/>
      <c r="AB245" s="80"/>
      <c r="AC245" s="80"/>
      <c r="AD245" s="80"/>
      <c r="AE245" s="80"/>
      <c r="AF245" s="80"/>
    </row>
    <row r="246" spans="7:32" s="14" customFormat="1" x14ac:dyDescent="0.25">
      <c r="G246" s="80"/>
      <c r="H246" s="80"/>
      <c r="I246" s="80"/>
      <c r="J246" s="80"/>
      <c r="K246" s="80"/>
      <c r="L246" s="80"/>
      <c r="M246" s="80"/>
      <c r="N246" s="80"/>
      <c r="O246" s="80"/>
      <c r="P246" s="80"/>
      <c r="Q246" s="80"/>
      <c r="R246" s="80"/>
      <c r="S246" s="80"/>
      <c r="T246" s="80"/>
      <c r="U246" s="80"/>
      <c r="V246" s="80"/>
      <c r="W246" s="80"/>
      <c r="X246" s="80"/>
      <c r="Y246" s="80"/>
      <c r="Z246" s="80"/>
      <c r="AA246" s="80"/>
      <c r="AB246" s="80"/>
      <c r="AC246" s="80"/>
      <c r="AD246" s="80"/>
      <c r="AE246" s="80"/>
      <c r="AF246" s="80"/>
    </row>
    <row r="247" spans="7:32" s="14" customFormat="1" x14ac:dyDescent="0.25">
      <c r="G247" s="80"/>
      <c r="H247" s="80"/>
      <c r="I247" s="80"/>
      <c r="J247" s="80"/>
      <c r="K247" s="80"/>
      <c r="L247" s="80"/>
      <c r="M247" s="80"/>
      <c r="N247" s="80"/>
      <c r="O247" s="80"/>
      <c r="P247" s="80"/>
      <c r="Q247" s="80"/>
      <c r="R247" s="80"/>
      <c r="S247" s="80"/>
      <c r="T247" s="80"/>
      <c r="U247" s="80"/>
      <c r="V247" s="80"/>
      <c r="W247" s="80"/>
      <c r="X247" s="80"/>
      <c r="Y247" s="80"/>
      <c r="Z247" s="80"/>
      <c r="AA247" s="80"/>
      <c r="AB247" s="80"/>
      <c r="AC247" s="80"/>
      <c r="AD247" s="80"/>
      <c r="AE247" s="80"/>
      <c r="AF247" s="80"/>
    </row>
    <row r="248" spans="7:32" s="14" customFormat="1" x14ac:dyDescent="0.25">
      <c r="G248" s="80"/>
      <c r="H248" s="80"/>
      <c r="I248" s="80"/>
      <c r="J248" s="80"/>
      <c r="K248" s="80"/>
      <c r="L248" s="80"/>
      <c r="M248" s="80"/>
      <c r="N248" s="80"/>
      <c r="O248" s="80"/>
      <c r="P248" s="80"/>
      <c r="Q248" s="80"/>
      <c r="R248" s="80"/>
      <c r="S248" s="80"/>
      <c r="T248" s="80"/>
      <c r="U248" s="80"/>
      <c r="V248" s="80"/>
      <c r="W248" s="80"/>
      <c r="X248" s="80"/>
      <c r="Y248" s="80"/>
      <c r="Z248" s="80"/>
      <c r="AA248" s="80"/>
      <c r="AB248" s="80"/>
      <c r="AC248" s="80"/>
      <c r="AD248" s="80"/>
      <c r="AE248" s="80"/>
      <c r="AF248" s="80"/>
    </row>
    <row r="249" spans="7:32" s="14" customFormat="1" x14ac:dyDescent="0.25">
      <c r="G249" s="80"/>
      <c r="H249" s="80"/>
      <c r="I249" s="80"/>
      <c r="J249" s="80"/>
      <c r="K249" s="80"/>
      <c r="L249" s="80"/>
      <c r="M249" s="80"/>
      <c r="N249" s="80"/>
      <c r="O249" s="80"/>
      <c r="P249" s="80"/>
      <c r="Q249" s="80"/>
      <c r="R249" s="80"/>
      <c r="S249" s="80"/>
      <c r="T249" s="80"/>
      <c r="U249" s="80"/>
      <c r="V249" s="80"/>
      <c r="W249" s="80"/>
      <c r="X249" s="80"/>
      <c r="Y249" s="80"/>
      <c r="Z249" s="80"/>
      <c r="AA249" s="80"/>
      <c r="AB249" s="80"/>
      <c r="AC249" s="80"/>
      <c r="AD249" s="80"/>
      <c r="AE249" s="80"/>
      <c r="AF249" s="80"/>
    </row>
    <row r="250" spans="7:32" s="14" customFormat="1" x14ac:dyDescent="0.25">
      <c r="G250" s="80"/>
      <c r="H250" s="80"/>
      <c r="I250" s="80"/>
      <c r="J250" s="80"/>
      <c r="K250" s="80"/>
      <c r="L250" s="80"/>
      <c r="M250" s="80"/>
      <c r="N250" s="80"/>
      <c r="O250" s="80"/>
      <c r="P250" s="80"/>
      <c r="Q250" s="80"/>
      <c r="R250" s="80"/>
      <c r="S250" s="80"/>
      <c r="T250" s="80"/>
      <c r="U250" s="80"/>
      <c r="V250" s="80"/>
      <c r="W250" s="80"/>
      <c r="X250" s="80"/>
      <c r="Y250" s="80"/>
      <c r="Z250" s="80"/>
      <c r="AA250" s="80"/>
      <c r="AB250" s="80"/>
      <c r="AC250" s="80"/>
      <c r="AD250" s="80"/>
      <c r="AE250" s="80"/>
      <c r="AF250" s="80"/>
    </row>
  </sheetData>
  <pageMargins left="0.7" right="0.7" top="0.75" bottom="0.75" header="0.3" footer="0.3"/>
  <pageSetup scale="41" fitToHeight="3" orientation="portrait" r:id="rId1"/>
  <rowBreaks count="2" manualBreakCount="2">
    <brk id="102" min="1" max="31" man="1"/>
    <brk id="138" min="1" max="31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70C0"/>
    <pageSetUpPr fitToPage="1"/>
  </sheetPr>
  <dimension ref="B2:AH79"/>
  <sheetViews>
    <sheetView showGridLines="0" view="pageBreakPreview" zoomScaleNormal="100" zoomScaleSheetLayoutView="100" workbookViewId="0"/>
  </sheetViews>
  <sheetFormatPr defaultRowHeight="15" outlineLevelCol="1" x14ac:dyDescent="0.25"/>
  <cols>
    <col min="1" max="1" width="4.28515625" customWidth="1"/>
    <col min="2" max="2" width="17.5703125" customWidth="1"/>
    <col min="3" max="3" width="9.5703125" hidden="1" customWidth="1"/>
    <col min="4" max="7" width="8.7109375" hidden="1" customWidth="1"/>
    <col min="8" max="11" width="8.7109375" hidden="1" customWidth="1" outlineLevel="1"/>
    <col min="12" max="12" width="7.5703125" customWidth="1" collapsed="1"/>
    <col min="13" max="16" width="7.5703125" hidden="1" customWidth="1" outlineLevel="1"/>
    <col min="17" max="17" width="7.5703125" customWidth="1" collapsed="1"/>
    <col min="18" max="21" width="7.5703125" customWidth="1" outlineLevel="1"/>
    <col min="22" max="22" width="7.5703125" customWidth="1"/>
    <col min="23" max="26" width="7.5703125" customWidth="1" outlineLevel="1"/>
    <col min="27" max="27" width="7.5703125" customWidth="1"/>
    <col min="28" max="31" width="7.5703125" customWidth="1" outlineLevel="1"/>
    <col min="32" max="32" width="7.5703125" customWidth="1"/>
  </cols>
  <sheetData>
    <row r="2" spans="2:34" ht="15.75" thickBot="1" x14ac:dyDescent="0.3">
      <c r="B2" s="6" t="s">
        <v>0</v>
      </c>
      <c r="C2" s="8">
        <f>D2-1</f>
        <v>2009</v>
      </c>
      <c r="D2" s="8">
        <f>E2-1</f>
        <v>2010</v>
      </c>
      <c r="E2" s="8">
        <f>F2-1</f>
        <v>2011</v>
      </c>
      <c r="F2" s="8">
        <f>G2-1</f>
        <v>2012</v>
      </c>
      <c r="G2" s="8">
        <v>2013</v>
      </c>
      <c r="H2" s="8" t="s">
        <v>4</v>
      </c>
      <c r="I2" s="8" t="s">
        <v>5</v>
      </c>
      <c r="J2" s="8" t="s">
        <v>6</v>
      </c>
      <c r="K2" s="8" t="s">
        <v>7</v>
      </c>
      <c r="L2" s="8">
        <f>G2+1</f>
        <v>2014</v>
      </c>
      <c r="M2" s="8" t="s">
        <v>4</v>
      </c>
      <c r="N2" s="8" t="s">
        <v>5</v>
      </c>
      <c r="O2" s="8" t="s">
        <v>6</v>
      </c>
      <c r="P2" s="8" t="s">
        <v>7</v>
      </c>
      <c r="Q2" s="8">
        <f>L2+1</f>
        <v>2015</v>
      </c>
      <c r="R2" s="8" t="s">
        <v>139</v>
      </c>
      <c r="S2" s="8" t="s">
        <v>140</v>
      </c>
      <c r="T2" s="8" t="s">
        <v>141</v>
      </c>
      <c r="U2" s="8" t="s">
        <v>11</v>
      </c>
      <c r="V2" s="8" t="s">
        <v>10</v>
      </c>
      <c r="W2" s="8" t="s">
        <v>12</v>
      </c>
      <c r="X2" s="8" t="s">
        <v>13</v>
      </c>
      <c r="Y2" s="8" t="s">
        <v>14</v>
      </c>
      <c r="Z2" s="8" t="s">
        <v>11</v>
      </c>
      <c r="AA2" s="8" t="s">
        <v>9</v>
      </c>
      <c r="AB2" s="8" t="s">
        <v>12</v>
      </c>
      <c r="AC2" s="8" t="s">
        <v>13</v>
      </c>
      <c r="AD2" s="8" t="s">
        <v>14</v>
      </c>
      <c r="AE2" s="8" t="s">
        <v>11</v>
      </c>
      <c r="AF2" s="9" t="s">
        <v>8</v>
      </c>
    </row>
    <row r="3" spans="2:34" x14ac:dyDescent="0.25">
      <c r="B3" s="10" t="s">
        <v>16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2"/>
    </row>
    <row r="5" spans="2:34" x14ac:dyDescent="0.25">
      <c r="B5" s="2" t="s">
        <v>138</v>
      </c>
    </row>
    <row r="6" spans="2:34" x14ac:dyDescent="0.25">
      <c r="B6" s="200">
        <v>2</v>
      </c>
    </row>
    <row r="8" spans="2:34" x14ac:dyDescent="0.25">
      <c r="B8" s="44" t="s">
        <v>178</v>
      </c>
      <c r="G8" s="51">
        <f>Model!G30</f>
        <v>7.9000000000000001E-2</v>
      </c>
      <c r="H8" s="51">
        <f>Model!H30</f>
        <v>0</v>
      </c>
      <c r="I8" s="51">
        <f>Model!I30</f>
        <v>0</v>
      </c>
      <c r="J8" s="51">
        <f>Model!J30</f>
        <v>0</v>
      </c>
      <c r="K8" s="51">
        <f>Model!K30</f>
        <v>0</v>
      </c>
      <c r="L8" s="51">
        <f>Model!L30</f>
        <v>9.9000000000000005E-2</v>
      </c>
      <c r="M8" s="51">
        <f>Model!M30</f>
        <v>0.114</v>
      </c>
      <c r="N8" s="51">
        <f>Model!N30</f>
        <v>0.10100000000000001</v>
      </c>
      <c r="O8" s="51">
        <f>Model!O30</f>
        <v>0.128</v>
      </c>
      <c r="P8" s="51">
        <f>Model!P30</f>
        <v>0.125</v>
      </c>
      <c r="Q8" s="51">
        <f>Model!Q30</f>
        <v>0.11799999999999999</v>
      </c>
      <c r="R8" s="51">
        <f>Model!R30</f>
        <v>0.152</v>
      </c>
      <c r="S8" s="51">
        <f>Model!S30</f>
        <v>0.14399999999999999</v>
      </c>
      <c r="T8" s="51">
        <f>Model!T30</f>
        <v>0.16700000000000001</v>
      </c>
      <c r="U8" s="51">
        <f>Model!U30</f>
        <v>0.14000000000000001</v>
      </c>
      <c r="V8" s="51">
        <f>Model!V30</f>
        <v>0.14990456474743163</v>
      </c>
      <c r="W8" s="52">
        <f>CHOOSE(CASE,W9,W10,W11)</f>
        <v>0.14000000000000001</v>
      </c>
      <c r="X8" s="53">
        <f>CHOOSE(CASE,X9,X10,X11)</f>
        <v>0.13</v>
      </c>
      <c r="Y8" s="53">
        <f>CHOOSE(CASE,Y9,Y10,Y11)</f>
        <v>0.12000000000000001</v>
      </c>
      <c r="Z8" s="53">
        <f>CHOOSE(CASE,Z9,Z10,Z11)</f>
        <v>0.11000000000000001</v>
      </c>
      <c r="AA8" s="53">
        <f ca="1">Model!AA30</f>
        <v>0.12358813149123801</v>
      </c>
      <c r="AB8" s="53">
        <f>CHOOSE(CASE,AB9,AB10,AB11)</f>
        <v>0.10000000000000002</v>
      </c>
      <c r="AC8" s="53">
        <f>CHOOSE(CASE,AC9,AC10,AC11)</f>
        <v>9.0000000000000024E-2</v>
      </c>
      <c r="AD8" s="53">
        <f>CHOOSE(CASE,AD9,AD10,AD11)</f>
        <v>8.0000000000000029E-2</v>
      </c>
      <c r="AE8" s="53">
        <f>CHOOSE(CASE,AE9,AE10,AE11)</f>
        <v>7.0000000000000034E-2</v>
      </c>
      <c r="AF8" s="54">
        <f ca="1">Model!AF30</f>
        <v>8.3702940619232988E-2</v>
      </c>
      <c r="AG8" s="51"/>
      <c r="AH8" s="3"/>
    </row>
    <row r="9" spans="2:34" x14ac:dyDescent="0.25">
      <c r="B9" s="15" t="s">
        <v>135</v>
      </c>
      <c r="R9" s="50"/>
      <c r="S9" s="50"/>
      <c r="T9" s="50"/>
      <c r="U9" s="50"/>
      <c r="V9" s="50"/>
      <c r="W9" s="23">
        <v>0.1</v>
      </c>
      <c r="X9" s="23">
        <f>W9-0.01</f>
        <v>9.0000000000000011E-2</v>
      </c>
      <c r="Y9" s="23">
        <f t="shared" ref="Y9:Z9" si="0">X9-0.01</f>
        <v>8.0000000000000016E-2</v>
      </c>
      <c r="Z9" s="23">
        <f t="shared" si="0"/>
        <v>7.0000000000000021E-2</v>
      </c>
      <c r="AA9" s="50"/>
      <c r="AB9" s="23">
        <f>Z9-0.01</f>
        <v>6.0000000000000019E-2</v>
      </c>
      <c r="AC9" s="23">
        <f>AB9-0.01</f>
        <v>5.0000000000000017E-2</v>
      </c>
      <c r="AD9" s="23">
        <f t="shared" ref="AD9:AE9" si="1">AC9-0.01</f>
        <v>4.0000000000000015E-2</v>
      </c>
      <c r="AE9" s="23">
        <f t="shared" si="1"/>
        <v>3.0000000000000013E-2</v>
      </c>
      <c r="AF9" s="50"/>
      <c r="AG9" s="50"/>
    </row>
    <row r="10" spans="2:34" s="3" customFormat="1" x14ac:dyDescent="0.25">
      <c r="B10" s="15" t="s">
        <v>136</v>
      </c>
      <c r="R10"/>
      <c r="S10" s="50"/>
      <c r="T10" s="50"/>
      <c r="U10" s="50"/>
      <c r="V10" s="50"/>
      <c r="W10" s="23">
        <v>0.14000000000000001</v>
      </c>
      <c r="X10" s="23">
        <f>W10-0.01</f>
        <v>0.13</v>
      </c>
      <c r="Y10" s="23">
        <f t="shared" ref="Y10:Z10" si="2">X10-0.01</f>
        <v>0.12000000000000001</v>
      </c>
      <c r="Z10" s="23">
        <f t="shared" si="2"/>
        <v>0.11000000000000001</v>
      </c>
      <c r="AA10" s="50"/>
      <c r="AB10" s="23">
        <f>Z10-0.01</f>
        <v>0.10000000000000002</v>
      </c>
      <c r="AC10" s="23">
        <f>AB10-0.01</f>
        <v>9.0000000000000024E-2</v>
      </c>
      <c r="AD10" s="23">
        <f t="shared" ref="AD10:AE10" si="3">AC10-0.01</f>
        <v>8.0000000000000029E-2</v>
      </c>
      <c r="AE10" s="23">
        <f t="shared" si="3"/>
        <v>7.0000000000000034E-2</v>
      </c>
      <c r="AF10" s="50"/>
      <c r="AG10" s="50"/>
      <c r="AH10"/>
    </row>
    <row r="11" spans="2:34" x14ac:dyDescent="0.25">
      <c r="B11" s="15" t="s">
        <v>137</v>
      </c>
      <c r="S11" s="50"/>
      <c r="T11" s="50"/>
      <c r="U11" s="50"/>
      <c r="V11" s="50"/>
      <c r="W11" s="23">
        <v>0.16</v>
      </c>
      <c r="X11" s="23">
        <f>W11-0.005</f>
        <v>0.155</v>
      </c>
      <c r="Y11" s="23">
        <f t="shared" ref="Y11:Z11" si="4">X11-0.005</f>
        <v>0.15</v>
      </c>
      <c r="Z11" s="23">
        <f t="shared" si="4"/>
        <v>0.14499999999999999</v>
      </c>
      <c r="AA11" s="50"/>
      <c r="AB11" s="23">
        <f>Z11-0.01</f>
        <v>0.13499999999999998</v>
      </c>
      <c r="AC11" s="23">
        <f>AB11-0.005</f>
        <v>0.12999999999999998</v>
      </c>
      <c r="AD11" s="23">
        <f t="shared" ref="AD11:AE11" si="5">AC11-0.005</f>
        <v>0.12499999999999997</v>
      </c>
      <c r="AE11" s="23">
        <f t="shared" si="5"/>
        <v>0.11999999999999997</v>
      </c>
      <c r="AF11" s="50"/>
      <c r="AG11" s="50"/>
    </row>
    <row r="12" spans="2:34" x14ac:dyDescent="0.25">
      <c r="B12" s="15"/>
      <c r="S12" s="50"/>
      <c r="T12" s="50"/>
      <c r="U12" s="50"/>
      <c r="V12" s="50"/>
      <c r="W12" s="23"/>
      <c r="X12" s="23"/>
      <c r="Y12" s="23"/>
      <c r="Z12" s="23"/>
      <c r="AA12" s="50"/>
      <c r="AB12" s="23"/>
      <c r="AC12" s="23"/>
      <c r="AD12" s="23"/>
      <c r="AE12" s="23"/>
      <c r="AF12" s="50"/>
      <c r="AG12" s="50"/>
    </row>
    <row r="13" spans="2:34" x14ac:dyDescent="0.25">
      <c r="B13" s="44" t="s">
        <v>154</v>
      </c>
      <c r="G13" s="51"/>
      <c r="H13" s="51">
        <f>Model!H49</f>
        <v>0</v>
      </c>
      <c r="I13" s="51">
        <f>Model!I49</f>
        <v>0</v>
      </c>
      <c r="J13" s="51">
        <f>Model!J49</f>
        <v>0</v>
      </c>
      <c r="K13" s="51">
        <f>Model!K49</f>
        <v>0</v>
      </c>
      <c r="L13" s="51"/>
      <c r="M13" s="51">
        <f>Model!M49</f>
        <v>0.73213689865467391</v>
      </c>
      <c r="N13" s="51">
        <f>Model!N49</f>
        <v>0.71585592595998671</v>
      </c>
      <c r="O13" s="51">
        <f>Model!O49</f>
        <v>0.68864266465021273</v>
      </c>
      <c r="P13" s="51">
        <f>Model!P49</f>
        <v>0.62773939372300636</v>
      </c>
      <c r="Q13" s="51">
        <f>Model!Q49</f>
        <v>0.68721606850308148</v>
      </c>
      <c r="R13" s="51">
        <f>Model!R49</f>
        <v>0.71629609774285252</v>
      </c>
      <c r="S13" s="51">
        <f>Model!S49</f>
        <v>0.69290686250286349</v>
      </c>
      <c r="T13" s="51">
        <f>Model!T49</f>
        <v>0.71557094338509186</v>
      </c>
      <c r="U13" s="51">
        <f>Model!U49</f>
        <v>0.7</v>
      </c>
      <c r="V13" s="51">
        <f>Model!V49</f>
        <v>0.65822912555256463</v>
      </c>
      <c r="W13" s="52">
        <f>CHOOSE(CASE,W14,W15,W16)</f>
        <v>0.7</v>
      </c>
      <c r="X13" s="53">
        <f>CHOOSE(CASE,X14,X15,X16)</f>
        <v>0.7</v>
      </c>
      <c r="Y13" s="53">
        <f>CHOOSE(CASE,Y14,Y15,Y16)</f>
        <v>0.7</v>
      </c>
      <c r="Z13" s="53">
        <f>CHOOSE(CASE,Z14,Z15,Z16)</f>
        <v>0.7</v>
      </c>
      <c r="AA13" s="53">
        <f ca="1">Model!AA49</f>
        <v>0.64347488358430893</v>
      </c>
      <c r="AB13" s="53">
        <f>CHOOSE(CASE,AB14,AB15,AB16)</f>
        <v>0.67499999999999993</v>
      </c>
      <c r="AC13" s="53">
        <f>CHOOSE(CASE,AC14,AC15,AC16)</f>
        <v>0.67499999999999993</v>
      </c>
      <c r="AD13" s="53">
        <f>CHOOSE(CASE,AD14,AD15,AD16)</f>
        <v>0.67499999999999993</v>
      </c>
      <c r="AE13" s="53">
        <f>CHOOSE(CASE,AE14,AE15,AE16)</f>
        <v>0.67499999999999993</v>
      </c>
      <c r="AF13" s="54">
        <f ca="1">Model!AF49</f>
        <v>0.66196818643767474</v>
      </c>
      <c r="AG13" s="51"/>
      <c r="AH13" s="3"/>
    </row>
    <row r="14" spans="2:34" x14ac:dyDescent="0.25">
      <c r="B14" s="15" t="s">
        <v>135</v>
      </c>
      <c r="R14" s="50"/>
      <c r="S14" s="50"/>
      <c r="T14" s="50"/>
      <c r="U14" s="50"/>
      <c r="V14" s="50"/>
      <c r="W14" s="23">
        <v>0.65</v>
      </c>
      <c r="X14" s="23">
        <f>W14</f>
        <v>0.65</v>
      </c>
      <c r="Y14" s="23">
        <f t="shared" ref="Y14:Z14" si="6">X14</f>
        <v>0.65</v>
      </c>
      <c r="Z14" s="23">
        <f t="shared" si="6"/>
        <v>0.65</v>
      </c>
      <c r="AA14" s="50"/>
      <c r="AB14" s="23">
        <f>W14-0.025</f>
        <v>0.625</v>
      </c>
      <c r="AC14" s="23">
        <f t="shared" ref="AC14:AC16" si="7">X14-0.025</f>
        <v>0.625</v>
      </c>
      <c r="AD14" s="23">
        <f t="shared" ref="AD14:AD16" si="8">Y14-0.025</f>
        <v>0.625</v>
      </c>
      <c r="AE14" s="23">
        <f t="shared" ref="AE14:AE16" si="9">Z14-0.025</f>
        <v>0.625</v>
      </c>
      <c r="AF14" s="50"/>
      <c r="AG14" s="50"/>
    </row>
    <row r="15" spans="2:34" s="3" customFormat="1" x14ac:dyDescent="0.25">
      <c r="B15" s="15" t="s">
        <v>136</v>
      </c>
      <c r="R15"/>
      <c r="S15" s="50"/>
      <c r="T15" s="50"/>
      <c r="U15" s="50"/>
      <c r="V15" s="50"/>
      <c r="W15" s="23">
        <v>0.7</v>
      </c>
      <c r="X15" s="23">
        <f t="shared" ref="X15:Z15" si="10">W15</f>
        <v>0.7</v>
      </c>
      <c r="Y15" s="23">
        <f t="shared" si="10"/>
        <v>0.7</v>
      </c>
      <c r="Z15" s="23">
        <f t="shared" si="10"/>
        <v>0.7</v>
      </c>
      <c r="AA15" s="50"/>
      <c r="AB15" s="23">
        <f t="shared" ref="AB15:AB16" si="11">W15-0.025</f>
        <v>0.67499999999999993</v>
      </c>
      <c r="AC15" s="23">
        <f t="shared" si="7"/>
        <v>0.67499999999999993</v>
      </c>
      <c r="AD15" s="23">
        <f t="shared" si="8"/>
        <v>0.67499999999999993</v>
      </c>
      <c r="AE15" s="23">
        <f t="shared" si="9"/>
        <v>0.67499999999999993</v>
      </c>
      <c r="AF15" s="50"/>
      <c r="AG15" s="50"/>
      <c r="AH15"/>
    </row>
    <row r="16" spans="2:34" x14ac:dyDescent="0.25">
      <c r="B16" s="15" t="s">
        <v>137</v>
      </c>
      <c r="S16" s="50"/>
      <c r="T16" s="50"/>
      <c r="U16" s="50"/>
      <c r="V16" s="50"/>
      <c r="W16" s="23">
        <v>0.75</v>
      </c>
      <c r="X16" s="23">
        <f t="shared" ref="X16:Z16" si="12">W16</f>
        <v>0.75</v>
      </c>
      <c r="Y16" s="23">
        <f t="shared" si="12"/>
        <v>0.75</v>
      </c>
      <c r="Z16" s="23">
        <f t="shared" si="12"/>
        <v>0.75</v>
      </c>
      <c r="AA16" s="50"/>
      <c r="AB16" s="23">
        <f t="shared" si="11"/>
        <v>0.72499999999999998</v>
      </c>
      <c r="AC16" s="23">
        <f t="shared" si="7"/>
        <v>0.72499999999999998</v>
      </c>
      <c r="AD16" s="23">
        <f t="shared" si="8"/>
        <v>0.72499999999999998</v>
      </c>
      <c r="AE16" s="23">
        <f t="shared" si="9"/>
        <v>0.72499999999999998</v>
      </c>
      <c r="AF16" s="50"/>
      <c r="AG16" s="50"/>
    </row>
    <row r="17" spans="2:33" x14ac:dyDescent="0.25">
      <c r="B17" s="15"/>
      <c r="S17" s="50"/>
      <c r="T17" s="50"/>
      <c r="U17" s="50"/>
      <c r="V17" s="50"/>
      <c r="W17" s="23"/>
      <c r="X17" s="23"/>
      <c r="Y17" s="23"/>
      <c r="Z17" s="23"/>
      <c r="AA17" s="50"/>
      <c r="AB17" s="23"/>
      <c r="AC17" s="23"/>
      <c r="AD17" s="23"/>
      <c r="AE17" s="23"/>
      <c r="AF17" s="50"/>
      <c r="AG17" s="50"/>
    </row>
    <row r="18" spans="2:33" s="3" customFormat="1" x14ac:dyDescent="0.25">
      <c r="B18" s="55" t="s">
        <v>100</v>
      </c>
      <c r="G18" s="51">
        <f>Model!G77</f>
        <v>0.35245170231257483</v>
      </c>
      <c r="H18" s="51">
        <f>Model!H77</f>
        <v>1</v>
      </c>
      <c r="I18" s="51">
        <f>Model!I77</f>
        <v>1</v>
      </c>
      <c r="J18" s="51">
        <f>Model!J77</f>
        <v>1</v>
      </c>
      <c r="K18" s="51">
        <f>Model!K77</f>
        <v>0.33383286832035025</v>
      </c>
      <c r="L18" s="51">
        <f>Model!L77</f>
        <v>0.35071820818164995</v>
      </c>
      <c r="M18" s="51">
        <f>Model!M77</f>
        <v>0.34924123567885618</v>
      </c>
      <c r="N18" s="51">
        <f>Model!N77</f>
        <v>0.34945877931445762</v>
      </c>
      <c r="O18" s="51">
        <f>Model!O77</f>
        <v>0.36854946744262657</v>
      </c>
      <c r="P18" s="51">
        <f>Model!P77</f>
        <v>0.34616494520223917</v>
      </c>
      <c r="Q18" s="51">
        <f>Model!Q77</f>
        <v>0.35277658359668324</v>
      </c>
      <c r="R18" s="51">
        <f>Model!R77</f>
        <v>0.363625018161227</v>
      </c>
      <c r="S18" s="51">
        <f>Model!S77</f>
        <v>0.3599257399119915</v>
      </c>
      <c r="T18" s="51">
        <f>Model!T77</f>
        <v>0.37749381188118819</v>
      </c>
      <c r="U18" s="51">
        <f>Model!U77</f>
        <v>0.36</v>
      </c>
      <c r="V18" s="51">
        <f>Model!V77</f>
        <v>0.36490035799286236</v>
      </c>
      <c r="W18" s="52">
        <f>CHOOSE(CASE,W19,W20,W21)</f>
        <v>0.363625018161227</v>
      </c>
      <c r="X18" s="53">
        <f>CHOOSE(CASE,X19,X20,X21)</f>
        <v>0.3599257399119915</v>
      </c>
      <c r="Y18" s="53">
        <f>CHOOSE(CASE,Y19,Y20,Y21)</f>
        <v>0.37749381188118819</v>
      </c>
      <c r="Z18" s="53">
        <f>CHOOSE(CASE,Z19,Z20,Z21)</f>
        <v>0.36</v>
      </c>
      <c r="AA18" s="53">
        <f ca="1">Model!AA77</f>
        <v>0.3648999372453231</v>
      </c>
      <c r="AB18" s="53">
        <f>CHOOSE(CASE,AB19,AB20,AB21)</f>
        <v>0.363625018161227</v>
      </c>
      <c r="AC18" s="53">
        <f>CHOOSE(CASE,AC19,AC20,AC21)</f>
        <v>0.3599257399119915</v>
      </c>
      <c r="AD18" s="53">
        <f>CHOOSE(CASE,AD19,AD20,AD21)</f>
        <v>0.37749381188118819</v>
      </c>
      <c r="AE18" s="53">
        <f>CHOOSE(CASE,AE19,AE20,AE21)</f>
        <v>0.36</v>
      </c>
      <c r="AF18" s="54">
        <f ca="1">Model!AF77</f>
        <v>0.36489883162274922</v>
      </c>
      <c r="AG18" s="51"/>
    </row>
    <row r="19" spans="2:33" x14ac:dyDescent="0.25">
      <c r="B19" s="15" t="s">
        <v>135</v>
      </c>
      <c r="R19" s="50"/>
      <c r="S19" s="50"/>
      <c r="T19" s="50"/>
      <c r="U19" s="50"/>
      <c r="V19" s="50"/>
      <c r="W19" s="23">
        <f>R$18-0.01</f>
        <v>0.35362501816122699</v>
      </c>
      <c r="X19" s="23">
        <f t="shared" ref="X19:Z19" si="13">S$18-0.01</f>
        <v>0.3499257399119915</v>
      </c>
      <c r="Y19" s="23">
        <f t="shared" si="13"/>
        <v>0.36749381188118818</v>
      </c>
      <c r="Z19" s="23">
        <f t="shared" si="13"/>
        <v>0.35</v>
      </c>
      <c r="AA19" s="50"/>
      <c r="AB19" s="23">
        <f>W$18-0.01</f>
        <v>0.35362501816122699</v>
      </c>
      <c r="AC19" s="23">
        <f t="shared" ref="AC19" si="14">X$18-0.01</f>
        <v>0.3499257399119915</v>
      </c>
      <c r="AD19" s="23">
        <f t="shared" ref="AD19" si="15">Y$18-0.01</f>
        <v>0.36749381188118818</v>
      </c>
      <c r="AE19" s="23">
        <f t="shared" ref="AE19" si="16">Z$18-0.01</f>
        <v>0.35</v>
      </c>
      <c r="AF19" s="50"/>
      <c r="AG19" s="50"/>
    </row>
    <row r="20" spans="2:33" x14ac:dyDescent="0.25">
      <c r="B20" s="15" t="s">
        <v>136</v>
      </c>
      <c r="S20" s="50"/>
      <c r="T20" s="50"/>
      <c r="U20" s="50"/>
      <c r="V20" s="50"/>
      <c r="W20" s="23">
        <f>R$18</f>
        <v>0.363625018161227</v>
      </c>
      <c r="X20" s="23">
        <f t="shared" ref="X20:Z20" si="17">S$18</f>
        <v>0.3599257399119915</v>
      </c>
      <c r="Y20" s="23">
        <f t="shared" si="17"/>
        <v>0.37749381188118819</v>
      </c>
      <c r="Z20" s="23">
        <f t="shared" si="17"/>
        <v>0.36</v>
      </c>
      <c r="AA20" s="50"/>
      <c r="AB20" s="23">
        <f>W$18</f>
        <v>0.363625018161227</v>
      </c>
      <c r="AC20" s="23">
        <f t="shared" ref="AC20" si="18">X$18</f>
        <v>0.3599257399119915</v>
      </c>
      <c r="AD20" s="23">
        <f t="shared" ref="AD20" si="19">Y$18</f>
        <v>0.37749381188118819</v>
      </c>
      <c r="AE20" s="23">
        <f t="shared" ref="AE20" si="20">Z$18</f>
        <v>0.36</v>
      </c>
      <c r="AF20" s="50"/>
      <c r="AG20" s="50"/>
    </row>
    <row r="21" spans="2:33" x14ac:dyDescent="0.25">
      <c r="B21" s="15" t="s">
        <v>137</v>
      </c>
      <c r="S21" s="50"/>
      <c r="T21" s="50"/>
      <c r="U21" s="50"/>
      <c r="V21" s="50"/>
      <c r="W21" s="23">
        <f>R$18+0.01</f>
        <v>0.37362501816122701</v>
      </c>
      <c r="X21" s="23">
        <f t="shared" ref="X21:Z21" si="21">S$18+0.01</f>
        <v>0.36992573991199151</v>
      </c>
      <c r="Y21" s="23">
        <f t="shared" si="21"/>
        <v>0.3874938118811882</v>
      </c>
      <c r="Z21" s="23">
        <f t="shared" si="21"/>
        <v>0.37</v>
      </c>
      <c r="AA21" s="50"/>
      <c r="AB21" s="23">
        <f>W$18+0.01</f>
        <v>0.37362501816122701</v>
      </c>
      <c r="AC21" s="23">
        <f t="shared" ref="AC21" si="22">X$18+0.01</f>
        <v>0.36992573991199151</v>
      </c>
      <c r="AD21" s="23">
        <f t="shared" ref="AD21" si="23">Y$18+0.01</f>
        <v>0.3874938118811882</v>
      </c>
      <c r="AE21" s="23">
        <f t="shared" ref="AE21" si="24">Z$18+0.01</f>
        <v>0.37</v>
      </c>
      <c r="AF21" s="50"/>
      <c r="AG21" s="50"/>
    </row>
    <row r="22" spans="2:33" x14ac:dyDescent="0.25">
      <c r="R22" s="50"/>
      <c r="S22" s="50"/>
      <c r="T22" s="50"/>
      <c r="U22" s="50"/>
      <c r="V22" s="50"/>
      <c r="W22" s="50"/>
      <c r="X22" s="50"/>
      <c r="Y22" s="50"/>
      <c r="Z22" s="50"/>
      <c r="AA22" s="50"/>
      <c r="AB22" s="50"/>
      <c r="AC22" s="50"/>
      <c r="AD22" s="50"/>
      <c r="AE22" s="50"/>
      <c r="AF22" s="50"/>
      <c r="AG22" s="50"/>
    </row>
    <row r="23" spans="2:33" s="3" customFormat="1" x14ac:dyDescent="0.25">
      <c r="B23" s="55" t="s">
        <v>111</v>
      </c>
      <c r="G23" s="51">
        <f>Model!G85</f>
        <v>0.22331911541081259</v>
      </c>
      <c r="H23" s="51">
        <f>Model!H85</f>
        <v>0</v>
      </c>
      <c r="I23" s="51">
        <f>Model!I85</f>
        <v>0</v>
      </c>
      <c r="J23" s="51">
        <f>Model!J85</f>
        <v>0</v>
      </c>
      <c r="K23" s="51">
        <f>Model!K85</f>
        <v>0.2011204219766122</v>
      </c>
      <c r="L23" s="51">
        <f>Model!L85</f>
        <v>0.21965817239464427</v>
      </c>
      <c r="M23" s="51">
        <f>Model!M85</f>
        <v>0.22172574822432795</v>
      </c>
      <c r="N23" s="51">
        <f>Model!N85</f>
        <v>0.20973456070075336</v>
      </c>
      <c r="O23" s="51">
        <f>Model!O85</f>
        <v>0.24021412100581968</v>
      </c>
      <c r="P23" s="51">
        <f>Model!P85</f>
        <v>0.21143972246313963</v>
      </c>
      <c r="Q23" s="51">
        <f>Model!Q85</f>
        <v>0.22001207404154968</v>
      </c>
      <c r="R23" s="51">
        <f>Model!R85</f>
        <v>0.22419708749799763</v>
      </c>
      <c r="S23" s="51">
        <f>Model!S85</f>
        <v>0.22107808064795201</v>
      </c>
      <c r="T23" s="51">
        <f>Model!T85</f>
        <v>0.24793493635077793</v>
      </c>
      <c r="U23" s="51">
        <f>Model!U85</f>
        <v>0.22</v>
      </c>
      <c r="V23" s="51">
        <f>Model!V85</f>
        <v>0.22773597823392147</v>
      </c>
      <c r="W23" s="52">
        <f>CHOOSE(CASE,W24,W25,W26)</f>
        <v>0.22419708749799763</v>
      </c>
      <c r="X23" s="53">
        <f>CHOOSE(CASE,X24,X25,X26)</f>
        <v>0.22107808064795201</v>
      </c>
      <c r="Y23" s="53">
        <f>CHOOSE(CASE,Y24,Y25,Y26)</f>
        <v>0.24793493635077793</v>
      </c>
      <c r="Z23" s="53">
        <f>CHOOSE(CASE,Z24,Z25,Z26)</f>
        <v>0.22</v>
      </c>
      <c r="AA23" s="53">
        <f ca="1">Model!AA85</f>
        <v>0.22773204554048021</v>
      </c>
      <c r="AB23" s="53">
        <f>CHOOSE(CASE,AB24,AB25,AB26)</f>
        <v>0.22419708749799763</v>
      </c>
      <c r="AC23" s="53">
        <f>CHOOSE(CASE,AC24,AC25,AC26)</f>
        <v>0.22107808064795201</v>
      </c>
      <c r="AD23" s="53">
        <f>CHOOSE(CASE,AD24,AD25,AD26)</f>
        <v>0.24793493635077793</v>
      </c>
      <c r="AE23" s="53">
        <f>CHOOSE(CASE,AE24,AE25,AE26)</f>
        <v>0.22</v>
      </c>
      <c r="AF23" s="54">
        <f ca="1">Model!AF85</f>
        <v>0.22772665892991156</v>
      </c>
      <c r="AG23" s="51"/>
    </row>
    <row r="24" spans="2:33" x14ac:dyDescent="0.25">
      <c r="B24" s="15" t="s">
        <v>135</v>
      </c>
      <c r="R24" s="50"/>
      <c r="S24" s="50"/>
      <c r="T24" s="50"/>
      <c r="U24" s="50"/>
      <c r="V24" s="50"/>
      <c r="W24" s="23">
        <f>R$23-0.01</f>
        <v>0.21419708749799762</v>
      </c>
      <c r="X24" s="23">
        <f t="shared" ref="X24:Z24" si="25">S$23-0.01</f>
        <v>0.211078080647952</v>
      </c>
      <c r="Y24" s="23">
        <f t="shared" si="25"/>
        <v>0.23793493635077792</v>
      </c>
      <c r="Z24" s="23">
        <f t="shared" si="25"/>
        <v>0.21</v>
      </c>
      <c r="AA24" s="50"/>
      <c r="AB24" s="23">
        <f>W$23-0.01</f>
        <v>0.21419708749799762</v>
      </c>
      <c r="AC24" s="23">
        <f t="shared" ref="AC24" si="26">X$23-0.01</f>
        <v>0.211078080647952</v>
      </c>
      <c r="AD24" s="23">
        <f t="shared" ref="AD24" si="27">Y$23-0.01</f>
        <v>0.23793493635077792</v>
      </c>
      <c r="AE24" s="23">
        <f t="shared" ref="AE24" si="28">Z$23-0.01</f>
        <v>0.21</v>
      </c>
      <c r="AF24" s="50"/>
      <c r="AG24" s="50"/>
    </row>
    <row r="25" spans="2:33" x14ac:dyDescent="0.25">
      <c r="B25" s="15" t="s">
        <v>136</v>
      </c>
      <c r="S25" s="50"/>
      <c r="T25" s="50"/>
      <c r="U25" s="50"/>
      <c r="V25" s="50"/>
      <c r="W25" s="23">
        <f>R$23</f>
        <v>0.22419708749799763</v>
      </c>
      <c r="X25" s="23">
        <f t="shared" ref="X25:Z25" si="29">S$23</f>
        <v>0.22107808064795201</v>
      </c>
      <c r="Y25" s="23">
        <f t="shared" si="29"/>
        <v>0.24793493635077793</v>
      </c>
      <c r="Z25" s="23">
        <f t="shared" si="29"/>
        <v>0.22</v>
      </c>
      <c r="AA25" s="50"/>
      <c r="AB25" s="23">
        <f>W$23</f>
        <v>0.22419708749799763</v>
      </c>
      <c r="AC25" s="23">
        <f t="shared" ref="AC25" si="30">X$23</f>
        <v>0.22107808064795201</v>
      </c>
      <c r="AD25" s="23">
        <f t="shared" ref="AD25" si="31">Y$23</f>
        <v>0.24793493635077793</v>
      </c>
      <c r="AE25" s="23">
        <f t="shared" ref="AE25" si="32">Z$23</f>
        <v>0.22</v>
      </c>
      <c r="AF25" s="50"/>
      <c r="AG25" s="50"/>
    </row>
    <row r="26" spans="2:33" x14ac:dyDescent="0.25">
      <c r="B26" s="15" t="s">
        <v>137</v>
      </c>
      <c r="S26" s="50"/>
      <c r="T26" s="50"/>
      <c r="U26" s="50"/>
      <c r="V26" s="50"/>
      <c r="W26" s="23">
        <f>R$23+0.01</f>
        <v>0.23419708749799764</v>
      </c>
      <c r="X26" s="23">
        <f t="shared" ref="X26:Z26" si="33">S$23+0.01</f>
        <v>0.23107808064795202</v>
      </c>
      <c r="Y26" s="23">
        <f t="shared" si="33"/>
        <v>0.25793493635077791</v>
      </c>
      <c r="Z26" s="23">
        <f t="shared" si="33"/>
        <v>0.23</v>
      </c>
      <c r="AA26" s="50"/>
      <c r="AB26" s="23">
        <f>W$23+0.01</f>
        <v>0.23419708749799764</v>
      </c>
      <c r="AC26" s="23">
        <f t="shared" ref="AC26" si="34">X$23+0.01</f>
        <v>0.23107808064795202</v>
      </c>
      <c r="AD26" s="23">
        <f t="shared" ref="AD26" si="35">Y$23+0.01</f>
        <v>0.25793493635077791</v>
      </c>
      <c r="AE26" s="23">
        <f t="shared" ref="AE26" si="36">Z$23+0.01</f>
        <v>0.23</v>
      </c>
      <c r="AF26" s="50"/>
      <c r="AG26" s="50"/>
    </row>
    <row r="27" spans="2:33" x14ac:dyDescent="0.25"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</row>
    <row r="28" spans="2:33" x14ac:dyDescent="0.25">
      <c r="R28" s="50"/>
      <c r="S28" s="50"/>
      <c r="T28" s="50"/>
      <c r="U28" s="50"/>
      <c r="V28" s="50"/>
      <c r="W28" s="50"/>
      <c r="X28" s="50"/>
      <c r="Y28" s="50"/>
      <c r="Z28" s="50"/>
      <c r="AA28" s="50"/>
      <c r="AB28" s="50"/>
      <c r="AC28" s="50"/>
      <c r="AD28" s="50"/>
      <c r="AE28" s="50"/>
      <c r="AF28" s="50"/>
      <c r="AG28" s="50"/>
    </row>
    <row r="29" spans="2:33" x14ac:dyDescent="0.25"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</row>
    <row r="30" spans="2:33" x14ac:dyDescent="0.25">
      <c r="R30" s="50"/>
      <c r="S30" s="50"/>
      <c r="T30" s="50"/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0"/>
    </row>
    <row r="31" spans="2:33" x14ac:dyDescent="0.25"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</row>
    <row r="32" spans="2:33" x14ac:dyDescent="0.25"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0"/>
    </row>
    <row r="33" spans="18:33" x14ac:dyDescent="0.25"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0"/>
    </row>
    <row r="34" spans="18:33" x14ac:dyDescent="0.25"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</row>
    <row r="35" spans="18:33" x14ac:dyDescent="0.25"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</row>
    <row r="36" spans="18:33" x14ac:dyDescent="0.25"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</row>
    <row r="37" spans="18:33" x14ac:dyDescent="0.25">
      <c r="R37" s="50"/>
      <c r="S37" s="50"/>
      <c r="T37" s="50"/>
      <c r="U37" s="50"/>
      <c r="V37" s="50"/>
      <c r="W37" s="50"/>
      <c r="X37" s="50"/>
      <c r="Y37" s="50"/>
      <c r="Z37" s="50"/>
      <c r="AA37" s="50"/>
      <c r="AB37" s="50"/>
      <c r="AC37" s="50"/>
      <c r="AD37" s="50"/>
      <c r="AE37" s="50"/>
      <c r="AF37" s="50"/>
      <c r="AG37" s="50"/>
    </row>
    <row r="38" spans="18:33" x14ac:dyDescent="0.25">
      <c r="R38" s="50"/>
      <c r="S38" s="50"/>
      <c r="T38" s="50"/>
      <c r="U38" s="50"/>
      <c r="V38" s="50"/>
      <c r="W38" s="50"/>
      <c r="X38" s="50"/>
      <c r="Y38" s="50"/>
      <c r="Z38" s="50"/>
      <c r="AA38" s="50"/>
      <c r="AB38" s="50"/>
      <c r="AC38" s="50"/>
      <c r="AD38" s="50"/>
      <c r="AE38" s="50"/>
      <c r="AF38" s="50"/>
      <c r="AG38" s="50"/>
    </row>
    <row r="39" spans="18:33" x14ac:dyDescent="0.25">
      <c r="R39" s="50"/>
      <c r="S39" s="50"/>
      <c r="T39" s="50"/>
      <c r="U39" s="50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0"/>
    </row>
    <row r="40" spans="18:33" x14ac:dyDescent="0.25">
      <c r="R40" s="50"/>
      <c r="S40" s="50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0"/>
    </row>
    <row r="41" spans="18:33" x14ac:dyDescent="0.25"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</row>
    <row r="42" spans="18:33" x14ac:dyDescent="0.25"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</row>
    <row r="43" spans="18:33" x14ac:dyDescent="0.25"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</row>
    <row r="44" spans="18:33" x14ac:dyDescent="0.25">
      <c r="R44" s="50"/>
      <c r="S44" s="50"/>
      <c r="T44" s="50"/>
      <c r="U44" s="50"/>
      <c r="V44" s="50"/>
      <c r="W44" s="50"/>
      <c r="X44" s="50"/>
      <c r="Y44" s="50"/>
      <c r="Z44" s="50"/>
      <c r="AA44" s="50"/>
      <c r="AB44" s="50"/>
      <c r="AC44" s="50"/>
      <c r="AD44" s="50"/>
      <c r="AE44" s="50"/>
      <c r="AF44" s="50"/>
      <c r="AG44" s="50"/>
    </row>
    <row r="45" spans="18:33" x14ac:dyDescent="0.25"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</row>
    <row r="46" spans="18:33" x14ac:dyDescent="0.25">
      <c r="R46" s="50"/>
      <c r="S46" s="50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50"/>
      <c r="AE46" s="50"/>
      <c r="AF46" s="50"/>
      <c r="AG46" s="50"/>
    </row>
    <row r="47" spans="18:33" x14ac:dyDescent="0.25"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50"/>
      <c r="AG47" s="50"/>
    </row>
    <row r="48" spans="18:33" x14ac:dyDescent="0.25"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</row>
    <row r="49" spans="18:33" x14ac:dyDescent="0.25">
      <c r="R49" s="50"/>
      <c r="S49" s="50"/>
      <c r="T49" s="50"/>
      <c r="U49" s="50"/>
      <c r="V49" s="50"/>
      <c r="W49" s="50"/>
      <c r="X49" s="50"/>
      <c r="Y49" s="50"/>
      <c r="Z49" s="50"/>
      <c r="AA49" s="50"/>
      <c r="AB49" s="50"/>
      <c r="AC49" s="50"/>
      <c r="AD49" s="50"/>
      <c r="AE49" s="50"/>
      <c r="AF49" s="50"/>
      <c r="AG49" s="50"/>
    </row>
    <row r="50" spans="18:33" x14ac:dyDescent="0.25">
      <c r="R50" s="50"/>
      <c r="S50" s="50"/>
      <c r="T50" s="50"/>
      <c r="U50" s="50"/>
      <c r="V50" s="50"/>
      <c r="W50" s="50"/>
      <c r="X50" s="50"/>
      <c r="Y50" s="50"/>
      <c r="Z50" s="50"/>
      <c r="AA50" s="50"/>
      <c r="AB50" s="50"/>
      <c r="AC50" s="50"/>
      <c r="AD50" s="50"/>
      <c r="AE50" s="50"/>
      <c r="AF50" s="50"/>
      <c r="AG50" s="50"/>
    </row>
    <row r="51" spans="18:33" x14ac:dyDescent="0.25">
      <c r="R51" s="50"/>
      <c r="S51" s="50"/>
      <c r="T51" s="50"/>
      <c r="U51" s="50"/>
      <c r="V51" s="50"/>
      <c r="W51" s="50"/>
      <c r="X51" s="50"/>
      <c r="Y51" s="50"/>
      <c r="Z51" s="50"/>
      <c r="AA51" s="50"/>
      <c r="AB51" s="50"/>
      <c r="AC51" s="50"/>
      <c r="AD51" s="50"/>
      <c r="AE51" s="50"/>
      <c r="AF51" s="50"/>
      <c r="AG51" s="50"/>
    </row>
    <row r="52" spans="18:33" x14ac:dyDescent="0.25">
      <c r="R52" s="50"/>
      <c r="S52" s="50"/>
      <c r="T52" s="50"/>
      <c r="U52" s="50"/>
      <c r="V52" s="50"/>
      <c r="W52" s="50"/>
      <c r="X52" s="50"/>
      <c r="Y52" s="50"/>
      <c r="Z52" s="50"/>
      <c r="AA52" s="50"/>
      <c r="AB52" s="50"/>
      <c r="AC52" s="50"/>
      <c r="AD52" s="50"/>
      <c r="AE52" s="50"/>
      <c r="AF52" s="50"/>
      <c r="AG52" s="50"/>
    </row>
    <row r="53" spans="18:33" x14ac:dyDescent="0.25">
      <c r="R53" s="50"/>
      <c r="S53" s="50"/>
      <c r="T53" s="50"/>
      <c r="U53" s="50"/>
      <c r="V53" s="50"/>
      <c r="W53" s="50"/>
      <c r="X53" s="50"/>
      <c r="Y53" s="50"/>
      <c r="Z53" s="50"/>
      <c r="AA53" s="50"/>
      <c r="AB53" s="50"/>
      <c r="AC53" s="50"/>
      <c r="AD53" s="50"/>
      <c r="AE53" s="50"/>
      <c r="AF53" s="50"/>
      <c r="AG53" s="50"/>
    </row>
    <row r="54" spans="18:33" x14ac:dyDescent="0.25">
      <c r="R54" s="50"/>
      <c r="S54" s="50"/>
      <c r="T54" s="50"/>
      <c r="U54" s="50"/>
      <c r="V54" s="50"/>
      <c r="W54" s="50"/>
      <c r="X54" s="50"/>
      <c r="Y54" s="50"/>
      <c r="Z54" s="50"/>
      <c r="AA54" s="50"/>
      <c r="AB54" s="50"/>
      <c r="AC54" s="50"/>
      <c r="AD54" s="50"/>
      <c r="AE54" s="50"/>
      <c r="AF54" s="50"/>
      <c r="AG54" s="50"/>
    </row>
    <row r="55" spans="18:33" x14ac:dyDescent="0.25">
      <c r="R55" s="50"/>
      <c r="S55" s="50"/>
      <c r="T55" s="50"/>
      <c r="U55" s="50"/>
      <c r="V55" s="50"/>
      <c r="W55" s="50"/>
      <c r="X55" s="50"/>
      <c r="Y55" s="50"/>
      <c r="Z55" s="50"/>
      <c r="AA55" s="50"/>
      <c r="AB55" s="50"/>
      <c r="AC55" s="50"/>
      <c r="AD55" s="50"/>
      <c r="AE55" s="50"/>
      <c r="AF55" s="50"/>
      <c r="AG55" s="50"/>
    </row>
    <row r="56" spans="18:33" x14ac:dyDescent="0.25">
      <c r="R56" s="50"/>
      <c r="S56" s="50"/>
      <c r="T56" s="50"/>
      <c r="U56" s="50"/>
      <c r="V56" s="50"/>
      <c r="W56" s="50"/>
      <c r="X56" s="50"/>
      <c r="Y56" s="50"/>
      <c r="Z56" s="50"/>
      <c r="AA56" s="50"/>
      <c r="AB56" s="50"/>
      <c r="AC56" s="50"/>
      <c r="AD56" s="50"/>
      <c r="AE56" s="50"/>
      <c r="AF56" s="50"/>
      <c r="AG56" s="50"/>
    </row>
    <row r="57" spans="18:33" x14ac:dyDescent="0.25">
      <c r="R57" s="50"/>
      <c r="S57" s="50"/>
      <c r="T57" s="50"/>
      <c r="U57" s="50"/>
      <c r="V57" s="50"/>
      <c r="W57" s="50"/>
      <c r="X57" s="50"/>
      <c r="Y57" s="50"/>
      <c r="Z57" s="50"/>
      <c r="AA57" s="50"/>
      <c r="AB57" s="50"/>
      <c r="AC57" s="50"/>
      <c r="AD57" s="50"/>
      <c r="AE57" s="50"/>
      <c r="AF57" s="50"/>
      <c r="AG57" s="50"/>
    </row>
    <row r="58" spans="18:33" x14ac:dyDescent="0.25">
      <c r="R58" s="50"/>
      <c r="S58" s="50"/>
      <c r="T58" s="50"/>
      <c r="U58" s="50"/>
      <c r="V58" s="50"/>
      <c r="W58" s="50"/>
      <c r="X58" s="50"/>
      <c r="Y58" s="50"/>
      <c r="Z58" s="50"/>
      <c r="AA58" s="50"/>
      <c r="AB58" s="50"/>
      <c r="AC58" s="50"/>
      <c r="AD58" s="50"/>
      <c r="AE58" s="50"/>
      <c r="AF58" s="50"/>
      <c r="AG58" s="50"/>
    </row>
    <row r="59" spans="18:33" x14ac:dyDescent="0.25">
      <c r="R59" s="50"/>
      <c r="S59" s="50"/>
      <c r="T59" s="50"/>
      <c r="U59" s="50"/>
      <c r="V59" s="50"/>
      <c r="W59" s="50"/>
      <c r="X59" s="50"/>
      <c r="Y59" s="50"/>
      <c r="Z59" s="50"/>
      <c r="AA59" s="50"/>
      <c r="AB59" s="50"/>
      <c r="AC59" s="50"/>
      <c r="AD59" s="50"/>
      <c r="AE59" s="50"/>
      <c r="AF59" s="50"/>
      <c r="AG59" s="50"/>
    </row>
    <row r="60" spans="18:33" x14ac:dyDescent="0.25">
      <c r="R60" s="50"/>
      <c r="S60" s="50"/>
      <c r="T60" s="50"/>
      <c r="U60" s="50"/>
      <c r="V60" s="50"/>
      <c r="W60" s="50"/>
      <c r="X60" s="50"/>
      <c r="Y60" s="50"/>
      <c r="Z60" s="50"/>
      <c r="AA60" s="50"/>
      <c r="AB60" s="50"/>
      <c r="AC60" s="50"/>
      <c r="AD60" s="50"/>
      <c r="AE60" s="50"/>
      <c r="AF60" s="50"/>
      <c r="AG60" s="50"/>
    </row>
    <row r="61" spans="18:33" x14ac:dyDescent="0.25">
      <c r="R61" s="50"/>
      <c r="S61" s="50"/>
      <c r="T61" s="50"/>
      <c r="U61" s="50"/>
      <c r="V61" s="50"/>
      <c r="W61" s="50"/>
      <c r="X61" s="50"/>
      <c r="Y61" s="50"/>
      <c r="Z61" s="50"/>
      <c r="AA61" s="50"/>
      <c r="AB61" s="50"/>
      <c r="AC61" s="50"/>
      <c r="AD61" s="50"/>
      <c r="AE61" s="50"/>
      <c r="AF61" s="50"/>
      <c r="AG61" s="50"/>
    </row>
    <row r="62" spans="18:33" x14ac:dyDescent="0.25">
      <c r="R62" s="50"/>
      <c r="S62" s="50"/>
      <c r="T62" s="50"/>
      <c r="U62" s="50"/>
      <c r="V62" s="50"/>
      <c r="W62" s="50"/>
      <c r="X62" s="50"/>
      <c r="Y62" s="50"/>
      <c r="Z62" s="50"/>
      <c r="AA62" s="50"/>
      <c r="AB62" s="50"/>
      <c r="AC62" s="50"/>
      <c r="AD62" s="50"/>
      <c r="AE62" s="50"/>
      <c r="AF62" s="50"/>
      <c r="AG62" s="50"/>
    </row>
    <row r="63" spans="18:33" x14ac:dyDescent="0.25">
      <c r="R63" s="50"/>
      <c r="S63" s="50"/>
      <c r="T63" s="50"/>
      <c r="U63" s="50"/>
      <c r="V63" s="50"/>
      <c r="W63" s="50"/>
      <c r="X63" s="50"/>
      <c r="Y63" s="50"/>
      <c r="Z63" s="50"/>
      <c r="AA63" s="50"/>
      <c r="AB63" s="50"/>
      <c r="AC63" s="50"/>
      <c r="AD63" s="50"/>
      <c r="AE63" s="50"/>
      <c r="AF63" s="50"/>
      <c r="AG63" s="50"/>
    </row>
    <row r="64" spans="18:33" x14ac:dyDescent="0.25">
      <c r="R64" s="50"/>
      <c r="S64" s="50"/>
      <c r="T64" s="50"/>
      <c r="U64" s="50"/>
      <c r="V64" s="50"/>
      <c r="W64" s="50"/>
      <c r="X64" s="50"/>
      <c r="Y64" s="50"/>
      <c r="Z64" s="50"/>
      <c r="AA64" s="50"/>
      <c r="AB64" s="50"/>
      <c r="AC64" s="50"/>
      <c r="AD64" s="50"/>
      <c r="AE64" s="50"/>
      <c r="AF64" s="50"/>
      <c r="AG64" s="50"/>
    </row>
    <row r="65" spans="18:33" x14ac:dyDescent="0.25">
      <c r="R65" s="50"/>
      <c r="S65" s="50"/>
      <c r="T65" s="50"/>
      <c r="U65" s="50"/>
      <c r="V65" s="50"/>
      <c r="W65" s="50"/>
      <c r="X65" s="50"/>
      <c r="Y65" s="50"/>
      <c r="Z65" s="50"/>
      <c r="AA65" s="50"/>
      <c r="AB65" s="50"/>
      <c r="AC65" s="50"/>
      <c r="AD65" s="50"/>
      <c r="AE65" s="50"/>
      <c r="AF65" s="50"/>
      <c r="AG65" s="50"/>
    </row>
    <row r="66" spans="18:33" x14ac:dyDescent="0.25">
      <c r="R66" s="50"/>
      <c r="S66" s="50"/>
      <c r="T66" s="50"/>
      <c r="U66" s="50"/>
      <c r="V66" s="50"/>
      <c r="W66" s="50"/>
      <c r="X66" s="50"/>
      <c r="Y66" s="50"/>
      <c r="Z66" s="50"/>
      <c r="AA66" s="50"/>
      <c r="AB66" s="50"/>
      <c r="AC66" s="50"/>
      <c r="AD66" s="50"/>
      <c r="AE66" s="50"/>
      <c r="AF66" s="50"/>
      <c r="AG66" s="50"/>
    </row>
    <row r="67" spans="18:33" x14ac:dyDescent="0.25">
      <c r="R67" s="50"/>
      <c r="S67" s="50"/>
      <c r="T67" s="50"/>
      <c r="U67" s="50"/>
      <c r="V67" s="50"/>
      <c r="W67" s="50"/>
      <c r="X67" s="50"/>
      <c r="Y67" s="50"/>
      <c r="Z67" s="50"/>
      <c r="AA67" s="50"/>
      <c r="AB67" s="50"/>
      <c r="AC67" s="50"/>
      <c r="AD67" s="50"/>
      <c r="AE67" s="50"/>
      <c r="AF67" s="50"/>
      <c r="AG67" s="50"/>
    </row>
    <row r="68" spans="18:33" x14ac:dyDescent="0.25">
      <c r="R68" s="50"/>
      <c r="S68" s="50"/>
      <c r="T68" s="50"/>
      <c r="U68" s="50"/>
      <c r="V68" s="50"/>
      <c r="W68" s="50"/>
      <c r="X68" s="50"/>
      <c r="Y68" s="50"/>
      <c r="Z68" s="50"/>
      <c r="AA68" s="50"/>
      <c r="AB68" s="50"/>
      <c r="AC68" s="50"/>
      <c r="AD68" s="50"/>
      <c r="AE68" s="50"/>
      <c r="AF68" s="50"/>
      <c r="AG68" s="50"/>
    </row>
    <row r="69" spans="18:33" x14ac:dyDescent="0.25">
      <c r="R69" s="50"/>
      <c r="S69" s="50"/>
      <c r="T69" s="50"/>
      <c r="U69" s="50"/>
      <c r="V69" s="50"/>
      <c r="W69" s="50"/>
      <c r="X69" s="50"/>
      <c r="Y69" s="50"/>
      <c r="Z69" s="50"/>
      <c r="AA69" s="50"/>
      <c r="AB69" s="50"/>
      <c r="AC69" s="50"/>
      <c r="AD69" s="50"/>
      <c r="AE69" s="50"/>
      <c r="AF69" s="50"/>
      <c r="AG69" s="50"/>
    </row>
    <row r="70" spans="18:33" x14ac:dyDescent="0.25">
      <c r="R70" s="50"/>
      <c r="S70" s="50"/>
      <c r="T70" s="50"/>
      <c r="U70" s="50"/>
      <c r="V70" s="50"/>
      <c r="W70" s="50"/>
      <c r="X70" s="50"/>
      <c r="Y70" s="50"/>
      <c r="Z70" s="50"/>
      <c r="AA70" s="50"/>
      <c r="AB70" s="50"/>
      <c r="AC70" s="50"/>
      <c r="AD70" s="50"/>
      <c r="AE70" s="50"/>
      <c r="AF70" s="50"/>
      <c r="AG70" s="50"/>
    </row>
    <row r="71" spans="18:33" x14ac:dyDescent="0.25">
      <c r="R71" s="50"/>
      <c r="S71" s="50"/>
      <c r="T71" s="50"/>
      <c r="U71" s="50"/>
      <c r="V71" s="50"/>
      <c r="W71" s="50"/>
      <c r="X71" s="50"/>
      <c r="Y71" s="50"/>
      <c r="Z71" s="50"/>
      <c r="AA71" s="50"/>
      <c r="AB71" s="50"/>
      <c r="AC71" s="50"/>
      <c r="AD71" s="50"/>
      <c r="AE71" s="50"/>
      <c r="AF71" s="50"/>
      <c r="AG71" s="50"/>
    </row>
    <row r="72" spans="18:33" x14ac:dyDescent="0.25">
      <c r="R72" s="50"/>
      <c r="S72" s="50"/>
      <c r="T72" s="50"/>
      <c r="U72" s="50"/>
      <c r="V72" s="50"/>
      <c r="W72" s="50"/>
      <c r="X72" s="50"/>
      <c r="Y72" s="50"/>
      <c r="Z72" s="50"/>
      <c r="AA72" s="50"/>
      <c r="AB72" s="50"/>
      <c r="AC72" s="50"/>
      <c r="AD72" s="50"/>
      <c r="AE72" s="50"/>
      <c r="AF72" s="50"/>
      <c r="AG72" s="50"/>
    </row>
    <row r="73" spans="18:33" x14ac:dyDescent="0.25">
      <c r="R73" s="50"/>
      <c r="S73" s="50"/>
      <c r="T73" s="50"/>
      <c r="U73" s="50"/>
      <c r="V73" s="50"/>
      <c r="W73" s="50"/>
      <c r="X73" s="50"/>
      <c r="Y73" s="50"/>
      <c r="Z73" s="50"/>
      <c r="AA73" s="50"/>
      <c r="AB73" s="50"/>
      <c r="AC73" s="50"/>
      <c r="AD73" s="50"/>
      <c r="AE73" s="50"/>
      <c r="AF73" s="50"/>
      <c r="AG73" s="50"/>
    </row>
    <row r="74" spans="18:33" x14ac:dyDescent="0.25">
      <c r="R74" s="50"/>
      <c r="S74" s="50"/>
      <c r="T74" s="50"/>
      <c r="U74" s="50"/>
      <c r="V74" s="50"/>
      <c r="W74" s="50"/>
      <c r="X74" s="50"/>
      <c r="Y74" s="50"/>
      <c r="Z74" s="50"/>
      <c r="AA74" s="50"/>
      <c r="AB74" s="50"/>
      <c r="AC74" s="50"/>
      <c r="AD74" s="50"/>
      <c r="AE74" s="50"/>
      <c r="AF74" s="50"/>
      <c r="AG74" s="50"/>
    </row>
    <row r="75" spans="18:33" x14ac:dyDescent="0.25">
      <c r="R75" s="50"/>
      <c r="S75" s="50"/>
      <c r="T75" s="50"/>
      <c r="U75" s="50"/>
      <c r="V75" s="50"/>
      <c r="W75" s="50"/>
      <c r="X75" s="50"/>
      <c r="Y75" s="50"/>
      <c r="Z75" s="50"/>
      <c r="AA75" s="50"/>
      <c r="AB75" s="50"/>
      <c r="AC75" s="50"/>
      <c r="AD75" s="50"/>
      <c r="AE75" s="50"/>
      <c r="AF75" s="50"/>
      <c r="AG75" s="50"/>
    </row>
    <row r="76" spans="18:33" x14ac:dyDescent="0.25">
      <c r="R76" s="50"/>
      <c r="S76" s="50"/>
      <c r="T76" s="50"/>
      <c r="U76" s="50"/>
      <c r="V76" s="50"/>
      <c r="W76" s="50"/>
      <c r="X76" s="50"/>
      <c r="Y76" s="50"/>
      <c r="Z76" s="50"/>
      <c r="AA76" s="50"/>
      <c r="AB76" s="50"/>
      <c r="AC76" s="50"/>
      <c r="AD76" s="50"/>
      <c r="AE76" s="50"/>
      <c r="AF76" s="50"/>
      <c r="AG76" s="50"/>
    </row>
    <row r="77" spans="18:33" x14ac:dyDescent="0.25">
      <c r="R77" s="50"/>
      <c r="S77" s="50"/>
      <c r="T77" s="50"/>
      <c r="U77" s="50"/>
      <c r="V77" s="50"/>
      <c r="W77" s="50"/>
      <c r="X77" s="50"/>
      <c r="Y77" s="50"/>
      <c r="Z77" s="50"/>
      <c r="AA77" s="50"/>
      <c r="AB77" s="50"/>
      <c r="AC77" s="50"/>
      <c r="AD77" s="50"/>
      <c r="AE77" s="50"/>
      <c r="AF77" s="50"/>
      <c r="AG77" s="50"/>
    </row>
    <row r="78" spans="18:33" x14ac:dyDescent="0.25">
      <c r="R78" s="50"/>
      <c r="S78" s="50"/>
      <c r="T78" s="50"/>
      <c r="U78" s="50"/>
      <c r="V78" s="50"/>
      <c r="W78" s="50"/>
      <c r="X78" s="50"/>
      <c r="Y78" s="50"/>
      <c r="Z78" s="50"/>
      <c r="AA78" s="50"/>
      <c r="AB78" s="50"/>
      <c r="AC78" s="50"/>
      <c r="AD78" s="50"/>
      <c r="AE78" s="50"/>
      <c r="AF78" s="50"/>
      <c r="AG78" s="50"/>
    </row>
    <row r="79" spans="18:33" x14ac:dyDescent="0.25">
      <c r="R79" s="50"/>
      <c r="S79" s="50"/>
      <c r="T79" s="50"/>
      <c r="U79" s="50"/>
      <c r="V79" s="50"/>
      <c r="W79" s="50"/>
      <c r="X79" s="50"/>
      <c r="Y79" s="50"/>
      <c r="Z79" s="50"/>
      <c r="AA79" s="50"/>
      <c r="AB79" s="50"/>
      <c r="AC79" s="50"/>
      <c r="AD79" s="50"/>
      <c r="AE79" s="50"/>
      <c r="AF79" s="50"/>
      <c r="AG79" s="50"/>
    </row>
  </sheetData>
  <pageMargins left="0.7" right="0.7" top="0.75" bottom="0.75" header="0.3" footer="0.3"/>
  <pageSetup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Summary</vt:lpstr>
      <vt:lpstr>Model</vt:lpstr>
      <vt:lpstr>Scenario Drivers</vt:lpstr>
      <vt:lpstr>CASE</vt:lpstr>
      <vt:lpstr>Model!Print_Area</vt:lpstr>
      <vt:lpstr>'Scenario Drivers'!Print_Area</vt:lpstr>
      <vt:lpstr>Summary!Print_Area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</dc:creator>
  <cp:lastModifiedBy>GB</cp:lastModifiedBy>
  <dcterms:created xsi:type="dcterms:W3CDTF">2017-01-23T13:23:15Z</dcterms:created>
  <dcterms:modified xsi:type="dcterms:W3CDTF">2026-03-03T04:27:20Z</dcterms:modified>
</cp:coreProperties>
</file>